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lexiconenergy.sharepoint.com/sites/RegulatoryAffairsRateApplicationsandAccounting/Shared Documents/2026 Rates/Decision/01 TO OEB/Jan 26 2026/"/>
    </mc:Choice>
  </mc:AlternateContent>
  <xr:revisionPtr revIDLastSave="325" documentId="13_ncr:1_{F777C5C4-E9BD-42DE-BB05-D1148456687E}" xr6:coauthVersionLast="47" xr6:coauthVersionMax="47" xr10:uidLastSave="{B92A2A6C-83E1-4BC0-9F57-1AADFEB7A25C}"/>
  <bookViews>
    <workbookView xWindow="-28920" yWindow="1485" windowWidth="29040" windowHeight="15720" xr2:uid="{87C9897A-EF23-46B7-B1AB-B8ED4BE904D0}"/>
  </bookViews>
  <sheets>
    <sheet name="Continuity" sheetId="1" r:id="rId1"/>
    <sheet name="2024 Billing Determinents" sheetId="2" r:id="rId2"/>
    <sheet name="Allocation of Balances " sheetId="29" r:id="rId3"/>
    <sheet name="2 yr Rate Riders " sheetId="33" r:id="rId4"/>
  </sheets>
  <definedNames>
    <definedName name="AS2DocOpenMode" hidden="1">"AS2DocumentEdit"</definedName>
    <definedName name="AS2HasNoAutoHeaderFooter" hidden="1">" "</definedName>
    <definedName name="CDMQR5FACost_1">#REF!</definedName>
    <definedName name="CDMQR5FARemovalandCIACWIP_1">#REF!</definedName>
    <definedName name="CK_DISYR">#REF!</definedName>
    <definedName name="DUT_NRPP">#REF!</definedName>
    <definedName name="DUT_RPP">#REF!</definedName>
    <definedName name="EBNUMBER">#REF!</definedName>
    <definedName name="NEW_DISYR">#REF!</definedName>
    <definedName name="NEW_NRPP">#REF!</definedName>
    <definedName name="NEW_RPP">#REF!</definedName>
    <definedName name="RebaseYear">#REF!</definedName>
    <definedName name="SMP_DISYR">#REF!</definedName>
    <definedName name="SMP_NRPP">#REF!</definedName>
    <definedName name="SMP_RPP">#REF!</definedName>
    <definedName name="Test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L50" i="1" l="1"/>
  <c r="EL49" i="1"/>
  <c r="EL48" i="1"/>
  <c r="N71" i="33" l="1"/>
  <c r="M71" i="33"/>
  <c r="L71" i="33"/>
  <c r="N70" i="33"/>
  <c r="M70" i="33"/>
  <c r="L70" i="33"/>
  <c r="N69" i="33"/>
  <c r="M69" i="33"/>
  <c r="L69" i="33"/>
  <c r="N68" i="33"/>
  <c r="M68" i="33"/>
  <c r="L68" i="33"/>
  <c r="N67" i="33"/>
  <c r="M67" i="33"/>
  <c r="L67" i="33"/>
  <c r="N66" i="33"/>
  <c r="M66" i="33"/>
  <c r="L66" i="33"/>
  <c r="N61" i="33"/>
  <c r="M61" i="33"/>
  <c r="L61" i="33"/>
  <c r="N60" i="33"/>
  <c r="M60" i="33"/>
  <c r="L60" i="33"/>
  <c r="N59" i="33"/>
  <c r="M59" i="33"/>
  <c r="L59" i="33"/>
  <c r="N58" i="33"/>
  <c r="M58" i="33"/>
  <c r="L58" i="33"/>
  <c r="N57" i="33"/>
  <c r="M57" i="33"/>
  <c r="L57" i="33"/>
  <c r="N56" i="33"/>
  <c r="M56" i="33"/>
  <c r="L56" i="33"/>
  <c r="M39" i="33"/>
  <c r="L39" i="33"/>
  <c r="M38" i="33"/>
  <c r="L38" i="33"/>
  <c r="N37" i="33"/>
  <c r="L37" i="33"/>
  <c r="M36" i="33"/>
  <c r="L36" i="33"/>
  <c r="M35" i="33"/>
  <c r="L35" i="33"/>
  <c r="M34" i="33"/>
  <c r="L34" i="33"/>
  <c r="N33" i="33"/>
  <c r="L33" i="33"/>
  <c r="N32" i="33"/>
  <c r="M32" i="33"/>
  <c r="N31" i="33"/>
  <c r="M31" i="33"/>
  <c r="M26" i="33"/>
  <c r="L26" i="33"/>
  <c r="M25" i="33"/>
  <c r="L25" i="33"/>
  <c r="N24" i="33"/>
  <c r="L24" i="33"/>
  <c r="M23" i="33"/>
  <c r="L23" i="33"/>
  <c r="M22" i="33"/>
  <c r="L22" i="33"/>
  <c r="M21" i="33"/>
  <c r="L21" i="33"/>
  <c r="N20" i="33"/>
  <c r="L20" i="33"/>
  <c r="N19" i="33"/>
  <c r="M19" i="33"/>
  <c r="N18" i="33"/>
  <c r="M18" i="33"/>
  <c r="EK36" i="1"/>
  <c r="G66" i="33" l="1" a="1"/>
  <c r="G66" i="33" s="1"/>
  <c r="G72" i="33" s="1"/>
  <c r="F66" i="33" a="1"/>
  <c r="F66" i="33" s="1"/>
  <c r="F72" i="33" s="1"/>
  <c r="E66" i="33" a="1"/>
  <c r="E66" i="33" s="1"/>
  <c r="E72" i="33" s="1"/>
  <c r="C66" i="33" a="1"/>
  <c r="D71" i="33" s="1"/>
  <c r="J71" i="33" s="1"/>
  <c r="G56" i="33" a="1"/>
  <c r="G56" i="33" s="1"/>
  <c r="G62" i="33" s="1"/>
  <c r="F56" i="33" a="1"/>
  <c r="F56" i="33" s="1"/>
  <c r="F62" i="33" s="1"/>
  <c r="E56" i="33" a="1"/>
  <c r="E56" i="33" s="1"/>
  <c r="E62" i="33" s="1"/>
  <c r="C56" i="33" a="1"/>
  <c r="D61" i="33" s="1"/>
  <c r="J61" i="33" s="1"/>
  <c r="G46" i="33" a="1"/>
  <c r="G46" i="33" s="1"/>
  <c r="G52" i="33" s="1"/>
  <c r="F46" i="33" a="1"/>
  <c r="F46" i="33" s="1"/>
  <c r="F52" i="33" s="1"/>
  <c r="E46" i="33" a="1"/>
  <c r="E46" i="33" s="1"/>
  <c r="E52" i="33" s="1"/>
  <c r="C46" i="33" a="1"/>
  <c r="C46" i="33" s="1"/>
  <c r="D46" i="33" s="1"/>
  <c r="G31" i="33" a="1"/>
  <c r="G31" i="33" s="1"/>
  <c r="G40" i="33" s="1"/>
  <c r="F31" i="33" a="1"/>
  <c r="F31" i="33" s="1"/>
  <c r="F40" i="33" s="1"/>
  <c r="E31" i="33" a="1"/>
  <c r="E31" i="33" s="1"/>
  <c r="E40" i="33" s="1"/>
  <c r="G18" i="33" a="1"/>
  <c r="G18" i="33" s="1"/>
  <c r="G27" i="33" s="1"/>
  <c r="F18" i="33" a="1"/>
  <c r="F18" i="33" s="1"/>
  <c r="F27" i="33" s="1"/>
  <c r="E18" i="33" a="1"/>
  <c r="E18" i="33" s="1"/>
  <c r="G5" i="33" a="1"/>
  <c r="G5" i="33" s="1"/>
  <c r="G14" i="33" s="1"/>
  <c r="F5" i="33" a="1"/>
  <c r="F5" i="33" s="1"/>
  <c r="F14" i="33" s="1"/>
  <c r="E5" i="33" a="1"/>
  <c r="E5" i="33" s="1"/>
  <c r="E14" i="33" s="1"/>
  <c r="C53" i="29"/>
  <c r="EL40" i="1"/>
  <c r="EL39" i="1"/>
  <c r="EL38" i="1"/>
  <c r="EL37" i="1"/>
  <c r="EL36" i="1"/>
  <c r="C11" i="29" s="1"/>
  <c r="C25" i="29" s="1"/>
  <c r="EL35" i="1"/>
  <c r="EL34" i="1"/>
  <c r="C10" i="29" s="1"/>
  <c r="C34" i="29" s="1"/>
  <c r="EL33" i="1"/>
  <c r="EL32" i="1"/>
  <c r="C9" i="29" s="1"/>
  <c r="C33" i="29" s="1"/>
  <c r="EL31" i="1"/>
  <c r="EL30" i="1"/>
  <c r="EL29" i="1"/>
  <c r="EL27" i="1"/>
  <c r="EL26" i="1"/>
  <c r="C8" i="29" s="1"/>
  <c r="C24" i="29" s="1"/>
  <c r="EL25" i="1"/>
  <c r="EL24" i="1"/>
  <c r="C5" i="29" s="1"/>
  <c r="C31" i="29" s="1"/>
  <c r="EL23" i="1"/>
  <c r="C6" i="29" s="1"/>
  <c r="C23" i="29" s="1"/>
  <c r="EL22" i="1"/>
  <c r="EL21" i="1"/>
  <c r="EL20" i="1"/>
  <c r="EL19" i="1"/>
  <c r="EL18" i="1"/>
  <c r="C7" i="29" s="1"/>
  <c r="C32" i="29" s="1"/>
  <c r="Q29" i="2"/>
  <c r="Q28" i="2"/>
  <c r="Q27" i="2"/>
  <c r="Q26" i="2"/>
  <c r="Q25" i="2"/>
  <c r="Q24" i="2"/>
  <c r="Q23" i="2"/>
  <c r="Q22" i="2"/>
  <c r="Q21" i="2"/>
  <c r="Q20" i="2"/>
  <c r="EE79" i="1"/>
  <c r="J47" i="29"/>
  <c r="I47" i="29"/>
  <c r="H47" i="29"/>
  <c r="G47" i="29"/>
  <c r="F47" i="29"/>
  <c r="E47" i="29"/>
  <c r="J46" i="29"/>
  <c r="I46" i="29"/>
  <c r="H46" i="29"/>
  <c r="G46" i="29"/>
  <c r="F46" i="29"/>
  <c r="E46" i="29"/>
  <c r="O13" i="2"/>
  <c r="O9" i="2"/>
  <c r="O8" i="2"/>
  <c r="O7" i="2"/>
  <c r="O29" i="2"/>
  <c r="O25" i="2"/>
  <c r="O24" i="2"/>
  <c r="O23" i="2"/>
  <c r="O22" i="2"/>
  <c r="O21" i="2"/>
  <c r="O20" i="2"/>
  <c r="CC32" i="1"/>
  <c r="BS32" i="1"/>
  <c r="BI34" i="1"/>
  <c r="BI32" i="1"/>
  <c r="AO34" i="1"/>
  <c r="AO32" i="1"/>
  <c r="AE34" i="1"/>
  <c r="AE32" i="1"/>
  <c r="AF32" i="1"/>
  <c r="AF34" i="1"/>
  <c r="C4" i="29" l="1"/>
  <c r="C22" i="29" s="1"/>
  <c r="E10" i="29"/>
  <c r="L9" i="29"/>
  <c r="K9" i="29"/>
  <c r="J9" i="29"/>
  <c r="I9" i="29"/>
  <c r="H9" i="29"/>
  <c r="G9" i="29"/>
  <c r="F9" i="29"/>
  <c r="D47" i="33"/>
  <c r="I47" i="33" s="1"/>
  <c r="D49" i="33"/>
  <c r="I49" i="33" s="1"/>
  <c r="D50" i="33"/>
  <c r="J50" i="33" s="1"/>
  <c r="G7" i="29"/>
  <c r="H7" i="29"/>
  <c r="E7" i="29"/>
  <c r="I7" i="29"/>
  <c r="M7" i="29"/>
  <c r="L7" i="29"/>
  <c r="K7" i="29"/>
  <c r="J7" i="29"/>
  <c r="L10" i="29"/>
  <c r="F7" i="29"/>
  <c r="M10" i="29"/>
  <c r="K10" i="29"/>
  <c r="J10" i="29"/>
  <c r="I10" i="29"/>
  <c r="H10" i="29"/>
  <c r="G10" i="29"/>
  <c r="F10" i="29"/>
  <c r="E9" i="29"/>
  <c r="M9" i="29"/>
  <c r="D51" i="33"/>
  <c r="J51" i="33" s="1"/>
  <c r="D57" i="33"/>
  <c r="I57" i="33" s="1"/>
  <c r="H46" i="33"/>
  <c r="D58" i="33"/>
  <c r="J58" i="33" s="1"/>
  <c r="D59" i="33"/>
  <c r="I59" i="33" s="1"/>
  <c r="D60" i="33"/>
  <c r="J60" i="33" s="1"/>
  <c r="D67" i="33"/>
  <c r="I67" i="33" s="1"/>
  <c r="D68" i="33"/>
  <c r="J68" i="33" s="1"/>
  <c r="D69" i="33"/>
  <c r="I69" i="33" s="1"/>
  <c r="D70" i="33"/>
  <c r="J70" i="33" s="1"/>
  <c r="D48" i="33"/>
  <c r="J48" i="33" s="1"/>
  <c r="C52" i="33"/>
  <c r="E27" i="33"/>
  <c r="C66" i="33"/>
  <c r="D66" i="33" s="1"/>
  <c r="C56" i="33"/>
  <c r="D56" i="33" s="1"/>
  <c r="BS36" i="1"/>
  <c r="P13" i="2"/>
  <c r="P29" i="2"/>
  <c r="C16" i="29" l="1"/>
  <c r="H56" i="33"/>
  <c r="D62" i="33"/>
  <c r="H66" i="33"/>
  <c r="D72" i="33"/>
  <c r="D52" i="33"/>
  <c r="C62" i="33"/>
  <c r="C72" i="33"/>
  <c r="C54" i="29"/>
  <c r="H44" i="29"/>
  <c r="I44" i="29"/>
  <c r="G44" i="29"/>
  <c r="E44" i="29"/>
  <c r="J44" i="29"/>
  <c r="F44" i="29"/>
  <c r="I5" i="29"/>
  <c r="J5" i="29"/>
  <c r="E5" i="29"/>
  <c r="F5" i="29"/>
  <c r="G5" i="29"/>
  <c r="M5" i="29"/>
  <c r="L5" i="29"/>
  <c r="H5" i="29"/>
  <c r="K5" i="29"/>
  <c r="C17" i="29"/>
  <c r="C50" i="29"/>
  <c r="G68" i="29" l="1"/>
  <c r="F68" i="29"/>
  <c r="E68" i="29"/>
  <c r="H68" i="29"/>
  <c r="J68" i="29"/>
  <c r="I68" i="29"/>
  <c r="E67" i="29"/>
  <c r="F67" i="29"/>
  <c r="J67" i="29"/>
  <c r="I67" i="29"/>
  <c r="H67" i="29"/>
  <c r="G67" i="29"/>
  <c r="M34" i="29"/>
  <c r="E34" i="29"/>
  <c r="K34" i="29"/>
  <c r="L34" i="29"/>
  <c r="G34" i="29"/>
  <c r="J34" i="29"/>
  <c r="I34" i="29"/>
  <c r="H34" i="29"/>
  <c r="F34" i="29"/>
  <c r="M33" i="29"/>
  <c r="E33" i="29"/>
  <c r="L33" i="29"/>
  <c r="K33" i="29"/>
  <c r="G33" i="29"/>
  <c r="F33" i="29"/>
  <c r="J33" i="29"/>
  <c r="I33" i="29"/>
  <c r="H33" i="29"/>
  <c r="F66" i="29"/>
  <c r="G66" i="29"/>
  <c r="J66" i="29"/>
  <c r="H66" i="29"/>
  <c r="E66" i="29"/>
  <c r="C70" i="29"/>
  <c r="I66" i="29"/>
  <c r="E31" i="29"/>
  <c r="F31" i="29"/>
  <c r="H31" i="29"/>
  <c r="M31" i="29"/>
  <c r="L31" i="29"/>
  <c r="K31" i="29"/>
  <c r="J31" i="29"/>
  <c r="I31" i="29"/>
  <c r="G31" i="29"/>
  <c r="C55" i="29"/>
  <c r="I32" i="29" l="1"/>
  <c r="K32" i="29"/>
  <c r="J32" i="29"/>
  <c r="H32" i="29"/>
  <c r="G32" i="29"/>
  <c r="F32" i="29"/>
  <c r="M32" i="29"/>
  <c r="E32" i="29"/>
  <c r="L32" i="29"/>
  <c r="C62" i="29"/>
  <c r="C36" i="29"/>
  <c r="AA34" i="1" l="1"/>
  <c r="EJ66" i="1" l="1"/>
  <c r="EJ65" i="1"/>
  <c r="EJ64" i="1"/>
  <c r="EJ63" i="1"/>
  <c r="EJ62" i="1"/>
  <c r="EJ61" i="1"/>
  <c r="EJ60" i="1"/>
  <c r="ED92" i="1" l="1"/>
  <c r="EC92" i="1"/>
  <c r="EB92" i="1"/>
  <c r="EE91" i="1"/>
  <c r="EE90" i="1"/>
  <c r="EE89" i="1"/>
  <c r="EE88" i="1"/>
  <c r="EE87" i="1"/>
  <c r="EE86" i="1"/>
  <c r="DJ92" i="1"/>
  <c r="DI92" i="1"/>
  <c r="DH92" i="1"/>
  <c r="DK91" i="1"/>
  <c r="DK90" i="1"/>
  <c r="DK89" i="1"/>
  <c r="DK88" i="1"/>
  <c r="DK87" i="1"/>
  <c r="DK86" i="1"/>
  <c r="DU91" i="1"/>
  <c r="DU90" i="1"/>
  <c r="DU89" i="1"/>
  <c r="DU88" i="1"/>
  <c r="DU87" i="1"/>
  <c r="DU86" i="1"/>
  <c r="DT92" i="1"/>
  <c r="DS92" i="1"/>
  <c r="DR92" i="1"/>
  <c r="EE92" i="1" l="1"/>
  <c r="DK92" i="1"/>
  <c r="DU92" i="1"/>
  <c r="BS27" i="1" l="1"/>
  <c r="BN27" i="1"/>
  <c r="BI20" i="1"/>
  <c r="BI27" i="1"/>
  <c r="BA20" i="1" l="1"/>
  <c r="BA21" i="1"/>
  <c r="BN29" i="1" l="1"/>
  <c r="BD29" i="1"/>
  <c r="AJ29" i="1"/>
  <c r="Z29" i="1"/>
  <c r="P29" i="1"/>
  <c r="N30" i="1" l="1"/>
  <c r="T30" i="1" s="1"/>
  <c r="X30" i="1" s="1"/>
  <c r="AD30" i="1" s="1"/>
  <c r="AH30" i="1" s="1"/>
  <c r="AN30" i="1" s="1"/>
  <c r="AR30" i="1" s="1"/>
  <c r="AX30" i="1" s="1"/>
  <c r="BB30" i="1" s="1"/>
  <c r="BH30" i="1" s="1"/>
  <c r="BL30" i="1" s="1"/>
  <c r="BR30" i="1" s="1"/>
  <c r="BV30" i="1" s="1"/>
  <c r="CB30" i="1" s="1"/>
  <c r="CF30" i="1" s="1"/>
  <c r="CL30" i="1" s="1"/>
  <c r="CP30" i="1" s="1"/>
  <c r="CV30" i="1" s="1"/>
  <c r="CZ30" i="1" s="1"/>
  <c r="DF30" i="1" s="1"/>
  <c r="DJ30" i="1" s="1"/>
  <c r="DP30" i="1" s="1"/>
  <c r="DT30" i="1" s="1"/>
  <c r="DZ30" i="1" s="1"/>
  <c r="ED30" i="1" s="1"/>
  <c r="EH30" i="1" s="1"/>
  <c r="EK30" i="1" s="1"/>
  <c r="I30" i="1"/>
  <c r="O30" i="1" s="1"/>
  <c r="S30" i="1" s="1"/>
  <c r="Y30" i="1" s="1"/>
  <c r="AC30" i="1" s="1"/>
  <c r="AI30" i="1" s="1"/>
  <c r="AM30" i="1" s="1"/>
  <c r="AS30" i="1" s="1"/>
  <c r="AW30" i="1" s="1"/>
  <c r="BC30" i="1" s="1"/>
  <c r="BG30" i="1" s="1"/>
  <c r="BM30" i="1" s="1"/>
  <c r="BQ30" i="1" s="1"/>
  <c r="BW30" i="1" s="1"/>
  <c r="CA30" i="1" s="1"/>
  <c r="CG30" i="1" s="1"/>
  <c r="CK30" i="1" s="1"/>
  <c r="CQ30" i="1" s="1"/>
  <c r="CU30" i="1" s="1"/>
  <c r="DA30" i="1" s="1"/>
  <c r="DE30" i="1" s="1"/>
  <c r="DK30" i="1" s="1"/>
  <c r="DO30" i="1" s="1"/>
  <c r="DU30" i="1" s="1"/>
  <c r="DY30" i="1" s="1"/>
  <c r="EG30" i="1" l="1"/>
  <c r="N29" i="1"/>
  <c r="T29" i="1" s="1"/>
  <c r="X29" i="1" s="1"/>
  <c r="AD29" i="1" s="1"/>
  <c r="AH29" i="1" s="1"/>
  <c r="AN29" i="1" s="1"/>
  <c r="AR29" i="1" s="1"/>
  <c r="AX29" i="1" s="1"/>
  <c r="BB29" i="1" s="1"/>
  <c r="BH29" i="1" s="1"/>
  <c r="BL29" i="1" s="1"/>
  <c r="BR29" i="1" s="1"/>
  <c r="BV29" i="1" s="1"/>
  <c r="CB29" i="1" s="1"/>
  <c r="CF29" i="1" s="1"/>
  <c r="CL29" i="1" s="1"/>
  <c r="CP29" i="1" s="1"/>
  <c r="CV29" i="1" s="1"/>
  <c r="CZ29" i="1" s="1"/>
  <c r="DF29" i="1" s="1"/>
  <c r="DJ29" i="1" s="1"/>
  <c r="DP29" i="1" s="1"/>
  <c r="DT29" i="1" s="1"/>
  <c r="DZ29" i="1" s="1"/>
  <c r="ED29" i="1" s="1"/>
  <c r="EH29" i="1" s="1"/>
  <c r="EK29" i="1" s="1"/>
  <c r="I29" i="1"/>
  <c r="O29" i="1" s="1"/>
  <c r="S29" i="1" s="1"/>
  <c r="Y29" i="1" s="1"/>
  <c r="AC29" i="1" s="1"/>
  <c r="AI29" i="1" s="1"/>
  <c r="AM29" i="1" s="1"/>
  <c r="AS29" i="1" s="1"/>
  <c r="AW29" i="1" s="1"/>
  <c r="BC29" i="1" s="1"/>
  <c r="BG29" i="1" s="1"/>
  <c r="BM29" i="1" s="1"/>
  <c r="BQ29" i="1" s="1"/>
  <c r="BW29" i="1" s="1"/>
  <c r="CA29" i="1" s="1"/>
  <c r="CG29" i="1" s="1"/>
  <c r="CK29" i="1" s="1"/>
  <c r="CQ29" i="1" s="1"/>
  <c r="CU29" i="1" s="1"/>
  <c r="DA29" i="1" s="1"/>
  <c r="DE29" i="1" s="1"/>
  <c r="DK29" i="1" s="1"/>
  <c r="DO29" i="1" s="1"/>
  <c r="DU29" i="1" s="1"/>
  <c r="DY29" i="1" s="1"/>
  <c r="EG29" i="1" l="1"/>
  <c r="CW18" i="1" l="1"/>
  <c r="CM18" i="1"/>
  <c r="DG18" i="1" l="1"/>
  <c r="N29" i="2" l="1"/>
  <c r="J29" i="2"/>
  <c r="I29" i="2"/>
  <c r="H29" i="2"/>
  <c r="G29" i="2"/>
  <c r="F29" i="2"/>
  <c r="E29" i="2"/>
  <c r="L29" i="2"/>
  <c r="K29" i="2"/>
  <c r="N13" i="2"/>
  <c r="J13" i="2"/>
  <c r="I13" i="2"/>
  <c r="H13" i="2"/>
  <c r="G13" i="2"/>
  <c r="F13" i="2"/>
  <c r="E13" i="2"/>
  <c r="L13" i="2"/>
  <c r="K13" i="2"/>
  <c r="Z36" i="1"/>
  <c r="H70" i="29" l="1"/>
  <c r="J70" i="29"/>
  <c r="B10" i="2"/>
  <c r="B8" i="2"/>
  <c r="B7" i="2"/>
  <c r="B11" i="2"/>
  <c r="B9" i="2"/>
  <c r="B12" i="2"/>
  <c r="F48" i="29"/>
  <c r="H45" i="29"/>
  <c r="H48" i="29"/>
  <c r="F45" i="29"/>
  <c r="G48" i="29"/>
  <c r="E45" i="29"/>
  <c r="J45" i="29"/>
  <c r="E48" i="29"/>
  <c r="G45" i="29"/>
  <c r="I45" i="29"/>
  <c r="I48" i="29"/>
  <c r="J48" i="29"/>
  <c r="F60" i="29"/>
  <c r="H59" i="29"/>
  <c r="H60" i="29"/>
  <c r="E59" i="29"/>
  <c r="J59" i="29"/>
  <c r="G60" i="29"/>
  <c r="J60" i="29"/>
  <c r="F59" i="29"/>
  <c r="I60" i="29"/>
  <c r="G59" i="29"/>
  <c r="E60" i="29"/>
  <c r="I59" i="29"/>
  <c r="B25" i="2"/>
  <c r="B21" i="2"/>
  <c r="B20" i="2"/>
  <c r="B24" i="2"/>
  <c r="B23" i="2"/>
  <c r="B22" i="2"/>
  <c r="B28" i="2"/>
  <c r="B27" i="2"/>
  <c r="B26" i="2"/>
  <c r="F4" i="29"/>
  <c r="J6" i="29"/>
  <c r="L11" i="29"/>
  <c r="G4" i="29"/>
  <c r="L6" i="29"/>
  <c r="E11" i="29"/>
  <c r="H4" i="29"/>
  <c r="K6" i="29"/>
  <c r="I11" i="29"/>
  <c r="H11" i="29"/>
  <c r="M6" i="29"/>
  <c r="L4" i="29"/>
  <c r="G6" i="29"/>
  <c r="F6" i="29"/>
  <c r="F11" i="29"/>
  <c r="H6" i="29"/>
  <c r="M11" i="29"/>
  <c r="K4" i="29"/>
  <c r="K11" i="29"/>
  <c r="E4" i="29"/>
  <c r="I6" i="29"/>
  <c r="I4" i="29"/>
  <c r="J11" i="29"/>
  <c r="M4" i="29"/>
  <c r="E6" i="29"/>
  <c r="J4" i="29"/>
  <c r="G11" i="29"/>
  <c r="E22" i="29"/>
  <c r="M25" i="29"/>
  <c r="E25" i="29"/>
  <c r="J23" i="29"/>
  <c r="K23" i="29"/>
  <c r="H25" i="29"/>
  <c r="E23" i="29"/>
  <c r="F22" i="29"/>
  <c r="I23" i="29"/>
  <c r="K22" i="29"/>
  <c r="J25" i="29"/>
  <c r="G23" i="29"/>
  <c r="M23" i="29"/>
  <c r="H22" i="29"/>
  <c r="K25" i="29"/>
  <c r="I22" i="29"/>
  <c r="J22" i="29"/>
  <c r="L25" i="29"/>
  <c r="F23" i="29"/>
  <c r="G25" i="29"/>
  <c r="H23" i="29"/>
  <c r="G22" i="29"/>
  <c r="M22" i="29"/>
  <c r="L22" i="29"/>
  <c r="L23" i="29"/>
  <c r="I25" i="29"/>
  <c r="F25" i="29"/>
  <c r="H36" i="29"/>
  <c r="G36" i="29"/>
  <c r="F36" i="29"/>
  <c r="M36" i="29"/>
  <c r="L36" i="29"/>
  <c r="E36" i="29"/>
  <c r="K36" i="29"/>
  <c r="I36" i="29"/>
  <c r="J36" i="29"/>
  <c r="AL38" i="1"/>
  <c r="AJ38" i="1"/>
  <c r="C31" i="33" l="1" a="1"/>
  <c r="G50" i="29"/>
  <c r="E50" i="29"/>
  <c r="G62" i="29"/>
  <c r="E70" i="29"/>
  <c r="G70" i="29"/>
  <c r="F70" i="29"/>
  <c r="I70" i="29"/>
  <c r="F50" i="29"/>
  <c r="H50" i="29"/>
  <c r="J50" i="29"/>
  <c r="I62" i="29"/>
  <c r="J62" i="29"/>
  <c r="E62" i="29"/>
  <c r="I50" i="29"/>
  <c r="H62" i="29"/>
  <c r="F62" i="29"/>
  <c r="BS35" i="1"/>
  <c r="BS34" i="1"/>
  <c r="BS33" i="1"/>
  <c r="BN32" i="1"/>
  <c r="BN34" i="1"/>
  <c r="C31" i="33" l="1"/>
  <c r="D32" i="33"/>
  <c r="H32" i="33" s="1"/>
  <c r="L32" i="33" s="1"/>
  <c r="D33" i="33"/>
  <c r="I33" i="33" s="1"/>
  <c r="M33" i="33" s="1"/>
  <c r="D34" i="33"/>
  <c r="J34" i="33" s="1"/>
  <c r="N34" i="33" s="1"/>
  <c r="D35" i="33"/>
  <c r="J35" i="33" s="1"/>
  <c r="N35" i="33" s="1"/>
  <c r="D36" i="33"/>
  <c r="J36" i="33" s="1"/>
  <c r="N36" i="33" s="1"/>
  <c r="D37" i="33"/>
  <c r="I37" i="33" s="1"/>
  <c r="M37" i="33" s="1"/>
  <c r="D38" i="33"/>
  <c r="J38" i="33" s="1"/>
  <c r="N38" i="33" s="1"/>
  <c r="D39" i="33"/>
  <c r="J39" i="33" s="1"/>
  <c r="N39" i="33" s="1"/>
  <c r="J72" i="29"/>
  <c r="H72" i="29"/>
  <c r="F72" i="29"/>
  <c r="G72" i="29"/>
  <c r="E72" i="29"/>
  <c r="I72" i="29"/>
  <c r="BI35" i="1"/>
  <c r="BI33" i="1"/>
  <c r="D31" i="33" l="1"/>
  <c r="C40" i="33"/>
  <c r="BD35" i="1"/>
  <c r="BD33" i="1"/>
  <c r="H31" i="33" l="1"/>
  <c r="L31" i="33" s="1"/>
  <c r="D40" i="33"/>
  <c r="N70" i="1"/>
  <c r="X70" i="1"/>
  <c r="BV70" i="1"/>
  <c r="BL70" i="1"/>
  <c r="BB70" i="1"/>
  <c r="AR70" i="1"/>
  <c r="AH70" i="1"/>
  <c r="EJ67" i="1" l="1"/>
  <c r="N21" i="1"/>
  <c r="T21" i="1" s="1"/>
  <c r="X21" i="1" s="1"/>
  <c r="AD21" i="1" s="1"/>
  <c r="AH21" i="1" s="1"/>
  <c r="AN21" i="1" s="1"/>
  <c r="AR21" i="1" s="1"/>
  <c r="AX21" i="1" s="1"/>
  <c r="BB21" i="1" s="1"/>
  <c r="I21" i="1"/>
  <c r="N20" i="1"/>
  <c r="T20" i="1" s="1"/>
  <c r="X20" i="1" s="1"/>
  <c r="AD20" i="1" s="1"/>
  <c r="AH20" i="1" s="1"/>
  <c r="AN20" i="1" s="1"/>
  <c r="AR20" i="1" s="1"/>
  <c r="AX20" i="1" s="1"/>
  <c r="BB20" i="1" s="1"/>
  <c r="I20" i="1"/>
  <c r="M34" i="1"/>
  <c r="M32" i="1"/>
  <c r="U32" i="1"/>
  <c r="H34" i="1"/>
  <c r="BH20" i="1" l="1"/>
  <c r="BL20" i="1" s="1"/>
  <c r="BR20" i="1" s="1"/>
  <c r="BV20" i="1" s="1"/>
  <c r="CB20" i="1" s="1"/>
  <c r="CF20" i="1" s="1"/>
  <c r="CL20" i="1" s="1"/>
  <c r="CP20" i="1" s="1"/>
  <c r="CV20" i="1" s="1"/>
  <c r="CZ20" i="1" s="1"/>
  <c r="DF20" i="1" s="1"/>
  <c r="DJ20" i="1" s="1"/>
  <c r="DP20" i="1" s="1"/>
  <c r="DT20" i="1" s="1"/>
  <c r="DZ20" i="1" s="1"/>
  <c r="ED20" i="1" s="1"/>
  <c r="EH20" i="1" s="1"/>
  <c r="EK20" i="1" s="1"/>
  <c r="BH21" i="1"/>
  <c r="BL21" i="1" s="1"/>
  <c r="BR21" i="1" s="1"/>
  <c r="BV21" i="1" s="1"/>
  <c r="CB21" i="1" s="1"/>
  <c r="CF21" i="1" s="1"/>
  <c r="CL21" i="1" s="1"/>
  <c r="CP21" i="1" s="1"/>
  <c r="CV21" i="1" s="1"/>
  <c r="CZ21" i="1" s="1"/>
  <c r="DF21" i="1" s="1"/>
  <c r="DJ21" i="1" s="1"/>
  <c r="DP21" i="1" s="1"/>
  <c r="DT21" i="1" s="1"/>
  <c r="DZ21" i="1" s="1"/>
  <c r="ED21" i="1" s="1"/>
  <c r="EH21" i="1" s="1"/>
  <c r="EK21" i="1" s="1"/>
  <c r="O20" i="1"/>
  <c r="S20" i="1" s="1"/>
  <c r="O21" i="1"/>
  <c r="S21" i="1" s="1"/>
  <c r="AA32" i="1"/>
  <c r="H32" i="1"/>
  <c r="DV38" i="1"/>
  <c r="DL38" i="1"/>
  <c r="DB38" i="1"/>
  <c r="CR38" i="1"/>
  <c r="CH38" i="1"/>
  <c r="BX38" i="1"/>
  <c r="BN38" i="1"/>
  <c r="BD38" i="1"/>
  <c r="AT38" i="1"/>
  <c r="Y20" i="1" l="1"/>
  <c r="AC20" i="1" s="1"/>
  <c r="Y21" i="1"/>
  <c r="AC21" i="1" s="1"/>
  <c r="CC36" i="1"/>
  <c r="BI36" i="1"/>
  <c r="AY36" i="1"/>
  <c r="AO36" i="1"/>
  <c r="AJ36" i="1"/>
  <c r="CC19" i="1"/>
  <c r="BS19" i="1"/>
  <c r="BI19" i="1"/>
  <c r="AT19" i="1"/>
  <c r="AY19" i="1"/>
  <c r="AO19" i="1"/>
  <c r="AJ19" i="1"/>
  <c r="AE19" i="1"/>
  <c r="Z19" i="1"/>
  <c r="U19" i="1"/>
  <c r="P19" i="1"/>
  <c r="AI20" i="1" l="1"/>
  <c r="AM20" i="1" s="1"/>
  <c r="AI21" i="1"/>
  <c r="AM21" i="1" s="1"/>
  <c r="BX39" i="1"/>
  <c r="BX40" i="1"/>
  <c r="AS21" i="1" l="1"/>
  <c r="AW21" i="1" s="1"/>
  <c r="AS20" i="1"/>
  <c r="AW20" i="1" s="1"/>
  <c r="N18" i="1"/>
  <c r="I18" i="1"/>
  <c r="EJ43" i="1"/>
  <c r="EI43" i="1"/>
  <c r="EF43" i="1"/>
  <c r="EE43" i="1"/>
  <c r="EC43" i="1"/>
  <c r="EB43" i="1"/>
  <c r="EA43" i="1"/>
  <c r="DX43" i="1"/>
  <c r="DW43" i="1"/>
  <c r="DV43" i="1"/>
  <c r="DS43" i="1"/>
  <c r="DR43" i="1"/>
  <c r="DQ43" i="1"/>
  <c r="DN43" i="1"/>
  <c r="DM43" i="1"/>
  <c r="DL43" i="1"/>
  <c r="DI43" i="1"/>
  <c r="DH43" i="1"/>
  <c r="DG43" i="1"/>
  <c r="DD43" i="1"/>
  <c r="DC43" i="1"/>
  <c r="DB43" i="1"/>
  <c r="CY43" i="1"/>
  <c r="CX43" i="1"/>
  <c r="CW43" i="1"/>
  <c r="CT43" i="1"/>
  <c r="CS43" i="1"/>
  <c r="CR43" i="1"/>
  <c r="CO43" i="1"/>
  <c r="CN43" i="1"/>
  <c r="CM43" i="1"/>
  <c r="CJ43" i="1"/>
  <c r="CI43" i="1"/>
  <c r="CH43" i="1"/>
  <c r="CE43" i="1"/>
  <c r="CD43" i="1"/>
  <c r="CC43" i="1"/>
  <c r="BZ43" i="1"/>
  <c r="BY43" i="1"/>
  <c r="BX43" i="1"/>
  <c r="BU43" i="1"/>
  <c r="BT43" i="1"/>
  <c r="BS43" i="1"/>
  <c r="BP43" i="1"/>
  <c r="BO43" i="1"/>
  <c r="BN43" i="1"/>
  <c r="BK43" i="1"/>
  <c r="BI43" i="1"/>
  <c r="BF43" i="1"/>
  <c r="BE43" i="1"/>
  <c r="BD43" i="1"/>
  <c r="BA43" i="1"/>
  <c r="AZ43" i="1"/>
  <c r="AY43" i="1"/>
  <c r="AV43" i="1"/>
  <c r="AU43" i="1"/>
  <c r="AT43" i="1"/>
  <c r="AQ43" i="1"/>
  <c r="AP43" i="1"/>
  <c r="AO43" i="1"/>
  <c r="AL43" i="1"/>
  <c r="AK43" i="1"/>
  <c r="AJ43" i="1"/>
  <c r="AG43" i="1"/>
  <c r="AF43" i="1"/>
  <c r="AE43" i="1"/>
  <c r="AB43" i="1"/>
  <c r="AA43" i="1"/>
  <c r="Z43" i="1"/>
  <c r="W43" i="1"/>
  <c r="V43" i="1"/>
  <c r="U43" i="1"/>
  <c r="R43" i="1"/>
  <c r="Q43" i="1"/>
  <c r="P43" i="1"/>
  <c r="N40" i="1"/>
  <c r="M43" i="1"/>
  <c r="L43" i="1"/>
  <c r="K43" i="1"/>
  <c r="J43" i="1"/>
  <c r="H43" i="1"/>
  <c r="G43" i="1"/>
  <c r="F43" i="1"/>
  <c r="I40" i="1"/>
  <c r="E43" i="1"/>
  <c r="BC21" i="1" l="1"/>
  <c r="BG21" i="1" s="1"/>
  <c r="BC20" i="1"/>
  <c r="BG20" i="1" s="1"/>
  <c r="O18" i="1"/>
  <c r="S18" i="1" s="1"/>
  <c r="T18" i="1"/>
  <c r="EN43" i="1"/>
  <c r="T40" i="1"/>
  <c r="X40" i="1" s="1"/>
  <c r="AD40" i="1" s="1"/>
  <c r="AH40" i="1" s="1"/>
  <c r="AN40" i="1" s="1"/>
  <c r="AR40" i="1" s="1"/>
  <c r="AX40" i="1" s="1"/>
  <c r="BB40" i="1" s="1"/>
  <c r="BH40" i="1" s="1"/>
  <c r="O40" i="1"/>
  <c r="S40" i="1" s="1"/>
  <c r="Y40" i="1" s="1"/>
  <c r="AC40" i="1" s="1"/>
  <c r="AI40" i="1" s="1"/>
  <c r="AM40" i="1" s="1"/>
  <c r="AS40" i="1" s="1"/>
  <c r="AW40" i="1" s="1"/>
  <c r="BC40" i="1" s="1"/>
  <c r="BG40" i="1" s="1"/>
  <c r="BM40" i="1" s="1"/>
  <c r="BQ40" i="1" s="1"/>
  <c r="BW40" i="1" s="1"/>
  <c r="CA40" i="1" s="1"/>
  <c r="CG40" i="1" s="1"/>
  <c r="CK40" i="1" s="1"/>
  <c r="CQ40" i="1" s="1"/>
  <c r="CU40" i="1" s="1"/>
  <c r="DA40" i="1" s="1"/>
  <c r="DE40" i="1" s="1"/>
  <c r="DK40" i="1" s="1"/>
  <c r="DO40" i="1" s="1"/>
  <c r="BM21" i="1" l="1"/>
  <c r="BQ21" i="1" s="1"/>
  <c r="BW21" i="1" s="1"/>
  <c r="CA21" i="1" s="1"/>
  <c r="CG21" i="1" s="1"/>
  <c r="CK21" i="1" s="1"/>
  <c r="CQ21" i="1" s="1"/>
  <c r="CU21" i="1" s="1"/>
  <c r="DA21" i="1" s="1"/>
  <c r="DE21" i="1" s="1"/>
  <c r="DK21" i="1" s="1"/>
  <c r="DO21" i="1" s="1"/>
  <c r="DU21" i="1" s="1"/>
  <c r="DY21" i="1" s="1"/>
  <c r="BM20" i="1"/>
  <c r="BQ20" i="1" s="1"/>
  <c r="BW20" i="1" s="1"/>
  <c r="CA20" i="1" s="1"/>
  <c r="CG20" i="1" s="1"/>
  <c r="CK20" i="1" s="1"/>
  <c r="CQ20" i="1" s="1"/>
  <c r="CU20" i="1" s="1"/>
  <c r="DA20" i="1" s="1"/>
  <c r="DE20" i="1" s="1"/>
  <c r="DK20" i="1" s="1"/>
  <c r="DO20" i="1" s="1"/>
  <c r="DU20" i="1" s="1"/>
  <c r="DY20" i="1" s="1"/>
  <c r="Y18" i="1"/>
  <c r="DU40" i="1"/>
  <c r="DY40" i="1" s="1"/>
  <c r="EG21" i="1" l="1"/>
  <c r="EG20" i="1"/>
  <c r="EG40" i="1"/>
  <c r="BL14" i="1" l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C18" i="1"/>
  <c r="AH14" i="1"/>
  <c r="AG14" i="1"/>
  <c r="AF14" i="1"/>
  <c r="AE14" i="1"/>
  <c r="AD14" i="1"/>
  <c r="AC14" i="1"/>
  <c r="AB14" i="1"/>
  <c r="AA14" i="1"/>
  <c r="Z14" i="1"/>
  <c r="Y14" i="1"/>
  <c r="X18" i="1"/>
  <c r="X14" i="1"/>
  <c r="W14" i="1"/>
  <c r="V14" i="1"/>
  <c r="U14" i="1"/>
  <c r="T14" i="1"/>
  <c r="S14" i="1"/>
  <c r="R14" i="1"/>
  <c r="Q14" i="1"/>
  <c r="P14" i="1"/>
  <c r="O14" i="1"/>
  <c r="N39" i="1"/>
  <c r="I39" i="1"/>
  <c r="N38" i="1"/>
  <c r="I38" i="1"/>
  <c r="N37" i="1"/>
  <c r="T37" i="1" s="1"/>
  <c r="X37" i="1" s="1"/>
  <c r="AD37" i="1" s="1"/>
  <c r="AH37" i="1" s="1"/>
  <c r="AN37" i="1" s="1"/>
  <c r="AR37" i="1" s="1"/>
  <c r="AX37" i="1" s="1"/>
  <c r="BB37" i="1" s="1"/>
  <c r="BH37" i="1" s="1"/>
  <c r="BL37" i="1" s="1"/>
  <c r="BR37" i="1" s="1"/>
  <c r="I37" i="1"/>
  <c r="O37" i="1" s="1"/>
  <c r="S37" i="1" s="1"/>
  <c r="Y37" i="1" s="1"/>
  <c r="AC37" i="1" s="1"/>
  <c r="AI37" i="1" s="1"/>
  <c r="AM37" i="1" s="1"/>
  <c r="AS37" i="1" s="1"/>
  <c r="AW37" i="1" s="1"/>
  <c r="BC37" i="1" s="1"/>
  <c r="BG37" i="1" s="1"/>
  <c r="BM37" i="1" s="1"/>
  <c r="N36" i="1"/>
  <c r="I36" i="1"/>
  <c r="N35" i="1"/>
  <c r="T35" i="1" s="1"/>
  <c r="X35" i="1" s="1"/>
  <c r="AD35" i="1" s="1"/>
  <c r="AH35" i="1" s="1"/>
  <c r="AN35" i="1" s="1"/>
  <c r="AR35" i="1" s="1"/>
  <c r="AX35" i="1" s="1"/>
  <c r="BB35" i="1" s="1"/>
  <c r="BH35" i="1" s="1"/>
  <c r="BL35" i="1" s="1"/>
  <c r="BR35" i="1" s="1"/>
  <c r="BV35" i="1" s="1"/>
  <c r="CB35" i="1" s="1"/>
  <c r="CF35" i="1" s="1"/>
  <c r="CL35" i="1" s="1"/>
  <c r="CP35" i="1" s="1"/>
  <c r="CV35" i="1" s="1"/>
  <c r="CZ35" i="1" s="1"/>
  <c r="DF35" i="1" s="1"/>
  <c r="DJ35" i="1" s="1"/>
  <c r="DP35" i="1" s="1"/>
  <c r="DT35" i="1" s="1"/>
  <c r="I35" i="1"/>
  <c r="O35" i="1" s="1"/>
  <c r="S35" i="1" s="1"/>
  <c r="Y35" i="1" s="1"/>
  <c r="AC35" i="1" s="1"/>
  <c r="AI35" i="1" s="1"/>
  <c r="AM35" i="1" s="1"/>
  <c r="AS35" i="1" s="1"/>
  <c r="AW35" i="1" s="1"/>
  <c r="BC35" i="1" s="1"/>
  <c r="BG35" i="1" s="1"/>
  <c r="N34" i="1"/>
  <c r="I34" i="1"/>
  <c r="N33" i="1"/>
  <c r="T33" i="1" s="1"/>
  <c r="X33" i="1" s="1"/>
  <c r="AD33" i="1" s="1"/>
  <c r="AH33" i="1" s="1"/>
  <c r="AN33" i="1" s="1"/>
  <c r="AR33" i="1" s="1"/>
  <c r="AX33" i="1" s="1"/>
  <c r="BB33" i="1" s="1"/>
  <c r="BH33" i="1" s="1"/>
  <c r="BL33" i="1" s="1"/>
  <c r="I33" i="1"/>
  <c r="O33" i="1" s="1"/>
  <c r="S33" i="1" s="1"/>
  <c r="Y33" i="1" s="1"/>
  <c r="AC33" i="1" s="1"/>
  <c r="AI33" i="1" s="1"/>
  <c r="AM33" i="1" s="1"/>
  <c r="AS33" i="1" s="1"/>
  <c r="AW33" i="1" s="1"/>
  <c r="BC33" i="1" s="1"/>
  <c r="BG33" i="1" s="1"/>
  <c r="BM33" i="1" s="1"/>
  <c r="BQ33" i="1" s="1"/>
  <c r="BW33" i="1" s="1"/>
  <c r="CA33" i="1" s="1"/>
  <c r="CG33" i="1" s="1"/>
  <c r="CK33" i="1" s="1"/>
  <c r="CQ33" i="1" s="1"/>
  <c r="CU33" i="1" s="1"/>
  <c r="DA33" i="1" s="1"/>
  <c r="DE33" i="1" s="1"/>
  <c r="DK33" i="1" s="1"/>
  <c r="DO33" i="1" s="1"/>
  <c r="DU33" i="1" s="1"/>
  <c r="DY33" i="1" s="1"/>
  <c r="N32" i="1"/>
  <c r="I32" i="1"/>
  <c r="N31" i="1"/>
  <c r="I31" i="1"/>
  <c r="I61" i="1" s="1"/>
  <c r="N28" i="1"/>
  <c r="T28" i="1" s="1"/>
  <c r="X28" i="1" s="1"/>
  <c r="AD28" i="1" s="1"/>
  <c r="AH28" i="1" s="1"/>
  <c r="AN28" i="1" s="1"/>
  <c r="AR28" i="1" s="1"/>
  <c r="AX28" i="1" s="1"/>
  <c r="BB28" i="1" s="1"/>
  <c r="BH28" i="1" s="1"/>
  <c r="BL28" i="1" s="1"/>
  <c r="BR28" i="1" s="1"/>
  <c r="BV28" i="1" s="1"/>
  <c r="CB28" i="1" s="1"/>
  <c r="CF28" i="1" s="1"/>
  <c r="CL28" i="1" s="1"/>
  <c r="CP28" i="1" s="1"/>
  <c r="CV28" i="1" s="1"/>
  <c r="CZ28" i="1" s="1"/>
  <c r="DF28" i="1" s="1"/>
  <c r="DJ28" i="1" s="1"/>
  <c r="DP28" i="1" s="1"/>
  <c r="DT28" i="1" s="1"/>
  <c r="I28" i="1"/>
  <c r="O28" i="1" s="1"/>
  <c r="S28" i="1" s="1"/>
  <c r="Y28" i="1" s="1"/>
  <c r="AC28" i="1" s="1"/>
  <c r="AI28" i="1" s="1"/>
  <c r="AM28" i="1" s="1"/>
  <c r="AS28" i="1" s="1"/>
  <c r="AW28" i="1" s="1"/>
  <c r="BC28" i="1" s="1"/>
  <c r="BG28" i="1" s="1"/>
  <c r="BM28" i="1" s="1"/>
  <c r="BQ28" i="1" s="1"/>
  <c r="BW28" i="1" s="1"/>
  <c r="CA28" i="1" s="1"/>
  <c r="CG28" i="1" s="1"/>
  <c r="CK28" i="1" s="1"/>
  <c r="CQ28" i="1" s="1"/>
  <c r="CU28" i="1" s="1"/>
  <c r="DA28" i="1" s="1"/>
  <c r="DE28" i="1" s="1"/>
  <c r="DK28" i="1" s="1"/>
  <c r="DO28" i="1" s="1"/>
  <c r="N27" i="1"/>
  <c r="T27" i="1" s="1"/>
  <c r="X27" i="1" s="1"/>
  <c r="AD27" i="1" s="1"/>
  <c r="AH27" i="1" s="1"/>
  <c r="AN27" i="1" s="1"/>
  <c r="AR27" i="1" s="1"/>
  <c r="AX27" i="1" s="1"/>
  <c r="BB27" i="1" s="1"/>
  <c r="I27" i="1"/>
  <c r="N26" i="1"/>
  <c r="T26" i="1" s="1"/>
  <c r="X26" i="1" s="1"/>
  <c r="AD26" i="1" s="1"/>
  <c r="AH26" i="1" s="1"/>
  <c r="AN26" i="1" s="1"/>
  <c r="AR26" i="1" s="1"/>
  <c r="AX26" i="1" s="1"/>
  <c r="BB26" i="1" s="1"/>
  <c r="BH26" i="1" s="1"/>
  <c r="BL26" i="1" s="1"/>
  <c r="BR26" i="1" s="1"/>
  <c r="BV26" i="1" s="1"/>
  <c r="CB26" i="1" s="1"/>
  <c r="CF26" i="1" s="1"/>
  <c r="CL26" i="1" s="1"/>
  <c r="CP26" i="1" s="1"/>
  <c r="CV26" i="1" s="1"/>
  <c r="CZ26" i="1" s="1"/>
  <c r="DF26" i="1" s="1"/>
  <c r="DJ26" i="1" s="1"/>
  <c r="DP26" i="1" s="1"/>
  <c r="DT26" i="1" s="1"/>
  <c r="I26" i="1"/>
  <c r="N25" i="1"/>
  <c r="T25" i="1" s="1"/>
  <c r="X25" i="1" s="1"/>
  <c r="AD25" i="1" s="1"/>
  <c r="AH25" i="1" s="1"/>
  <c r="AN25" i="1" s="1"/>
  <c r="AR25" i="1" s="1"/>
  <c r="AX25" i="1" s="1"/>
  <c r="BB25" i="1" s="1"/>
  <c r="BH25" i="1" s="1"/>
  <c r="BL25" i="1" s="1"/>
  <c r="BR25" i="1" s="1"/>
  <c r="BV25" i="1" s="1"/>
  <c r="CB25" i="1" s="1"/>
  <c r="CF25" i="1" s="1"/>
  <c r="CL25" i="1" s="1"/>
  <c r="CP25" i="1" s="1"/>
  <c r="CV25" i="1" s="1"/>
  <c r="CZ25" i="1" s="1"/>
  <c r="DF25" i="1" s="1"/>
  <c r="DJ25" i="1" s="1"/>
  <c r="DP25" i="1" s="1"/>
  <c r="DT25" i="1" s="1"/>
  <c r="I25" i="1"/>
  <c r="O25" i="1" s="1"/>
  <c r="S25" i="1" s="1"/>
  <c r="Y25" i="1" s="1"/>
  <c r="AC25" i="1" s="1"/>
  <c r="AI25" i="1" s="1"/>
  <c r="AM25" i="1" s="1"/>
  <c r="AS25" i="1" s="1"/>
  <c r="AW25" i="1" s="1"/>
  <c r="BC25" i="1" s="1"/>
  <c r="BG25" i="1" s="1"/>
  <c r="BM25" i="1" s="1"/>
  <c r="BQ25" i="1" s="1"/>
  <c r="N24" i="1"/>
  <c r="T24" i="1" s="1"/>
  <c r="X24" i="1" s="1"/>
  <c r="AD24" i="1" s="1"/>
  <c r="AH24" i="1" s="1"/>
  <c r="AN24" i="1" s="1"/>
  <c r="AR24" i="1" s="1"/>
  <c r="AX24" i="1" s="1"/>
  <c r="BB24" i="1" s="1"/>
  <c r="BH24" i="1" s="1"/>
  <c r="BL24" i="1" s="1"/>
  <c r="BR24" i="1" s="1"/>
  <c r="BV24" i="1" s="1"/>
  <c r="CB24" i="1" s="1"/>
  <c r="CF24" i="1" s="1"/>
  <c r="CL24" i="1" s="1"/>
  <c r="CP24" i="1" s="1"/>
  <c r="CV24" i="1" s="1"/>
  <c r="CZ24" i="1" s="1"/>
  <c r="DF24" i="1" s="1"/>
  <c r="DJ24" i="1" s="1"/>
  <c r="DP24" i="1" s="1"/>
  <c r="DT24" i="1" s="1"/>
  <c r="DZ24" i="1" s="1"/>
  <c r="ED24" i="1" s="1"/>
  <c r="EH24" i="1" s="1"/>
  <c r="I24" i="1"/>
  <c r="O24" i="1" s="1"/>
  <c r="S24" i="1" s="1"/>
  <c r="Y24" i="1" s="1"/>
  <c r="AC24" i="1" s="1"/>
  <c r="AI24" i="1" s="1"/>
  <c r="AM24" i="1" s="1"/>
  <c r="AS24" i="1" s="1"/>
  <c r="AW24" i="1" s="1"/>
  <c r="BC24" i="1" s="1"/>
  <c r="BG24" i="1" s="1"/>
  <c r="BM24" i="1" s="1"/>
  <c r="BQ24" i="1" s="1"/>
  <c r="N23" i="1"/>
  <c r="T23" i="1" s="1"/>
  <c r="X23" i="1" s="1"/>
  <c r="AD23" i="1" s="1"/>
  <c r="AH23" i="1" s="1"/>
  <c r="AN23" i="1" s="1"/>
  <c r="AR23" i="1" s="1"/>
  <c r="AX23" i="1" s="1"/>
  <c r="BB23" i="1" s="1"/>
  <c r="BH23" i="1" s="1"/>
  <c r="BL23" i="1" s="1"/>
  <c r="BR23" i="1" s="1"/>
  <c r="BV23" i="1" s="1"/>
  <c r="CB23" i="1" s="1"/>
  <c r="CF23" i="1" s="1"/>
  <c r="CL23" i="1" s="1"/>
  <c r="CP23" i="1" s="1"/>
  <c r="CV23" i="1" s="1"/>
  <c r="CZ23" i="1" s="1"/>
  <c r="DF23" i="1" s="1"/>
  <c r="DJ23" i="1" s="1"/>
  <c r="DP23" i="1" s="1"/>
  <c r="DT23" i="1" s="1"/>
  <c r="I23" i="1"/>
  <c r="O23" i="1" s="1"/>
  <c r="S23" i="1" s="1"/>
  <c r="Y23" i="1" s="1"/>
  <c r="AC23" i="1" s="1"/>
  <c r="AI23" i="1" s="1"/>
  <c r="AM23" i="1" s="1"/>
  <c r="AS23" i="1" s="1"/>
  <c r="AW23" i="1" s="1"/>
  <c r="BC23" i="1" s="1"/>
  <c r="BG23" i="1" s="1"/>
  <c r="BM23" i="1" s="1"/>
  <c r="BQ23" i="1" s="1"/>
  <c r="BW23" i="1" s="1"/>
  <c r="CA23" i="1" s="1"/>
  <c r="CG23" i="1" s="1"/>
  <c r="CK23" i="1" s="1"/>
  <c r="CQ23" i="1" s="1"/>
  <c r="CU23" i="1" s="1"/>
  <c r="DA23" i="1" s="1"/>
  <c r="DE23" i="1" s="1"/>
  <c r="DK23" i="1" s="1"/>
  <c r="DO23" i="1" s="1"/>
  <c r="DU23" i="1" s="1"/>
  <c r="DY23" i="1" s="1"/>
  <c r="N22" i="1"/>
  <c r="T22" i="1" s="1"/>
  <c r="X22" i="1" s="1"/>
  <c r="AD22" i="1" s="1"/>
  <c r="AH22" i="1" s="1"/>
  <c r="AN22" i="1" s="1"/>
  <c r="AR22" i="1" s="1"/>
  <c r="AX22" i="1" s="1"/>
  <c r="BB22" i="1" s="1"/>
  <c r="BH22" i="1" s="1"/>
  <c r="BL22" i="1" s="1"/>
  <c r="BR22" i="1" s="1"/>
  <c r="BV22" i="1" s="1"/>
  <c r="CB22" i="1" s="1"/>
  <c r="CF22" i="1" s="1"/>
  <c r="CL22" i="1" s="1"/>
  <c r="CP22" i="1" s="1"/>
  <c r="CV22" i="1" s="1"/>
  <c r="CZ22" i="1" s="1"/>
  <c r="DF22" i="1" s="1"/>
  <c r="DJ22" i="1" s="1"/>
  <c r="DP22" i="1" s="1"/>
  <c r="DT22" i="1" s="1"/>
  <c r="I22" i="1"/>
  <c r="O22" i="1" s="1"/>
  <c r="S22" i="1" s="1"/>
  <c r="Y22" i="1" s="1"/>
  <c r="AC22" i="1" s="1"/>
  <c r="AI22" i="1" s="1"/>
  <c r="AM22" i="1" s="1"/>
  <c r="AS22" i="1" s="1"/>
  <c r="AW22" i="1" s="1"/>
  <c r="BC22" i="1" s="1"/>
  <c r="BG22" i="1" s="1"/>
  <c r="BM22" i="1" s="1"/>
  <c r="BQ22" i="1" s="1"/>
  <c r="BW22" i="1" s="1"/>
  <c r="CA22" i="1" s="1"/>
  <c r="CG22" i="1" s="1"/>
  <c r="CK22" i="1" s="1"/>
  <c r="CQ22" i="1" s="1"/>
  <c r="CU22" i="1" s="1"/>
  <c r="DA22" i="1" s="1"/>
  <c r="DE22" i="1" s="1"/>
  <c r="DK22" i="1" s="1"/>
  <c r="DO22" i="1" s="1"/>
  <c r="DU22" i="1" s="1"/>
  <c r="DY22" i="1" s="1"/>
  <c r="N19" i="1"/>
  <c r="I19" i="1"/>
  <c r="N14" i="1"/>
  <c r="M14" i="1"/>
  <c r="L14" i="1"/>
  <c r="K14" i="1"/>
  <c r="J14" i="1"/>
  <c r="I14" i="1"/>
  <c r="H14" i="1"/>
  <c r="G14" i="1"/>
  <c r="F14" i="1"/>
  <c r="E14" i="1"/>
  <c r="BV14" i="1"/>
  <c r="BU14" i="1"/>
  <c r="BT14" i="1"/>
  <c r="BS14" i="1"/>
  <c r="BR14" i="1"/>
  <c r="BQ14" i="1"/>
  <c r="BP14" i="1"/>
  <c r="BO14" i="1"/>
  <c r="BN14" i="1"/>
  <c r="BM14" i="1"/>
  <c r="BW13" i="1"/>
  <c r="I60" i="1" l="1"/>
  <c r="N72" i="1" s="1"/>
  <c r="N73" i="1"/>
  <c r="BQ37" i="1"/>
  <c r="BW37" i="1" s="1"/>
  <c r="CA37" i="1" s="1"/>
  <c r="CG37" i="1" s="1"/>
  <c r="CK37" i="1" s="1"/>
  <c r="CQ37" i="1" s="1"/>
  <c r="CU37" i="1" s="1"/>
  <c r="DA37" i="1" s="1"/>
  <c r="DE37" i="1" s="1"/>
  <c r="DK37" i="1" s="1"/>
  <c r="DO37" i="1" s="1"/>
  <c r="DU37" i="1" s="1"/>
  <c r="DY37" i="1" s="1"/>
  <c r="EG37" i="1" s="1"/>
  <c r="BV37" i="1"/>
  <c r="CB37" i="1" s="1"/>
  <c r="CF37" i="1" s="1"/>
  <c r="CL37" i="1" s="1"/>
  <c r="CP37" i="1" s="1"/>
  <c r="CV37" i="1" s="1"/>
  <c r="CZ37" i="1" s="1"/>
  <c r="DF37" i="1" s="1"/>
  <c r="DJ37" i="1" s="1"/>
  <c r="DP37" i="1" s="1"/>
  <c r="DT37" i="1" s="1"/>
  <c r="DZ37" i="1" s="1"/>
  <c r="ED37" i="1" s="1"/>
  <c r="EH37" i="1" s="1"/>
  <c r="EK37" i="1" s="1"/>
  <c r="T39" i="1"/>
  <c r="X39" i="1" s="1"/>
  <c r="N66" i="1"/>
  <c r="O39" i="1"/>
  <c r="S39" i="1" s="1"/>
  <c r="I66" i="1"/>
  <c r="N78" i="1" s="1"/>
  <c r="O78" i="1" s="1"/>
  <c r="T31" i="1"/>
  <c r="X31" i="1" s="1"/>
  <c r="N61" i="1"/>
  <c r="O31" i="1"/>
  <c r="S31" i="1" s="1"/>
  <c r="N60" i="1"/>
  <c r="BH27" i="1"/>
  <c r="BL27" i="1" s="1"/>
  <c r="O26" i="1"/>
  <c r="S26" i="1" s="1"/>
  <c r="O27" i="1"/>
  <c r="S27" i="1" s="1"/>
  <c r="BW24" i="1"/>
  <c r="CA24" i="1" s="1"/>
  <c r="CG24" i="1" s="1"/>
  <c r="CK24" i="1" s="1"/>
  <c r="CQ24" i="1" s="1"/>
  <c r="CU24" i="1" s="1"/>
  <c r="DA24" i="1" s="1"/>
  <c r="DE24" i="1" s="1"/>
  <c r="DK24" i="1" s="1"/>
  <c r="DO24" i="1" s="1"/>
  <c r="DU24" i="1" s="1"/>
  <c r="DY24" i="1" s="1"/>
  <c r="EG24" i="1" s="1"/>
  <c r="BW25" i="1"/>
  <c r="CA25" i="1" s="1"/>
  <c r="CG25" i="1" s="1"/>
  <c r="CK25" i="1" s="1"/>
  <c r="CQ25" i="1" s="1"/>
  <c r="CU25" i="1" s="1"/>
  <c r="DA25" i="1" s="1"/>
  <c r="DE25" i="1" s="1"/>
  <c r="DK25" i="1" s="1"/>
  <c r="DO25" i="1" s="1"/>
  <c r="DU25" i="1" s="1"/>
  <c r="DY25" i="1" s="1"/>
  <c r="EG25" i="1" s="1"/>
  <c r="BM35" i="1"/>
  <c r="BQ35" i="1" s="1"/>
  <c r="BW35" i="1" s="1"/>
  <c r="CA35" i="1" s="1"/>
  <c r="CG35" i="1" s="1"/>
  <c r="CK35" i="1" s="1"/>
  <c r="CQ35" i="1" s="1"/>
  <c r="CU35" i="1" s="1"/>
  <c r="DA35" i="1" s="1"/>
  <c r="DE35" i="1" s="1"/>
  <c r="DK35" i="1" s="1"/>
  <c r="DO35" i="1" s="1"/>
  <c r="DU35" i="1" s="1"/>
  <c r="DY35" i="1" s="1"/>
  <c r="BL40" i="1"/>
  <c r="BR40" i="1" s="1"/>
  <c r="BV40" i="1" s="1"/>
  <c r="CB40" i="1" s="1"/>
  <c r="CF40" i="1" s="1"/>
  <c r="CL40" i="1" s="1"/>
  <c r="CP40" i="1" s="1"/>
  <c r="CV40" i="1" s="1"/>
  <c r="CZ40" i="1" s="1"/>
  <c r="DF40" i="1" s="1"/>
  <c r="DJ40" i="1" s="1"/>
  <c r="DP40" i="1" s="1"/>
  <c r="DT40" i="1" s="1"/>
  <c r="DZ40" i="1" s="1"/>
  <c r="ED40" i="1" s="1"/>
  <c r="BR33" i="1"/>
  <c r="BV33" i="1" s="1"/>
  <c r="CB33" i="1" s="1"/>
  <c r="CF33" i="1" s="1"/>
  <c r="CL33" i="1" s="1"/>
  <c r="CP33" i="1" s="1"/>
  <c r="CV33" i="1" s="1"/>
  <c r="CZ33" i="1" s="1"/>
  <c r="DF33" i="1" s="1"/>
  <c r="DJ33" i="1" s="1"/>
  <c r="DP33" i="1" s="1"/>
  <c r="DT33" i="1" s="1"/>
  <c r="DZ33" i="1" s="1"/>
  <c r="ED33" i="1" s="1"/>
  <c r="EH33" i="1" s="1"/>
  <c r="EK33" i="1" s="1"/>
  <c r="O32" i="1"/>
  <c r="S32" i="1" s="1"/>
  <c r="S62" i="1" s="1"/>
  <c r="I62" i="1"/>
  <c r="O36" i="1"/>
  <c r="S36" i="1" s="1"/>
  <c r="S64" i="1" s="1"/>
  <c r="I64" i="1"/>
  <c r="T36" i="1"/>
  <c r="X36" i="1" s="1"/>
  <c r="X64" i="1" s="1"/>
  <c r="N64" i="1"/>
  <c r="AD18" i="1"/>
  <c r="AH18" i="1" s="1"/>
  <c r="T32" i="1"/>
  <c r="X32" i="1" s="1"/>
  <c r="X62" i="1" s="1"/>
  <c r="N62" i="1"/>
  <c r="O34" i="1"/>
  <c r="S34" i="1" s="1"/>
  <c r="S63" i="1" s="1"/>
  <c r="I63" i="1"/>
  <c r="N75" i="1" s="1"/>
  <c r="O75" i="1" s="1"/>
  <c r="O38" i="1"/>
  <c r="S38" i="1" s="1"/>
  <c r="S65" i="1" s="1"/>
  <c r="X77" i="1" s="1"/>
  <c r="Y77" i="1" s="1"/>
  <c r="I65" i="1"/>
  <c r="T34" i="1"/>
  <c r="X34" i="1" s="1"/>
  <c r="X63" i="1" s="1"/>
  <c r="N63" i="1"/>
  <c r="T38" i="1"/>
  <c r="X38" i="1" s="1"/>
  <c r="X65" i="1" s="1"/>
  <c r="N65" i="1"/>
  <c r="CF14" i="1"/>
  <c r="CF70" i="1"/>
  <c r="AI18" i="1"/>
  <c r="AM18" i="1" s="1"/>
  <c r="EG33" i="1"/>
  <c r="EG22" i="1"/>
  <c r="EG23" i="1"/>
  <c r="DU28" i="1"/>
  <c r="DY28" i="1" s="1"/>
  <c r="O19" i="1"/>
  <c r="I43" i="1"/>
  <c r="T19" i="1"/>
  <c r="N43" i="1"/>
  <c r="EK24" i="1"/>
  <c r="DZ22" i="1"/>
  <c r="ED22" i="1" s="1"/>
  <c r="EH22" i="1" s="1"/>
  <c r="EK22" i="1" s="1"/>
  <c r="DZ25" i="1"/>
  <c r="ED25" i="1" s="1"/>
  <c r="EH25" i="1" s="1"/>
  <c r="EK25" i="1" s="1"/>
  <c r="DZ35" i="1"/>
  <c r="ED35" i="1" s="1"/>
  <c r="EH35" i="1" s="1"/>
  <c r="EK35" i="1" s="1"/>
  <c r="DZ23" i="1"/>
  <c r="ED23" i="1" s="1"/>
  <c r="EH23" i="1" s="1"/>
  <c r="EK23" i="1" s="1"/>
  <c r="DZ28" i="1"/>
  <c r="ED28" i="1" s="1"/>
  <c r="EH28" i="1" s="1"/>
  <c r="DZ26" i="1"/>
  <c r="ED26" i="1" s="1"/>
  <c r="BW14" i="1"/>
  <c r="CA14" i="1"/>
  <c r="CE14" i="1"/>
  <c r="BY14" i="1"/>
  <c r="BZ14" i="1"/>
  <c r="CB14" i="1"/>
  <c r="CG13" i="1"/>
  <c r="CC14" i="1"/>
  <c r="CD14" i="1"/>
  <c r="BX14" i="1"/>
  <c r="EH26" i="1" l="1"/>
  <c r="N77" i="1"/>
  <c r="O77" i="1" s="1"/>
  <c r="X75" i="1"/>
  <c r="Y75" i="1" s="1"/>
  <c r="N74" i="1"/>
  <c r="O74" i="1" s="1"/>
  <c r="X74" i="1"/>
  <c r="Y74" i="1" s="1"/>
  <c r="O73" i="1"/>
  <c r="N76" i="1"/>
  <c r="X76" i="1"/>
  <c r="Y76" i="1" s="1"/>
  <c r="I67" i="1"/>
  <c r="AD31" i="1"/>
  <c r="AH31" i="1" s="1"/>
  <c r="X61" i="1"/>
  <c r="Y39" i="1"/>
  <c r="AC39" i="1" s="1"/>
  <c r="S66" i="1"/>
  <c r="AD39" i="1"/>
  <c r="AH39" i="1" s="1"/>
  <c r="X66" i="1"/>
  <c r="O72" i="1"/>
  <c r="N67" i="1"/>
  <c r="Y31" i="1"/>
  <c r="AC31" i="1" s="1"/>
  <c r="S61" i="1"/>
  <c r="X73" i="1" s="1"/>
  <c r="Y73" i="1" s="1"/>
  <c r="EG35" i="1"/>
  <c r="AN18" i="1"/>
  <c r="AR18" i="1" s="1"/>
  <c r="BR27" i="1"/>
  <c r="BV27" i="1" s="1"/>
  <c r="Y26" i="1"/>
  <c r="AC26" i="1" s="1"/>
  <c r="Y27" i="1"/>
  <c r="AC27" i="1" s="1"/>
  <c r="BJ43" i="1"/>
  <c r="EH40" i="1"/>
  <c r="EK40" i="1" s="1"/>
  <c r="Y34" i="1"/>
  <c r="AC34" i="1" s="1"/>
  <c r="AC63" i="1" s="1"/>
  <c r="Y38" i="1"/>
  <c r="AC38" i="1" s="1"/>
  <c r="AC65" i="1" s="1"/>
  <c r="AD38" i="1"/>
  <c r="AH38" i="1" s="1"/>
  <c r="AH65" i="1" s="1"/>
  <c r="Y36" i="1"/>
  <c r="AC36" i="1" s="1"/>
  <c r="AC64" i="1" s="1"/>
  <c r="AD32" i="1"/>
  <c r="AH32" i="1" s="1"/>
  <c r="AH62" i="1" s="1"/>
  <c r="AH74" i="1" s="1"/>
  <c r="AD36" i="1"/>
  <c r="AH36" i="1" s="1"/>
  <c r="AH64" i="1" s="1"/>
  <c r="AD34" i="1"/>
  <c r="AH34" i="1" s="1"/>
  <c r="AH63" i="1" s="1"/>
  <c r="Y32" i="1"/>
  <c r="AC32" i="1" s="1"/>
  <c r="AC62" i="1" s="1"/>
  <c r="CQ13" i="1"/>
  <c r="CZ70" i="1" s="1"/>
  <c r="CP70" i="1"/>
  <c r="AS18" i="1"/>
  <c r="AW18" i="1" s="1"/>
  <c r="EL61" i="1"/>
  <c r="EG28" i="1"/>
  <c r="EL28" i="1" s="1"/>
  <c r="EK26" i="1"/>
  <c r="EK28" i="1"/>
  <c r="O43" i="1"/>
  <c r="S19" i="1"/>
  <c r="S60" i="1" s="1"/>
  <c r="T43" i="1"/>
  <c r="X19" i="1"/>
  <c r="X60" i="1" s="1"/>
  <c r="CL14" i="1"/>
  <c r="CN14" i="1"/>
  <c r="CM14" i="1"/>
  <c r="CK14" i="1"/>
  <c r="CO14" i="1"/>
  <c r="CI14" i="1"/>
  <c r="CP14" i="1"/>
  <c r="CJ14" i="1"/>
  <c r="CH14" i="1"/>
  <c r="CG14" i="1"/>
  <c r="AH75" i="1" l="1"/>
  <c r="X78" i="1"/>
  <c r="Y78" i="1" s="1"/>
  <c r="AH77" i="1"/>
  <c r="AI77" i="1" s="1"/>
  <c r="X72" i="1"/>
  <c r="X79" i="1" s="1"/>
  <c r="AI74" i="1"/>
  <c r="O76" i="1"/>
  <c r="N79" i="1"/>
  <c r="AH76" i="1"/>
  <c r="AI76" i="1" s="1"/>
  <c r="AI75" i="1"/>
  <c r="X67" i="1"/>
  <c r="AN39" i="1"/>
  <c r="AR39" i="1" s="1"/>
  <c r="AH66" i="1"/>
  <c r="S67" i="1"/>
  <c r="AI39" i="1"/>
  <c r="AM39" i="1" s="1"/>
  <c r="AC66" i="1"/>
  <c r="AX18" i="1"/>
  <c r="BB18" i="1" s="1"/>
  <c r="AI31" i="1"/>
  <c r="AM31" i="1" s="1"/>
  <c r="AC61" i="1"/>
  <c r="AN31" i="1"/>
  <c r="AR31" i="1" s="1"/>
  <c r="AH61" i="1"/>
  <c r="AN32" i="1"/>
  <c r="AR32" i="1" s="1"/>
  <c r="AR62" i="1" s="1"/>
  <c r="CB27" i="1"/>
  <c r="CF27" i="1" s="1"/>
  <c r="CS14" i="1"/>
  <c r="AI27" i="1"/>
  <c r="AM27" i="1" s="1"/>
  <c r="AI26" i="1"/>
  <c r="AM26" i="1" s="1"/>
  <c r="AN38" i="1"/>
  <c r="AR38" i="1" s="1"/>
  <c r="AR65" i="1" s="1"/>
  <c r="Y72" i="1"/>
  <c r="AN36" i="1"/>
  <c r="AR36" i="1" s="1"/>
  <c r="AR64" i="1" s="1"/>
  <c r="AI36" i="1"/>
  <c r="AM36" i="1" s="1"/>
  <c r="AM64" i="1" s="1"/>
  <c r="AN34" i="1"/>
  <c r="AR34" i="1" s="1"/>
  <c r="AR63" i="1" s="1"/>
  <c r="AI38" i="1"/>
  <c r="AM38" i="1" s="1"/>
  <c r="AM65" i="1" s="1"/>
  <c r="AI32" i="1"/>
  <c r="AM32" i="1" s="1"/>
  <c r="AM62" i="1" s="1"/>
  <c r="AI34" i="1"/>
  <c r="AM34" i="1" s="1"/>
  <c r="AM63" i="1" s="1"/>
  <c r="CZ14" i="1"/>
  <c r="CT14" i="1"/>
  <c r="CQ14" i="1"/>
  <c r="CV14" i="1"/>
  <c r="CX14" i="1"/>
  <c r="DA13" i="1"/>
  <c r="DJ70" i="1" s="1"/>
  <c r="CR14" i="1"/>
  <c r="CU14" i="1"/>
  <c r="CY14" i="1"/>
  <c r="CW14" i="1"/>
  <c r="BC18" i="1"/>
  <c r="BG18" i="1" s="1"/>
  <c r="EL66" i="1"/>
  <c r="BH18" i="1"/>
  <c r="AD19" i="1"/>
  <c r="X43" i="1"/>
  <c r="Y19" i="1"/>
  <c r="S43" i="1"/>
  <c r="AR74" i="1" l="1"/>
  <c r="AS74" i="1" s="1"/>
  <c r="AH73" i="1"/>
  <c r="AI73" i="1" s="1"/>
  <c r="AR75" i="1"/>
  <c r="AS75" i="1" s="1"/>
  <c r="AR77" i="1"/>
  <c r="AS77" i="1" s="1"/>
  <c r="AH78" i="1"/>
  <c r="AI78" i="1" s="1"/>
  <c r="AR76" i="1"/>
  <c r="AS76" i="1" s="1"/>
  <c r="AX39" i="1"/>
  <c r="BB39" i="1" s="1"/>
  <c r="AR66" i="1"/>
  <c r="DI14" i="1"/>
  <c r="AX31" i="1"/>
  <c r="BB31" i="1" s="1"/>
  <c r="AR61" i="1"/>
  <c r="AS31" i="1"/>
  <c r="AW31" i="1" s="1"/>
  <c r="AM61" i="1"/>
  <c r="AR73" i="1" s="1"/>
  <c r="AS73" i="1" s="1"/>
  <c r="AS39" i="1"/>
  <c r="AW39" i="1" s="1"/>
  <c r="AM66" i="1"/>
  <c r="AX32" i="1"/>
  <c r="BB32" i="1" s="1"/>
  <c r="BB62" i="1" s="1"/>
  <c r="DA14" i="1"/>
  <c r="CL27" i="1"/>
  <c r="CP27" i="1" s="1"/>
  <c r="AS26" i="1"/>
  <c r="AW26" i="1" s="1"/>
  <c r="AS27" i="1"/>
  <c r="AW27" i="1" s="1"/>
  <c r="AS38" i="1"/>
  <c r="AW38" i="1" s="1"/>
  <c r="AW65" i="1" s="1"/>
  <c r="AX34" i="1"/>
  <c r="BB34" i="1" s="1"/>
  <c r="BB63" i="1" s="1"/>
  <c r="AS32" i="1"/>
  <c r="AW32" i="1" s="1"/>
  <c r="AW62" i="1" s="1"/>
  <c r="AX38" i="1"/>
  <c r="BB38" i="1" s="1"/>
  <c r="BB65" i="1" s="1"/>
  <c r="AX36" i="1"/>
  <c r="BB36" i="1" s="1"/>
  <c r="BB64" i="1" s="1"/>
  <c r="AS34" i="1"/>
  <c r="AW34" i="1" s="1"/>
  <c r="AW63" i="1" s="1"/>
  <c r="AS36" i="1"/>
  <c r="AW36" i="1" s="1"/>
  <c r="AW64" i="1" s="1"/>
  <c r="DB14" i="1"/>
  <c r="DK13" i="1"/>
  <c r="DT70" i="1" s="1"/>
  <c r="DC14" i="1"/>
  <c r="DG14" i="1"/>
  <c r="DD14" i="1"/>
  <c r="DJ14" i="1"/>
  <c r="DF14" i="1"/>
  <c r="DE14" i="1"/>
  <c r="DH14" i="1"/>
  <c r="BM18" i="1"/>
  <c r="BQ18" i="1" s="1"/>
  <c r="BL18" i="1"/>
  <c r="Y43" i="1"/>
  <c r="AC19" i="1"/>
  <c r="AC60" i="1" s="1"/>
  <c r="AH19" i="1"/>
  <c r="AH60" i="1" s="1"/>
  <c r="AH67" i="1" s="1"/>
  <c r="AD43" i="1"/>
  <c r="AR78" i="1" l="1"/>
  <c r="AS78" i="1" s="1"/>
  <c r="BB77" i="1"/>
  <c r="BC77" i="1" s="1"/>
  <c r="BB76" i="1"/>
  <c r="BC76" i="1" s="1"/>
  <c r="BB74" i="1"/>
  <c r="BC74" i="1" s="1"/>
  <c r="BH32" i="1"/>
  <c r="BL32" i="1" s="1"/>
  <c r="BL62" i="1" s="1"/>
  <c r="BB75" i="1"/>
  <c r="AC67" i="1"/>
  <c r="AH72" i="1"/>
  <c r="AH79" i="1" s="1"/>
  <c r="BC75" i="1"/>
  <c r="BH39" i="1"/>
  <c r="BL39" i="1" s="1"/>
  <c r="BB66" i="1"/>
  <c r="BC31" i="1"/>
  <c r="BG31" i="1" s="1"/>
  <c r="AW61" i="1"/>
  <c r="BC39" i="1"/>
  <c r="BG39" i="1" s="1"/>
  <c r="AW66" i="1"/>
  <c r="BH31" i="1"/>
  <c r="BL31" i="1" s="1"/>
  <c r="BB61" i="1"/>
  <c r="DT14" i="1"/>
  <c r="CV27" i="1"/>
  <c r="CZ27" i="1" s="1"/>
  <c r="BC26" i="1"/>
  <c r="BG26" i="1" s="1"/>
  <c r="BC27" i="1"/>
  <c r="BG27" i="1" s="1"/>
  <c r="BH36" i="1"/>
  <c r="BL36" i="1" s="1"/>
  <c r="BL64" i="1" s="1"/>
  <c r="BH34" i="1"/>
  <c r="BL34" i="1" s="1"/>
  <c r="BL63" i="1" s="1"/>
  <c r="BC38" i="1"/>
  <c r="BG38" i="1" s="1"/>
  <c r="BG65" i="1" s="1"/>
  <c r="BC32" i="1"/>
  <c r="BG32" i="1" s="1"/>
  <c r="BG62" i="1" s="1"/>
  <c r="BC36" i="1"/>
  <c r="BG36" i="1" s="1"/>
  <c r="BG64" i="1" s="1"/>
  <c r="BH38" i="1"/>
  <c r="BL38" i="1" s="1"/>
  <c r="BL65" i="1" s="1"/>
  <c r="BC34" i="1"/>
  <c r="BG34" i="1" s="1"/>
  <c r="BG63" i="1" s="1"/>
  <c r="DN14" i="1"/>
  <c r="DO14" i="1"/>
  <c r="DP14" i="1"/>
  <c r="DQ14" i="1"/>
  <c r="DM14" i="1"/>
  <c r="DR14" i="1"/>
  <c r="DS14" i="1"/>
  <c r="DK14" i="1"/>
  <c r="EE13" i="1"/>
  <c r="EH14" i="1" s="1"/>
  <c r="DL14" i="1"/>
  <c r="DU13" i="1"/>
  <c r="BW18" i="1"/>
  <c r="CA18" i="1" s="1"/>
  <c r="BR18" i="1"/>
  <c r="AN19" i="1"/>
  <c r="AH43" i="1"/>
  <c r="AI19" i="1"/>
  <c r="AC43" i="1"/>
  <c r="BL74" i="1" l="1"/>
  <c r="BM74" i="1" s="1"/>
  <c r="BR32" i="1"/>
  <c r="BV32" i="1" s="1"/>
  <c r="BV62" i="1" s="1"/>
  <c r="BB78" i="1"/>
  <c r="BC78" i="1" s="1"/>
  <c r="BL77" i="1"/>
  <c r="BM77" i="1" s="1"/>
  <c r="BB73" i="1"/>
  <c r="BC73" i="1" s="1"/>
  <c r="BL75" i="1"/>
  <c r="BM75" i="1" s="1"/>
  <c r="BL76" i="1"/>
  <c r="BM76" i="1" s="1"/>
  <c r="CG18" i="1"/>
  <c r="CK18" i="1" s="1"/>
  <c r="BR31" i="1"/>
  <c r="BV31" i="1" s="1"/>
  <c r="BL61" i="1"/>
  <c r="BR39" i="1"/>
  <c r="BV39" i="1" s="1"/>
  <c r="BL66" i="1"/>
  <c r="BM39" i="1"/>
  <c r="BQ39" i="1" s="1"/>
  <c r="BG66" i="1"/>
  <c r="BL78" i="1" s="1"/>
  <c r="BM78" i="1" s="1"/>
  <c r="BM31" i="1"/>
  <c r="BQ31" i="1" s="1"/>
  <c r="BG61" i="1"/>
  <c r="BL73" i="1" s="1"/>
  <c r="BM73" i="1" s="1"/>
  <c r="ED70" i="1"/>
  <c r="EO14" i="1"/>
  <c r="DF27" i="1"/>
  <c r="DJ27" i="1" s="1"/>
  <c r="BM26" i="1"/>
  <c r="BQ26" i="1" s="1"/>
  <c r="BM27" i="1"/>
  <c r="BQ27" i="1" s="1"/>
  <c r="EA14" i="1"/>
  <c r="DV14" i="1"/>
  <c r="DU14" i="1"/>
  <c r="BR38" i="1"/>
  <c r="BV38" i="1" s="1"/>
  <c r="BV65" i="1" s="1"/>
  <c r="BM38" i="1"/>
  <c r="BQ38" i="1" s="1"/>
  <c r="BQ65" i="1" s="1"/>
  <c r="BM34" i="1"/>
  <c r="BQ34" i="1" s="1"/>
  <c r="BQ63" i="1" s="1"/>
  <c r="BR34" i="1"/>
  <c r="BV34" i="1" s="1"/>
  <c r="BV63" i="1" s="1"/>
  <c r="BM36" i="1"/>
  <c r="BQ36" i="1" s="1"/>
  <c r="BQ64" i="1" s="1"/>
  <c r="ED14" i="1"/>
  <c r="BM32" i="1"/>
  <c r="BQ32" i="1" s="1"/>
  <c r="BQ62" i="1" s="1"/>
  <c r="BV74" i="1" s="1"/>
  <c r="BW74" i="1" s="1"/>
  <c r="EC14" i="1"/>
  <c r="EB14" i="1"/>
  <c r="EN14" i="1"/>
  <c r="DX14" i="1"/>
  <c r="DW14" i="1"/>
  <c r="EI13" i="1"/>
  <c r="DY14" i="1"/>
  <c r="DZ14" i="1"/>
  <c r="BR36" i="1"/>
  <c r="EG14" i="1"/>
  <c r="EF14" i="1"/>
  <c r="EE14" i="1"/>
  <c r="CB32" i="1"/>
  <c r="CF32" i="1" s="1"/>
  <c r="CF62" i="1" s="1"/>
  <c r="BV18" i="1"/>
  <c r="AM19" i="1"/>
  <c r="AM60" i="1" s="1"/>
  <c r="AI43" i="1"/>
  <c r="AR19" i="1"/>
  <c r="AR60" i="1" s="1"/>
  <c r="AR67" i="1" s="1"/>
  <c r="AN43" i="1"/>
  <c r="BV64" i="1" l="1"/>
  <c r="BV76" i="1" s="1"/>
  <c r="BW76" i="1" s="1"/>
  <c r="BV36" i="1"/>
  <c r="AM67" i="1"/>
  <c r="AR72" i="1"/>
  <c r="AR79" i="1" s="1"/>
  <c r="BV75" i="1"/>
  <c r="BW75" i="1" s="1"/>
  <c r="BV77" i="1"/>
  <c r="BW77" i="1" s="1"/>
  <c r="BW39" i="1"/>
  <c r="CA39" i="1" s="1"/>
  <c r="BQ66" i="1"/>
  <c r="BW31" i="1"/>
  <c r="CA31" i="1" s="1"/>
  <c r="BQ61" i="1"/>
  <c r="CB31" i="1"/>
  <c r="CF31" i="1" s="1"/>
  <c r="BV61" i="1"/>
  <c r="CB39" i="1"/>
  <c r="CF39" i="1" s="1"/>
  <c r="BV66" i="1"/>
  <c r="DP27" i="1"/>
  <c r="DT27" i="1" s="1"/>
  <c r="AI72" i="1"/>
  <c r="BW26" i="1"/>
  <c r="CA26" i="1" s="1"/>
  <c r="CG26" i="1" s="1"/>
  <c r="CK26" i="1" s="1"/>
  <c r="CQ26" i="1" s="1"/>
  <c r="CU26" i="1" s="1"/>
  <c r="DA26" i="1" s="1"/>
  <c r="DE26" i="1" s="1"/>
  <c r="DK26" i="1" s="1"/>
  <c r="DO26" i="1" s="1"/>
  <c r="DU26" i="1" s="1"/>
  <c r="DY26" i="1" s="1"/>
  <c r="BW27" i="1"/>
  <c r="CA27" i="1" s="1"/>
  <c r="BW32" i="1"/>
  <c r="CA32" i="1" s="1"/>
  <c r="CA62" i="1" s="1"/>
  <c r="BW34" i="1"/>
  <c r="CA34" i="1" s="1"/>
  <c r="CA63" i="1" s="1"/>
  <c r="BW38" i="1"/>
  <c r="CA38" i="1" s="1"/>
  <c r="CA65" i="1" s="1"/>
  <c r="BW36" i="1"/>
  <c r="CA36" i="1" s="1"/>
  <c r="CA64" i="1" s="1"/>
  <c r="CB38" i="1"/>
  <c r="CF38" i="1" s="1"/>
  <c r="CF65" i="1" s="1"/>
  <c r="CB36" i="1"/>
  <c r="CF36" i="1" s="1"/>
  <c r="CF64" i="1" s="1"/>
  <c r="CB34" i="1"/>
  <c r="CF34" i="1" s="1"/>
  <c r="CF63" i="1" s="1"/>
  <c r="CL32" i="1"/>
  <c r="CP32" i="1" s="1"/>
  <c r="CP62" i="1" s="1"/>
  <c r="CQ18" i="1"/>
  <c r="AR43" i="1"/>
  <c r="AX19" i="1"/>
  <c r="CB18" i="1"/>
  <c r="AS19" i="1"/>
  <c r="AM43" i="1"/>
  <c r="CG74" i="1" l="1"/>
  <c r="CF74" i="1"/>
  <c r="BV78" i="1"/>
  <c r="CF75" i="1"/>
  <c r="CG75" i="1" s="1"/>
  <c r="CF77" i="1"/>
  <c r="CG77" i="1" s="1"/>
  <c r="BV73" i="1"/>
  <c r="BW73" i="1" s="1"/>
  <c r="CF76" i="1"/>
  <c r="CG76" i="1" s="1"/>
  <c r="BW78" i="1"/>
  <c r="CL31" i="1"/>
  <c r="CP31" i="1" s="1"/>
  <c r="CF61" i="1"/>
  <c r="CL39" i="1"/>
  <c r="CP39" i="1" s="1"/>
  <c r="CF66" i="1"/>
  <c r="CG31" i="1"/>
  <c r="CK31" i="1" s="1"/>
  <c r="CA61" i="1"/>
  <c r="CG39" i="1"/>
  <c r="CK39" i="1" s="1"/>
  <c r="CA66" i="1"/>
  <c r="CG27" i="1"/>
  <c r="CK27" i="1" s="1"/>
  <c r="DZ27" i="1"/>
  <c r="ED27" i="1" s="1"/>
  <c r="EG26" i="1"/>
  <c r="CL34" i="1"/>
  <c r="CP34" i="1" s="1"/>
  <c r="CP63" i="1" s="1"/>
  <c r="CG34" i="1"/>
  <c r="CK34" i="1" s="1"/>
  <c r="CK63" i="1" s="1"/>
  <c r="CL36" i="1"/>
  <c r="CP36" i="1" s="1"/>
  <c r="CP64" i="1" s="1"/>
  <c r="CL38" i="1"/>
  <c r="CP38" i="1" s="1"/>
  <c r="CP65" i="1" s="1"/>
  <c r="CG32" i="1"/>
  <c r="CK32" i="1" s="1"/>
  <c r="CK62" i="1" s="1"/>
  <c r="CP74" i="1" s="1"/>
  <c r="CQ74" i="1" s="1"/>
  <c r="CG38" i="1"/>
  <c r="CK38" i="1" s="1"/>
  <c r="CK65" i="1" s="1"/>
  <c r="CP77" i="1" s="1"/>
  <c r="CQ77" i="1" s="1"/>
  <c r="CG36" i="1"/>
  <c r="CK36" i="1" s="1"/>
  <c r="CK64" i="1" s="1"/>
  <c r="CV32" i="1"/>
  <c r="CZ32" i="1" s="1"/>
  <c r="CZ62" i="1" s="1"/>
  <c r="CU18" i="1"/>
  <c r="BB19" i="1"/>
  <c r="BB60" i="1" s="1"/>
  <c r="BB67" i="1" s="1"/>
  <c r="AX43" i="1"/>
  <c r="CF18" i="1"/>
  <c r="AW19" i="1"/>
  <c r="AW60" i="1" s="1"/>
  <c r="AS43" i="1"/>
  <c r="J8" i="29" l="1"/>
  <c r="J13" i="29" s="1"/>
  <c r="F8" i="29"/>
  <c r="F13" i="29" s="1"/>
  <c r="K8" i="29"/>
  <c r="K13" i="29" s="1"/>
  <c r="I8" i="29"/>
  <c r="I13" i="29" s="1"/>
  <c r="M8" i="29"/>
  <c r="M13" i="29" s="1"/>
  <c r="G8" i="29"/>
  <c r="G13" i="29" s="1"/>
  <c r="L8" i="29"/>
  <c r="L13" i="29" s="1"/>
  <c r="E8" i="29"/>
  <c r="E13" i="29" s="1"/>
  <c r="H8" i="29"/>
  <c r="H13" i="29" s="1"/>
  <c r="C18" i="29"/>
  <c r="C13" i="29"/>
  <c r="CP76" i="1"/>
  <c r="CQ76" i="1" s="1"/>
  <c r="CF73" i="1"/>
  <c r="CG73" i="1" s="1"/>
  <c r="AW67" i="1"/>
  <c r="BB72" i="1"/>
  <c r="BB79" i="1" s="1"/>
  <c r="CF78" i="1"/>
  <c r="CG78" i="1" s="1"/>
  <c r="CP75" i="1"/>
  <c r="CQ75" i="1" s="1"/>
  <c r="CQ39" i="1"/>
  <c r="CU39" i="1" s="1"/>
  <c r="CK66" i="1"/>
  <c r="CP78" i="1" s="1"/>
  <c r="CQ31" i="1"/>
  <c r="CU31" i="1" s="1"/>
  <c r="CK61" i="1"/>
  <c r="CV39" i="1"/>
  <c r="CZ39" i="1" s="1"/>
  <c r="CP66" i="1"/>
  <c r="CV31" i="1"/>
  <c r="CZ31" i="1" s="1"/>
  <c r="CP61" i="1"/>
  <c r="AS72" i="1"/>
  <c r="CQ27" i="1"/>
  <c r="CU27" i="1" s="1"/>
  <c r="EH27" i="1"/>
  <c r="CQ36" i="1"/>
  <c r="CU36" i="1" s="1"/>
  <c r="CU64" i="1" s="1"/>
  <c r="CV36" i="1"/>
  <c r="CZ36" i="1" s="1"/>
  <c r="CZ64" i="1" s="1"/>
  <c r="CQ38" i="1"/>
  <c r="CU38" i="1" s="1"/>
  <c r="CU65" i="1" s="1"/>
  <c r="CQ32" i="1"/>
  <c r="CU32" i="1" s="1"/>
  <c r="CU62" i="1" s="1"/>
  <c r="CZ74" i="1" s="1"/>
  <c r="DA74" i="1" s="1"/>
  <c r="CQ34" i="1"/>
  <c r="CU34" i="1" s="1"/>
  <c r="CU63" i="1" s="1"/>
  <c r="CV34" i="1"/>
  <c r="CZ34" i="1" s="1"/>
  <c r="CZ63" i="1" s="1"/>
  <c r="CV38" i="1"/>
  <c r="CZ38" i="1" s="1"/>
  <c r="CZ65" i="1" s="1"/>
  <c r="DF32" i="1"/>
  <c r="DJ32" i="1" s="1"/>
  <c r="DJ62" i="1" s="1"/>
  <c r="AW43" i="1"/>
  <c r="BC19" i="1"/>
  <c r="DA18" i="1"/>
  <c r="BH19" i="1"/>
  <c r="BB43" i="1"/>
  <c r="CL18" i="1"/>
  <c r="C5" i="33" l="1" a="1"/>
  <c r="E24" i="29"/>
  <c r="E27" i="29" s="1"/>
  <c r="L24" i="29"/>
  <c r="L27" i="29" s="1"/>
  <c r="L15" i="29" s="1"/>
  <c r="K24" i="29"/>
  <c r="K27" i="29" s="1"/>
  <c r="K15" i="29" s="1"/>
  <c r="I24" i="29"/>
  <c r="I27" i="29" s="1"/>
  <c r="I15" i="29" s="1"/>
  <c r="F24" i="29"/>
  <c r="F27" i="29" s="1"/>
  <c r="F15" i="29" s="1"/>
  <c r="J24" i="29"/>
  <c r="J27" i="29" s="1"/>
  <c r="J15" i="29" s="1"/>
  <c r="H24" i="29"/>
  <c r="H27" i="29" s="1"/>
  <c r="H15" i="29" s="1"/>
  <c r="M24" i="29"/>
  <c r="M27" i="29" s="1"/>
  <c r="M15" i="29" s="1"/>
  <c r="G24" i="29"/>
  <c r="G27" i="29" s="1"/>
  <c r="G15" i="29" s="1"/>
  <c r="C27" i="29"/>
  <c r="CZ77" i="1"/>
  <c r="DA77" i="1" s="1"/>
  <c r="CP73" i="1"/>
  <c r="CQ73" i="1" s="1"/>
  <c r="CZ75" i="1"/>
  <c r="DA75" i="1" s="1"/>
  <c r="CZ76" i="1"/>
  <c r="DA76" i="1" s="1"/>
  <c r="CQ78" i="1"/>
  <c r="DF39" i="1"/>
  <c r="DJ39" i="1" s="1"/>
  <c r="CZ66" i="1"/>
  <c r="DA39" i="1"/>
  <c r="DE39" i="1" s="1"/>
  <c r="CU66" i="1"/>
  <c r="DA31" i="1"/>
  <c r="DE31" i="1" s="1"/>
  <c r="CU61" i="1"/>
  <c r="DF31" i="1"/>
  <c r="DJ31" i="1" s="1"/>
  <c r="CZ61" i="1"/>
  <c r="DA27" i="1"/>
  <c r="DE27" i="1" s="1"/>
  <c r="EK27" i="1"/>
  <c r="BC72" i="1"/>
  <c r="DF38" i="1"/>
  <c r="DJ38" i="1" s="1"/>
  <c r="DJ65" i="1" s="1"/>
  <c r="DF36" i="1"/>
  <c r="DJ36" i="1" s="1"/>
  <c r="DJ64" i="1" s="1"/>
  <c r="DA34" i="1"/>
  <c r="DE34" i="1" s="1"/>
  <c r="DE63" i="1" s="1"/>
  <c r="DA36" i="1"/>
  <c r="DE36" i="1" s="1"/>
  <c r="DE64" i="1" s="1"/>
  <c r="DA38" i="1"/>
  <c r="DE38" i="1" s="1"/>
  <c r="DE65" i="1" s="1"/>
  <c r="DJ77" i="1" s="1"/>
  <c r="DK77" i="1" s="1"/>
  <c r="DF34" i="1"/>
  <c r="DJ34" i="1" s="1"/>
  <c r="DJ63" i="1" s="1"/>
  <c r="DA32" i="1"/>
  <c r="DE32" i="1" s="1"/>
  <c r="DE62" i="1" s="1"/>
  <c r="DJ74" i="1" s="1"/>
  <c r="DK74" i="1" s="1"/>
  <c r="DP32" i="1"/>
  <c r="DT32" i="1" s="1"/>
  <c r="DT62" i="1" s="1"/>
  <c r="BG19" i="1"/>
  <c r="BG60" i="1" s="1"/>
  <c r="BC43" i="1"/>
  <c r="DE18" i="1"/>
  <c r="BL19" i="1"/>
  <c r="BL60" i="1" s="1"/>
  <c r="BL67" i="1" s="1"/>
  <c r="BH43" i="1"/>
  <c r="CP18" i="1"/>
  <c r="C18" i="33" l="1" a="1"/>
  <c r="D22" i="33" s="1"/>
  <c r="J22" i="33" s="1"/>
  <c r="E15" i="29"/>
  <c r="C5" i="33"/>
  <c r="D5" i="33" s="1"/>
  <c r="H5" i="33" s="1"/>
  <c r="D12" i="33"/>
  <c r="J12" i="33" s="1"/>
  <c r="D10" i="33"/>
  <c r="J10" i="33" s="1"/>
  <c r="D13" i="33"/>
  <c r="J13" i="33" s="1"/>
  <c r="D11" i="33"/>
  <c r="I11" i="33" s="1"/>
  <c r="D6" i="33"/>
  <c r="H6" i="33" s="1"/>
  <c r="D8" i="33"/>
  <c r="J8" i="33" s="1"/>
  <c r="D9" i="33"/>
  <c r="J9" i="33" s="1"/>
  <c r="D7" i="33"/>
  <c r="I7" i="33" s="1"/>
  <c r="DJ75" i="1"/>
  <c r="DK75" i="1" s="1"/>
  <c r="CZ73" i="1"/>
  <c r="DA73" i="1" s="1"/>
  <c r="BG67" i="1"/>
  <c r="BL72" i="1"/>
  <c r="BL79" i="1" s="1"/>
  <c r="CZ78" i="1"/>
  <c r="DA78" i="1" s="1"/>
  <c r="DJ76" i="1"/>
  <c r="DK76" i="1" s="1"/>
  <c r="DP39" i="1"/>
  <c r="DT39" i="1" s="1"/>
  <c r="DJ66" i="1"/>
  <c r="DP31" i="1"/>
  <c r="DT31" i="1" s="1"/>
  <c r="DJ61" i="1"/>
  <c r="DK39" i="1"/>
  <c r="DO39" i="1" s="1"/>
  <c r="DE66" i="1"/>
  <c r="DJ78" i="1" s="1"/>
  <c r="DK31" i="1"/>
  <c r="DO31" i="1" s="1"/>
  <c r="DE61" i="1"/>
  <c r="DJ73" i="1" s="1"/>
  <c r="DK73" i="1" s="1"/>
  <c r="DK27" i="1"/>
  <c r="DO27" i="1" s="1"/>
  <c r="DK36" i="1"/>
  <c r="DO36" i="1" s="1"/>
  <c r="DO64" i="1" s="1"/>
  <c r="DK34" i="1"/>
  <c r="DO34" i="1" s="1"/>
  <c r="DO63" i="1" s="1"/>
  <c r="DP34" i="1"/>
  <c r="DT34" i="1" s="1"/>
  <c r="DT63" i="1" s="1"/>
  <c r="DP36" i="1"/>
  <c r="DT36" i="1" s="1"/>
  <c r="DT64" i="1" s="1"/>
  <c r="DK32" i="1"/>
  <c r="DO32" i="1" s="1"/>
  <c r="DO62" i="1" s="1"/>
  <c r="DT74" i="1" s="1"/>
  <c r="DU74" i="1" s="1"/>
  <c r="DK38" i="1"/>
  <c r="DO38" i="1" s="1"/>
  <c r="DO65" i="1" s="1"/>
  <c r="DP38" i="1"/>
  <c r="DT38" i="1" s="1"/>
  <c r="DT65" i="1" s="1"/>
  <c r="DZ32" i="1"/>
  <c r="ED32" i="1" s="1"/>
  <c r="ED62" i="1" s="1"/>
  <c r="DK18" i="1"/>
  <c r="BM19" i="1"/>
  <c r="BG43" i="1"/>
  <c r="BR19" i="1"/>
  <c r="BL43" i="1"/>
  <c r="CV18" i="1"/>
  <c r="N22" i="33" l="1"/>
  <c r="D20" i="33"/>
  <c r="I20" i="33" s="1"/>
  <c r="D21" i="33"/>
  <c r="J21" i="33" s="1"/>
  <c r="D23" i="33"/>
  <c r="J23" i="33" s="1"/>
  <c r="D24" i="33"/>
  <c r="I24" i="33" s="1"/>
  <c r="C18" i="33"/>
  <c r="D18" i="33" s="1"/>
  <c r="H18" i="33" s="1"/>
  <c r="D19" i="33"/>
  <c r="H19" i="33" s="1"/>
  <c r="D25" i="33"/>
  <c r="J25" i="33" s="1"/>
  <c r="N25" i="33" s="1"/>
  <c r="D26" i="33"/>
  <c r="J26" i="33" s="1"/>
  <c r="N26" i="33" s="1"/>
  <c r="C14" i="33"/>
  <c r="DT77" i="1"/>
  <c r="DU77" i="1" s="1"/>
  <c r="DT75" i="1"/>
  <c r="DU75" i="1" s="1"/>
  <c r="DT76" i="1"/>
  <c r="DU76" i="1" s="1"/>
  <c r="DK78" i="1"/>
  <c r="DU31" i="1"/>
  <c r="DY31" i="1" s="1"/>
  <c r="DO61" i="1"/>
  <c r="DU39" i="1"/>
  <c r="DY39" i="1" s="1"/>
  <c r="DO66" i="1"/>
  <c r="DZ39" i="1"/>
  <c r="ED39" i="1" s="1"/>
  <c r="DT66" i="1"/>
  <c r="DT61" i="1"/>
  <c r="DZ31" i="1"/>
  <c r="ED31" i="1" s="1"/>
  <c r="DU27" i="1"/>
  <c r="DY27" i="1" s="1"/>
  <c r="DZ34" i="1"/>
  <c r="ED34" i="1" s="1"/>
  <c r="ED63" i="1" s="1"/>
  <c r="DZ38" i="1"/>
  <c r="ED38" i="1" s="1"/>
  <c r="ED65" i="1" s="1"/>
  <c r="DU34" i="1"/>
  <c r="DY34" i="1" s="1"/>
  <c r="DY63" i="1" s="1"/>
  <c r="DU38" i="1"/>
  <c r="DY38" i="1" s="1"/>
  <c r="DY65" i="1" s="1"/>
  <c r="DZ36" i="1"/>
  <c r="ED36" i="1" s="1"/>
  <c r="ED64" i="1" s="1"/>
  <c r="DU32" i="1"/>
  <c r="DY32" i="1" s="1"/>
  <c r="DU36" i="1"/>
  <c r="DY36" i="1" s="1"/>
  <c r="DY64" i="1" s="1"/>
  <c r="EH32" i="1"/>
  <c r="EH62" i="1" s="1"/>
  <c r="BQ19" i="1"/>
  <c r="BQ60" i="1" s="1"/>
  <c r="BM43" i="1"/>
  <c r="DO18" i="1"/>
  <c r="BV19" i="1"/>
  <c r="BV60" i="1" s="1"/>
  <c r="BV67" i="1" s="1"/>
  <c r="BR43" i="1"/>
  <c r="CZ18" i="1"/>
  <c r="C27" i="33" l="1"/>
  <c r="L18" i="33"/>
  <c r="L19" i="33"/>
  <c r="M24" i="33"/>
  <c r="N23" i="33"/>
  <c r="N21" i="33"/>
  <c r="M20" i="33"/>
  <c r="D27" i="33"/>
  <c r="D14" i="33"/>
  <c r="DT73" i="1"/>
  <c r="DU73" i="1" s="1"/>
  <c r="BQ67" i="1"/>
  <c r="BV72" i="1"/>
  <c r="BV79" i="1" s="1"/>
  <c r="ED77" i="1"/>
  <c r="EE77" i="1" s="1"/>
  <c r="ED75" i="1"/>
  <c r="EE75" i="1" s="1"/>
  <c r="DT78" i="1"/>
  <c r="ED76" i="1"/>
  <c r="EE76" i="1" s="1"/>
  <c r="DU78" i="1"/>
  <c r="DY61" i="1"/>
  <c r="EG31" i="1"/>
  <c r="EG61" i="1" s="1"/>
  <c r="EO31" i="1"/>
  <c r="EH31" i="1"/>
  <c r="ED61" i="1"/>
  <c r="EH39" i="1"/>
  <c r="ED66" i="1"/>
  <c r="EO33" i="1"/>
  <c r="DY62" i="1"/>
  <c r="ED74" i="1" s="1"/>
  <c r="EE74" i="1" s="1"/>
  <c r="DY66" i="1"/>
  <c r="EG39" i="1"/>
  <c r="EG66" i="1" s="1"/>
  <c r="EO40" i="1"/>
  <c r="BM72" i="1"/>
  <c r="EO37" i="1"/>
  <c r="EO35" i="1"/>
  <c r="BW72" i="1"/>
  <c r="EG27" i="1"/>
  <c r="EH38" i="1"/>
  <c r="EH65" i="1" s="1"/>
  <c r="EG32" i="1"/>
  <c r="EG34" i="1"/>
  <c r="EH36" i="1"/>
  <c r="EH34" i="1"/>
  <c r="EH63" i="1" s="1"/>
  <c r="EG36" i="1"/>
  <c r="EG38" i="1"/>
  <c r="EG65" i="1" s="1"/>
  <c r="EO38" i="1"/>
  <c r="EK32" i="1"/>
  <c r="BW19" i="1"/>
  <c r="BQ43" i="1"/>
  <c r="DU18" i="1"/>
  <c r="CB19" i="1"/>
  <c r="BV43" i="1"/>
  <c r="DF18" i="1"/>
  <c r="EH64" i="1" l="1"/>
  <c r="EG63" i="1"/>
  <c r="EG64" i="1"/>
  <c r="EG62" i="1"/>
  <c r="ED78" i="1"/>
  <c r="ED73" i="1"/>
  <c r="EE73" i="1" s="1"/>
  <c r="EE78" i="1"/>
  <c r="EH66" i="1"/>
  <c r="EK39" i="1"/>
  <c r="EK31" i="1"/>
  <c r="EH61" i="1"/>
  <c r="EK34" i="1"/>
  <c r="EK38" i="1"/>
  <c r="DY18" i="1"/>
  <c r="CA19" i="1"/>
  <c r="CA60" i="1" s="1"/>
  <c r="BW43" i="1"/>
  <c r="CF19" i="1"/>
  <c r="CF60" i="1" s="1"/>
  <c r="CF67" i="1" s="1"/>
  <c r="CB43" i="1"/>
  <c r="DJ18" i="1"/>
  <c r="EL65" i="1" l="1"/>
  <c r="EL64" i="1"/>
  <c r="EL62" i="1"/>
  <c r="EL63" i="1"/>
  <c r="CA67" i="1"/>
  <c r="CF72" i="1"/>
  <c r="CF79" i="1" s="1"/>
  <c r="EG18" i="1"/>
  <c r="CG19" i="1"/>
  <c r="CA43" i="1"/>
  <c r="CL19" i="1"/>
  <c r="CF43" i="1"/>
  <c r="DP18" i="1"/>
  <c r="CK19" i="1" l="1"/>
  <c r="CK60" i="1" s="1"/>
  <c r="CG43" i="1"/>
  <c r="CP19" i="1"/>
  <c r="CP60" i="1" s="1"/>
  <c r="CP67" i="1" s="1"/>
  <c r="CL43" i="1"/>
  <c r="DT18" i="1"/>
  <c r="CK67" i="1" l="1"/>
  <c r="CP72" i="1"/>
  <c r="CP79" i="1" s="1"/>
  <c r="CG72" i="1"/>
  <c r="CQ19" i="1"/>
  <c r="CK43" i="1"/>
  <c r="CV19" i="1"/>
  <c r="CP43" i="1"/>
  <c r="DZ18" i="1"/>
  <c r="CU19" i="1" l="1"/>
  <c r="CU60" i="1" s="1"/>
  <c r="CQ43" i="1"/>
  <c r="CZ19" i="1"/>
  <c r="CZ60" i="1" s="1"/>
  <c r="CZ67" i="1" s="1"/>
  <c r="CV43" i="1"/>
  <c r="ED18" i="1"/>
  <c r="CU67" i="1" l="1"/>
  <c r="CZ72" i="1"/>
  <c r="CZ79" i="1" s="1"/>
  <c r="CQ72" i="1"/>
  <c r="EH18" i="1"/>
  <c r="DA19" i="1"/>
  <c r="CU43" i="1"/>
  <c r="DF19" i="1"/>
  <c r="CZ43" i="1"/>
  <c r="DA72" i="1" l="1"/>
  <c r="EK18" i="1"/>
  <c r="DE19" i="1"/>
  <c r="DE60" i="1" s="1"/>
  <c r="DA43" i="1"/>
  <c r="DJ19" i="1"/>
  <c r="DJ60" i="1" s="1"/>
  <c r="DJ67" i="1" s="1"/>
  <c r="DF43" i="1"/>
  <c r="DE67" i="1" l="1"/>
  <c r="DJ72" i="1"/>
  <c r="DJ79" i="1" s="1"/>
  <c r="DK19" i="1"/>
  <c r="DE43" i="1"/>
  <c r="DP19" i="1"/>
  <c r="DJ43" i="1"/>
  <c r="DO19" i="1" l="1"/>
  <c r="DO60" i="1" s="1"/>
  <c r="DK43" i="1"/>
  <c r="DT19" i="1"/>
  <c r="DT60" i="1" s="1"/>
  <c r="DT67" i="1" s="1"/>
  <c r="DP43" i="1"/>
  <c r="DO67" i="1" l="1"/>
  <c r="DT72" i="1"/>
  <c r="DT79" i="1" s="1"/>
  <c r="DK72" i="1"/>
  <c r="DU19" i="1"/>
  <c r="DO43" i="1"/>
  <c r="DZ19" i="1"/>
  <c r="DT43" i="1"/>
  <c r="DU72" i="1" l="1"/>
  <c r="DY19" i="1"/>
  <c r="DU43" i="1"/>
  <c r="ED19" i="1"/>
  <c r="ED60" i="1" s="1"/>
  <c r="ED67" i="1" s="1"/>
  <c r="DZ43" i="1"/>
  <c r="DY60" i="1" l="1"/>
  <c r="ED72" i="1" s="1"/>
  <c r="DY67" i="1"/>
  <c r="ED79" i="1"/>
  <c r="EO30" i="1"/>
  <c r="EO43" i="1" s="1"/>
  <c r="ED43" i="1"/>
  <c r="EH19" i="1"/>
  <c r="EH60" i="1" s="1"/>
  <c r="DY43" i="1"/>
  <c r="EG19" i="1"/>
  <c r="EG60" i="1" l="1"/>
  <c r="EH67" i="1"/>
  <c r="EE72" i="1"/>
  <c r="EG67" i="1"/>
  <c r="EG43" i="1"/>
  <c r="EK19" i="1"/>
  <c r="EH43" i="1"/>
  <c r="EL60" i="1" l="1"/>
  <c r="EL67" i="1" s="1"/>
  <c r="EK43" i="1"/>
  <c r="EL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Perrin</author>
  </authors>
  <commentList>
    <comment ref="CW18" authorId="0" shapeId="0" xr:uid="{CACBDB44-9BC4-419C-BA7D-C85737D729C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</t>
        </r>
      </text>
    </comment>
    <comment ref="DG18" authorId="0" shapeId="0" xr:uid="{469D1862-3E54-48F2-8B29-CF75396DC9C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calculation
</t>
        </r>
      </text>
    </comment>
    <comment ref="H19" authorId="0" shapeId="0" xr:uid="{D62A96D1-7013-4F3F-9F1F-7C42FFF71E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20" authorId="0" shapeId="0" xr:uid="{93EDD71A-97EC-4996-8FEE-D2E21EED292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0" authorId="0" shapeId="0" xr:uid="{BC382A43-1D9A-45E5-B0E8-E1113470638B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1" authorId="0" shapeId="0" xr:uid="{B1F61235-7F8F-4973-B52E-027CDA8C130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1" authorId="0" shapeId="0" xr:uid="{459F76FD-5BFA-436D-828D-484159B75C2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7" authorId="0" shapeId="0" xr:uid="{B50F2B64-43C9-4B82-B03D-A6CFAC428C92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CY28" authorId="0" shapeId="0" xr:uid="{645F2906-EC31-42BB-8AF1-0691C71524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correction-no interest charges to be applied</t>
        </r>
      </text>
    </comment>
    <comment ref="H29" authorId="0" shapeId="0" xr:uid="{75861BB7-8C30-485E-9D4B-A00D8771EB4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0" authorId="0" shapeId="0" xr:uid="{9AE53BFE-334E-4B6A-9CE0-F96309A1F67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2" authorId="0" shapeId="0" xr:uid="{A5E2A9FF-69CD-4DE3-8EC7-5E3E9D30569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3" authorId="0" shapeId="0" xr:uid="{300C5506-F822-4641-B8B2-1E12688CD64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3" authorId="0" shapeId="0" xr:uid="{96F7B2EA-9424-401A-A91B-8A20D88CFD2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H34" authorId="0" shapeId="0" xr:uid="{CFDFE36C-653F-4BB2-9B11-8AF4EA34323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5" authorId="0" shapeId="0" xr:uid="{709DCAD5-C063-45A4-9750-00D79ED4D50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5" authorId="0" shapeId="0" xr:uid="{FAD037C0-C85C-49E0-842F-262AD49350D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
</t>
        </r>
      </text>
    </comment>
    <comment ref="H36" authorId="0" shapeId="0" xr:uid="{0E9FB550-3187-4211-9D7D-63E1CCC2342C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closing balance</t>
        </r>
      </text>
    </comment>
    <comment ref="R36" authorId="0" shapeId="0" xr:uid="{A98CDB52-3E32-4E62-8945-3A44BEA640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Adjustment to match approved in EB-2013-0174</t>
        </r>
      </text>
    </comment>
    <comment ref="AV37" authorId="0" shapeId="0" xr:uid="{4817C871-ED69-47CB-BD76-088F221D8D1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balance</t>
        </r>
      </text>
    </comment>
    <comment ref="BD37" authorId="0" shapeId="0" xr:uid="{AFD10A35-021F-461A-9334-821F775E1EE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2017 Fcst in application</t>
        </r>
      </text>
    </comment>
    <comment ref="AL38" authorId="0" shapeId="0" xr:uid="{DF993B4D-A58D-4668-9E0D-02218EF4D667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2014, fix 2015</t>
        </r>
      </text>
    </comment>
    <comment ref="AV38" authorId="0" shapeId="0" xr:uid="{44000500-570C-45EB-A0F3-F1889AF4EE7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2015 in Q1 2016</t>
        </r>
      </text>
    </comment>
    <comment ref="DX38" authorId="0" shapeId="0" xr:uid="{514A0F68-F43E-457D-A271-8F3D82412AB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 calc of Loss on Retirement using 2EA schedule</t>
        </r>
      </text>
    </comment>
    <comment ref="BP39" authorId="0" shapeId="0" xr:uid="{E151BECD-72C1-46C2-84E0-7358B876B71F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39" authorId="0" shapeId="0" xr:uid="{D627C3E4-D79B-4E18-9707-3E351E52CF15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</t>
        </r>
      </text>
    </comment>
    <comment ref="BP40" authorId="0" shapeId="0" xr:uid="{9EB49606-F5F6-4C56-AE2E-BEB20832B45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40" authorId="0" shapeId="0" xr:uid="{E28EB8EE-1878-40E1-98FD-2A8C43D098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<sst xmlns="http://schemas.openxmlformats.org/spreadsheetml/2006/main" count="543" uniqueCount="146">
  <si>
    <t xml:space="preserve"> </t>
  </si>
  <si>
    <t>RRR</t>
  </si>
  <si>
    <t>ICM</t>
  </si>
  <si>
    <t>USoA</t>
  </si>
  <si>
    <t>Seaton</t>
  </si>
  <si>
    <t>BRT</t>
  </si>
  <si>
    <t>Veridian</t>
  </si>
  <si>
    <t>Whitby</t>
  </si>
  <si>
    <t>Collection of Account Variance</t>
  </si>
  <si>
    <t>Pole Attachment Revenue Variance</t>
  </si>
  <si>
    <t>OEB Cost Assessment Variance</t>
  </si>
  <si>
    <t>EE</t>
  </si>
  <si>
    <t>V</t>
  </si>
  <si>
    <t>W</t>
  </si>
  <si>
    <t>2.1.7 RRR</t>
  </si>
  <si>
    <t>Account Descriptions</t>
  </si>
  <si>
    <t>Account Number</t>
  </si>
  <si>
    <t>Total Interest</t>
  </si>
  <si>
    <t>Total Claim</t>
  </si>
  <si>
    <t>Accounts to Dispose
Yes/No</t>
  </si>
  <si>
    <t>Claim before Forecasted Transactions</t>
  </si>
  <si>
    <t>Explanation</t>
  </si>
  <si>
    <t>Group 2 Accounts</t>
  </si>
  <si>
    <t>Collection of Account Variance (V)</t>
  </si>
  <si>
    <t>YES</t>
  </si>
  <si>
    <t>IFRS Transition Costs (V)</t>
  </si>
  <si>
    <t>IFRS Transition Costs (W)</t>
  </si>
  <si>
    <t>NO</t>
  </si>
  <si>
    <t>Incremental Capital (W)</t>
  </si>
  <si>
    <t>Locate Costs-bill 93 (E)</t>
  </si>
  <si>
    <t>LEAP Deferral (V)</t>
  </si>
  <si>
    <t>Pole Attachment Revenue Variance (V)</t>
  </si>
  <si>
    <t>Pole Attachment Revenue Variance (W)</t>
  </si>
  <si>
    <t>OEB Cost Assessment Variance (V)</t>
  </si>
  <si>
    <t>OEB Cost Assessment Variance (W)</t>
  </si>
  <si>
    <t>Change in Estimated Useful Life (W)</t>
  </si>
  <si>
    <t>OCEB (V)</t>
  </si>
  <si>
    <t>LPP Class Action (V)</t>
  </si>
  <si>
    <t>Incremental Cloud Computing Implementation Costs (E)</t>
  </si>
  <si>
    <t>Retail Cost Variance Account (V)</t>
  </si>
  <si>
    <t>Retail Cost Variance Account (W)</t>
  </si>
  <si>
    <t>Retail Cost Variance Account str (V)</t>
  </si>
  <si>
    <t>Retail Cost Variance Account str (W)</t>
  </si>
  <si>
    <t>Smart Meter-Stranded Costs (V)</t>
  </si>
  <si>
    <t>Smart Meter-Stranded Costs (W)</t>
  </si>
  <si>
    <t>IFRS-CGAAP Transitional PPE amounts (V)</t>
  </si>
  <si>
    <t>Correction of Loss on Retirement calc</t>
  </si>
  <si>
    <t>PIL, tax variance - CCA (V)</t>
  </si>
  <si>
    <t>PIL, tax variance - CCA (W)</t>
  </si>
  <si>
    <t>Total of Group 2 Accounts Above</t>
  </si>
  <si>
    <t>Total P&amp;I</t>
  </si>
  <si>
    <t>Variance</t>
  </si>
  <si>
    <t>ICM ($43,502,487) and Useful Life adj ($10,338) and OEB Cost Assessment ($485,686)</t>
  </si>
  <si>
    <t>Loss on Retirement adj</t>
  </si>
  <si>
    <t>SCADA</t>
  </si>
  <si>
    <t>Total</t>
  </si>
  <si>
    <t>Capital Expend</t>
  </si>
  <si>
    <t>Capital Expend cc</t>
  </si>
  <si>
    <t xml:space="preserve">Depreciation </t>
  </si>
  <si>
    <t>Acc Amort</t>
  </si>
  <si>
    <t>Rate Rider revenue</t>
  </si>
  <si>
    <t>RR revenue cc</t>
  </si>
  <si>
    <t>Retail Cost Variance Account - Retail</t>
  </si>
  <si>
    <t>Retail Cost Variance Account - STR</t>
  </si>
  <si>
    <t>Veridian Rate Zone</t>
  </si>
  <si>
    <t>Total Claim Allocation</t>
  </si>
  <si>
    <t>Allocator</t>
  </si>
  <si>
    <t xml:space="preserve">Residential Service Classification </t>
  </si>
  <si>
    <t xml:space="preserve">Seasonal Residential Service Classification </t>
  </si>
  <si>
    <t xml:space="preserve">General Services Less Than 50 kW Service Classification </t>
  </si>
  <si>
    <t>General Services 50 to 2,999 kW Service Classification</t>
  </si>
  <si>
    <t>General Services 3,000 to 4,999 kW Service Classification</t>
  </si>
  <si>
    <t>Large Use Service Classification</t>
  </si>
  <si>
    <t>Unmetered Scattered Load  Service Classification</t>
  </si>
  <si>
    <t>Sentinel Lighting Service Classification</t>
  </si>
  <si>
    <t>Street Lighting Service Classification</t>
  </si>
  <si>
    <t>Deferred IFRS Transition Costs</t>
  </si>
  <si>
    <t>kWh</t>
  </si>
  <si>
    <t>Distribution Rev.</t>
  </si>
  <si>
    <t>Other Regulatory Assets, sub-account LEAP EFA Funding Deferal Account</t>
  </si>
  <si>
    <t># of Customers</t>
  </si>
  <si>
    <t>Smart Meter Capital and Recovery Offset Variance - Sub-Account - Stranded Meter Costs</t>
  </si>
  <si>
    <t>Total of Group 2 Accounts</t>
  </si>
  <si>
    <t>VRZ 3 rate riders</t>
  </si>
  <si>
    <t>Distribution related</t>
  </si>
  <si>
    <t>Other Income related</t>
  </si>
  <si>
    <t>Distribution Rider Allocation</t>
  </si>
  <si>
    <t>Other Income Rider Allocation</t>
  </si>
  <si>
    <t>Whitby Rate Zone</t>
  </si>
  <si>
    <t>General Services 50 to 4,999 kW Service Classification</t>
  </si>
  <si>
    <t>WRZ 2 rate riders</t>
  </si>
  <si>
    <t>Other Income Allocation</t>
  </si>
  <si>
    <r>
      <t xml:space="preserve">Total Metered </t>
    </r>
    <r>
      <rPr>
        <b/>
        <sz val="10"/>
        <color rgb="FFFF0000"/>
        <rFont val="Arial"/>
        <family val="2"/>
      </rPr>
      <t>kWh</t>
    </r>
  </si>
  <si>
    <r>
      <t xml:space="preserve">Total Metered </t>
    </r>
    <r>
      <rPr>
        <b/>
        <sz val="10"/>
        <color rgb="FFFF0000"/>
        <rFont val="Arial"/>
        <family val="2"/>
      </rPr>
      <t>kW</t>
    </r>
  </si>
  <si>
    <r>
      <t xml:space="preserve">Metered </t>
    </r>
    <r>
      <rPr>
        <b/>
        <sz val="10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</si>
  <si>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0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</si>
  <si>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1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Wholesale Market Participants (WMP)</t>
    </r>
  </si>
  <si>
    <r>
      <t xml:space="preserve">Metered </t>
    </r>
    <r>
      <rPr>
        <b/>
        <sz val="11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Wholesale Market Participants (WMP)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</si>
  <si>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kWh </t>
    </r>
    <r>
      <rPr>
        <b/>
        <sz val="10"/>
        <rFont val="Arial"/>
        <family val="2"/>
      </rPr>
      <t xml:space="preserve">less WMP consumption
</t>
    </r>
    <r>
      <rPr>
        <b/>
        <i/>
        <sz val="10"/>
        <rFont val="Arial"/>
        <family val="2"/>
      </rPr>
      <t>(if applicable)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</si>
  <si>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 </t>
    </r>
    <r>
      <rPr>
        <b/>
        <sz val="10"/>
        <rFont val="Arial"/>
        <family val="2"/>
      </rPr>
      <t xml:space="preserve">less WMP consumption 
</t>
    </r>
    <r>
      <rPr>
        <b/>
        <i/>
        <sz val="10"/>
        <rFont val="Arial"/>
        <family val="2"/>
      </rPr>
      <t>(if applicable)</t>
    </r>
  </si>
  <si>
    <t>Number of Connections</t>
  </si>
  <si>
    <t>Number of Customers</t>
  </si>
  <si>
    <t>Distribution Revenue</t>
  </si>
  <si>
    <t>Allocation</t>
  </si>
  <si>
    <t>Rate Class</t>
  </si>
  <si>
    <t>Unit</t>
  </si>
  <si>
    <t>RESIDENTIAL SERVICE CLASSIFICATION</t>
  </si>
  <si>
    <t>GENERAL SERVICE LESS THAN 50 KW SERVICE CLASSIFICATION</t>
  </si>
  <si>
    <t>GENERAL SERVICE 50 to 4,999 kW SERVICE CLASSIFICATION</t>
  </si>
  <si>
    <t>kW</t>
  </si>
  <si>
    <t>UNMETERED SCATTERED LOAD SERVICE CLASSIFICATION</t>
  </si>
  <si>
    <t>SENTINEL LIGHTING SERVICE CLASSIFICATION</t>
  </si>
  <si>
    <t>STREET LIGHTING SERVICE CLASSIFICATION</t>
  </si>
  <si>
    <t>SEASONAL RESIDENTIAL SERVICE CLASSIFICATION</t>
  </si>
  <si>
    <t>GENERAL SERVICE 50 TO 2,999 KW SERVICE CLASSIFICATION</t>
  </si>
  <si>
    <t>GENERAL SERVICE 3,000 TO 4,999 KW SERVICE CLASSIFICATION</t>
  </si>
  <si>
    <t>LARGE USE SERVICE CLASSIFICATION</t>
  </si>
  <si>
    <t>Veridian Rate Zone 2026 DVA Riders (Total)</t>
  </si>
  <si>
    <t>Total Revenue by Rate Class</t>
  </si>
  <si>
    <t>Billed kWh</t>
  </si>
  <si>
    <t>Billed kW</t>
  </si>
  <si>
    <t>Service Charge Rate Rider</t>
  </si>
  <si>
    <t>Distribution Volumetric Rate kWh Rate Rider</t>
  </si>
  <si>
    <t>Distribution Volumetric Rate kW Rate Rider</t>
  </si>
  <si>
    <t>RESIDENTIAL</t>
  </si>
  <si>
    <t>SEASONAL RESIDENTIAL</t>
  </si>
  <si>
    <t>GENERAL SERVICE LESS THAN 50 kW</t>
  </si>
  <si>
    <t>GENERAL SERVICE 50 TO 2,999 KW</t>
  </si>
  <si>
    <t>GENERAL SERVICE 3,000 TO 4,999 KW</t>
  </si>
  <si>
    <t>LARGE USE</t>
  </si>
  <si>
    <t>UNMETERED SCATTERED LOAD</t>
  </si>
  <si>
    <t>SENTINEL LIGHTING</t>
  </si>
  <si>
    <t>STREET LIGHTING</t>
  </si>
  <si>
    <t>Veridian Rate Zone 2026 DVA Riders (Distribution)</t>
  </si>
  <si>
    <t>Billed Customers or Connections</t>
  </si>
  <si>
    <t>Veridian Rate Zone 2026 DVA Riders (Other Income)</t>
  </si>
  <si>
    <t>Whitby Rate Zone 2026 DVA Riders (Total)</t>
  </si>
  <si>
    <t>Whitby Rate Zone 2026 DVA Riders (Distribution)</t>
  </si>
  <si>
    <t>Whitby Rate Zone 2026 DVA Riders (Other Income)</t>
  </si>
  <si>
    <t>ICM and correction of Useful Life calc &amp; OEB Cost Assessment</t>
  </si>
  <si>
    <t xml:space="preserve">See cell EE79 &amp; Section 2.2 of Appendix B </t>
  </si>
  <si>
    <t>Annual Recovery</t>
  </si>
  <si>
    <t>Rate Rider</t>
  </si>
  <si>
    <t>Recovery</t>
  </si>
  <si>
    <t>23 Month Rate Rider</t>
  </si>
  <si>
    <t xml:space="preserve">Projected Interest  from Jan 1, 2025 to December 31, 2025 on  Dec 31 -24 balance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</si>
</sst>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#,##0_ ;[Red]\-#,##0\ "/>
    <numFmt numFmtId="166" formatCode="_-* #,##0_-;\-* #,##0_-;_-* &quot;-&quot;??_-;_-@_-"/>
    <numFmt numFmtId="167" formatCode="#,##0;[Red]\(#,##0\)"/>
    <numFmt numFmtId="168" formatCode="#,##0.0"/>
    <numFmt numFmtId="169" formatCode="&quot;$&quot;#,##0;[Red]&quot;$&quot;#,##0"/>
    <numFmt numFmtId="170" formatCode="0.0%"/>
    <numFmt numFmtId="171" formatCode="_(* #,##0_);_(* \(#,##0\);_(* &quot;-&quot;??_);_(@_)"/>
    <numFmt numFmtId="172" formatCode="_(* #,##0.0_);_(* \(#,##0.0\);_(* &quot;-&quot;??_);_(@_)"/>
    <numFmt numFmtId="173" formatCode="mm/dd/yyyy"/>
    <numFmt numFmtId="174" formatCode="0\-0"/>
    <numFmt numFmtId="175" formatCode="##\-#"/>
    <numFmt numFmtId="176" formatCode="&quot;£ &quot;#,##0.00;[Red]\-&quot;£ &quot;#,##0.00"/>
    <numFmt numFmtId="177" formatCode="0.0000"/>
    <numFmt numFmtId="178" formatCode="&quot;$&quot;#,##0"/>
    <numFmt numFmtId="179" formatCode="_-* #,##0.0000_-;\-* #,##0.0000_-;_-* &quot;-&quot;??_-;_-@_-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sz val="10"/>
      <name val="Book Antiqua"/>
      <family val="1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22"/>
      <name val="Book Antiqua"/>
      <family val="1"/>
    </font>
    <font>
      <sz val="22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b/>
      <sz val="18"/>
      <name val="Arial"/>
      <family val="2"/>
    </font>
    <font>
      <sz val="11"/>
      <name val="Arial"/>
      <family val="2"/>
    </font>
    <font>
      <sz val="10"/>
      <color rgb="FF000000"/>
      <name val="Book Antiqua"/>
      <family val="1"/>
    </font>
    <font>
      <sz val="10"/>
      <color theme="1"/>
      <name val="Aptos Narrow"/>
      <family val="2"/>
      <scheme val="minor"/>
    </font>
    <font>
      <sz val="10"/>
      <color rgb="FFFF0000"/>
      <name val="Book Antiqua"/>
      <family val="1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11"/>
      <color rgb="FF000000"/>
      <name val="Aptos Narrow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3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39"/>
      </bottom>
      <diagonal/>
    </border>
    <border>
      <left style="medium">
        <color indexed="64"/>
      </left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64"/>
      </right>
      <top style="medium">
        <color indexed="1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28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1" borderId="49" applyNumberFormat="0" applyAlignment="0" applyProtection="0"/>
    <xf numFmtId="0" fontId="35" fillId="12" borderId="50" applyNumberFormat="0" applyAlignment="0" applyProtection="0"/>
    <xf numFmtId="0" fontId="36" fillId="12" borderId="49" applyNumberFormat="0" applyAlignment="0" applyProtection="0"/>
    <xf numFmtId="0" fontId="37" fillId="0" borderId="51" applyNumberFormat="0" applyFill="0" applyAlignment="0" applyProtection="0"/>
    <xf numFmtId="0" fontId="38" fillId="13" borderId="52" applyNumberFormat="0" applyAlignment="0" applyProtection="0"/>
    <xf numFmtId="0" fontId="39" fillId="0" borderId="0" applyNumberFormat="0" applyFill="0" applyBorder="0" applyAlignment="0" applyProtection="0"/>
    <xf numFmtId="0" fontId="1" fillId="14" borderId="53" applyNumberFormat="0" applyFont="0" applyAlignment="0" applyProtection="0"/>
    <xf numFmtId="0" fontId="40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4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4" fillId="0" borderId="0"/>
    <xf numFmtId="168" fontId="4" fillId="0" borderId="0"/>
    <xf numFmtId="173" fontId="4" fillId="0" borderId="0"/>
    <xf numFmtId="174" fontId="4" fillId="0" borderId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42" fillId="40" borderId="0" applyNumberFormat="0" applyBorder="0" applyAlignment="0" applyProtection="0"/>
    <xf numFmtId="10" fontId="42" fillId="41" borderId="45" applyNumberFormat="0" applyBorder="0" applyAlignment="0" applyProtection="0"/>
    <xf numFmtId="175" fontId="4" fillId="0" borderId="0"/>
    <xf numFmtId="171" fontId="4" fillId="0" borderId="0"/>
    <xf numFmtId="176" fontId="4" fillId="0" borderId="0"/>
    <xf numFmtId="10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3" fontId="4" fillId="0" borderId="0"/>
    <xf numFmtId="175" fontId="4" fillId="0" borderId="0"/>
    <xf numFmtId="172" fontId="4" fillId="0" borderId="0"/>
    <xf numFmtId="175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8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5" borderId="0" applyNumberFormat="0" applyBorder="0" applyAlignment="0" applyProtection="0"/>
    <xf numFmtId="0" fontId="33" fillId="9" borderId="0" applyNumberFormat="0" applyBorder="0" applyAlignment="0" applyProtection="0"/>
    <xf numFmtId="0" fontId="36" fillId="12" borderId="49" applyNumberFormat="0" applyAlignment="0" applyProtection="0"/>
    <xf numFmtId="0" fontId="38" fillId="13" borderId="5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4" fillId="11" borderId="49" applyNumberFormat="0" applyAlignment="0" applyProtection="0"/>
    <xf numFmtId="0" fontId="37" fillId="0" borderId="51" applyNumberFormat="0" applyFill="0" applyAlignment="0" applyProtection="0"/>
    <xf numFmtId="0" fontId="44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0" fontId="35" fillId="12" borderId="50" applyNumberFormat="0" applyAlignment="0" applyProtection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39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5" fontId="4" fillId="0" borderId="0"/>
    <xf numFmtId="0" fontId="1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4" fillId="10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8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" fillId="0" borderId="0"/>
    <xf numFmtId="172" fontId="4" fillId="0" borderId="0"/>
    <xf numFmtId="172" fontId="4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4" fillId="0" borderId="0"/>
    <xf numFmtId="172" fontId="4" fillId="0" borderId="0"/>
    <xf numFmtId="172" fontId="4" fillId="0" borderId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5">
    <xf numFmtId="0" fontId="0" fillId="0" borderId="0" xfId="0"/>
    <xf numFmtId="8" fontId="0" fillId="0" borderId="0" xfId="0" applyNumberFormat="1"/>
    <xf numFmtId="165" fontId="2" fillId="0" borderId="0" xfId="0" applyNumberFormat="1" applyFont="1" applyProtection="1">
      <protection locked="0"/>
    </xf>
    <xf numFmtId="8" fontId="0" fillId="0" borderId="0" xfId="0" applyNumberFormat="1" applyProtection="1">
      <protection locked="0"/>
    </xf>
    <xf numFmtId="0" fontId="3" fillId="0" borderId="0" xfId="0" applyFont="1"/>
    <xf numFmtId="0" fontId="5" fillId="0" borderId="0" xfId="2" applyFont="1" applyAlignment="1">
      <alignment horizontal="left" wrapText="1"/>
    </xf>
    <xf numFmtId="166" fontId="6" fillId="0" borderId="0" xfId="1" applyNumberFormat="1" applyFont="1" applyFill="1" applyProtection="1"/>
    <xf numFmtId="0" fontId="7" fillId="0" borderId="0" xfId="0" applyFont="1"/>
    <xf numFmtId="8" fontId="4" fillId="0" borderId="0" xfId="0" applyNumberFormat="1" applyFont="1"/>
    <xf numFmtId="8" fontId="4" fillId="0" borderId="0" xfId="0" applyNumberFormat="1" applyFont="1" applyProtection="1">
      <protection locked="0"/>
    </xf>
    <xf numFmtId="0" fontId="8" fillId="0" borderId="0" xfId="0" applyFont="1"/>
    <xf numFmtId="0" fontId="9" fillId="0" borderId="0" xfId="0" applyFont="1" applyAlignment="1">
      <alignment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6" fontId="0" fillId="0" borderId="0" xfId="0" applyNumberFormat="1"/>
    <xf numFmtId="8" fontId="0" fillId="0" borderId="10" xfId="0" applyNumberFormat="1" applyBorder="1"/>
    <xf numFmtId="6" fontId="0" fillId="0" borderId="11" xfId="0" applyNumberFormat="1" applyBorder="1"/>
    <xf numFmtId="6" fontId="3" fillId="0" borderId="0" xfId="0" applyNumberFormat="1" applyFont="1"/>
    <xf numFmtId="0" fontId="15" fillId="0" borderId="9" xfId="0" applyFont="1" applyBorder="1"/>
    <xf numFmtId="0" fontId="3" fillId="0" borderId="0" xfId="20" applyFont="1"/>
    <xf numFmtId="8" fontId="0" fillId="0" borderId="13" xfId="0" applyNumberFormat="1" applyBorder="1"/>
    <xf numFmtId="0" fontId="5" fillId="0" borderId="9" xfId="2" applyFont="1" applyBorder="1" applyAlignment="1">
      <alignment horizontal="left" wrapText="1"/>
    </xf>
    <xf numFmtId="0" fontId="5" fillId="0" borderId="10" xfId="2" applyFont="1" applyBorder="1" applyAlignment="1">
      <alignment horizontal="left" wrapText="1"/>
    </xf>
    <xf numFmtId="0" fontId="5" fillId="0" borderId="19" xfId="2" applyFont="1" applyBorder="1" applyAlignment="1">
      <alignment horizontal="left" wrapText="1"/>
    </xf>
    <xf numFmtId="0" fontId="5" fillId="0" borderId="16" xfId="2" applyFont="1" applyBorder="1" applyAlignment="1">
      <alignment horizontal="left" wrapText="1"/>
    </xf>
    <xf numFmtId="0" fontId="5" fillId="0" borderId="13" xfId="2" applyFont="1" applyBorder="1" applyAlignment="1">
      <alignment horizontal="left" wrapText="1"/>
    </xf>
    <xf numFmtId="0" fontId="11" fillId="0" borderId="4" xfId="0" applyFont="1" applyBorder="1"/>
    <xf numFmtId="6" fontId="15" fillId="0" borderId="11" xfId="0" applyNumberFormat="1" applyFont="1" applyBorder="1"/>
    <xf numFmtId="6" fontId="0" fillId="0" borderId="14" xfId="0" applyNumberFormat="1" applyBorder="1"/>
    <xf numFmtId="0" fontId="15" fillId="0" borderId="6" xfId="0" applyFont="1" applyBorder="1"/>
    <xf numFmtId="0" fontId="16" fillId="0" borderId="9" xfId="0" applyFont="1" applyBorder="1" applyAlignment="1">
      <alignment horizontal="left"/>
    </xf>
    <xf numFmtId="0" fontId="15" fillId="0" borderId="10" xfId="0" applyFont="1" applyBorder="1"/>
    <xf numFmtId="0" fontId="15" fillId="0" borderId="19" xfId="0" applyFont="1" applyBorder="1"/>
    <xf numFmtId="0" fontId="15" fillId="0" borderId="13" xfId="0" applyFont="1" applyBorder="1"/>
    <xf numFmtId="0" fontId="13" fillId="0" borderId="10" xfId="0" applyFont="1" applyBorder="1" applyAlignment="1">
      <alignment horizontal="center"/>
    </xf>
    <xf numFmtId="6" fontId="17" fillId="0" borderId="11" xfId="0" applyNumberFormat="1" applyFont="1" applyBorder="1"/>
    <xf numFmtId="0" fontId="13" fillId="0" borderId="0" xfId="0" applyFont="1"/>
    <xf numFmtId="0" fontId="18" fillId="0" borderId="0" xfId="20" applyFont="1"/>
    <xf numFmtId="6" fontId="13" fillId="0" borderId="0" xfId="0" applyNumberFormat="1" applyFont="1"/>
    <xf numFmtId="0" fontId="7" fillId="0" borderId="9" xfId="0" applyFont="1" applyBorder="1"/>
    <xf numFmtId="0" fontId="13" fillId="0" borderId="10" xfId="0" applyFont="1" applyBorder="1"/>
    <xf numFmtId="0" fontId="5" fillId="0" borderId="5" xfId="2" applyFont="1" applyBorder="1" applyAlignment="1">
      <alignment horizontal="left" wrapText="1"/>
    </xf>
    <xf numFmtId="0" fontId="5" fillId="0" borderId="7" xfId="2" applyFont="1" applyBorder="1" applyAlignment="1">
      <alignment horizontal="left" wrapText="1"/>
    </xf>
    <xf numFmtId="0" fontId="5" fillId="0" borderId="6" xfId="2" applyFont="1" applyBorder="1" applyAlignment="1">
      <alignment horizontal="left" wrapText="1"/>
    </xf>
    <xf numFmtId="0" fontId="5" fillId="0" borderId="22" xfId="2" applyFont="1" applyBorder="1" applyAlignment="1">
      <alignment horizontal="left" wrapText="1"/>
    </xf>
    <xf numFmtId="0" fontId="5" fillId="0" borderId="23" xfId="2" applyFont="1" applyBorder="1" applyAlignment="1">
      <alignment horizontal="left" wrapText="1"/>
    </xf>
    <xf numFmtId="8" fontId="0" fillId="0" borderId="24" xfId="0" applyNumberFormat="1" applyBorder="1"/>
    <xf numFmtId="6" fontId="13" fillId="0" borderId="10" xfId="0" applyNumberFormat="1" applyFont="1" applyBorder="1"/>
    <xf numFmtId="8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6" fontId="3" fillId="0" borderId="0" xfId="1" applyNumberFormat="1" applyFont="1"/>
    <xf numFmtId="0" fontId="0" fillId="0" borderId="0" xfId="1" applyNumberFormat="1" applyFont="1" applyAlignment="1">
      <alignment horizontal="right"/>
    </xf>
    <xf numFmtId="0" fontId="22" fillId="2" borderId="0" xfId="0" applyFont="1" applyFill="1"/>
    <xf numFmtId="0" fontId="22" fillId="2" borderId="35" xfId="0" applyFont="1" applyFill="1" applyBorder="1"/>
    <xf numFmtId="167" fontId="23" fillId="2" borderId="0" xfId="44" applyNumberFormat="1" applyFont="1" applyFill="1" applyAlignment="1">
      <alignment horizontal="center" vertical="center" wrapText="1"/>
    </xf>
    <xf numFmtId="0" fontId="23" fillId="2" borderId="0" xfId="44" applyFont="1" applyFill="1" applyAlignment="1">
      <alignment horizontal="left" vertical="center"/>
    </xf>
    <xf numFmtId="0" fontId="23" fillId="2" borderId="37" xfId="44" applyFont="1" applyFill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/>
      <protection locked="0"/>
    </xf>
    <xf numFmtId="167" fontId="0" fillId="4" borderId="39" xfId="0" applyNumberFormat="1" applyFill="1" applyBorder="1"/>
    <xf numFmtId="167" fontId="0" fillId="4" borderId="38" xfId="0" applyNumberFormat="1" applyFill="1" applyBorder="1"/>
    <xf numFmtId="167" fontId="0" fillId="5" borderId="38" xfId="0" applyNumberFormat="1" applyFill="1" applyBorder="1"/>
    <xf numFmtId="167" fontId="0" fillId="5" borderId="38" xfId="0" applyNumberFormat="1" applyFill="1" applyBorder="1" applyProtection="1">
      <protection locked="0"/>
    </xf>
    <xf numFmtId="167" fontId="0" fillId="6" borderId="38" xfId="0" applyNumberFormat="1" applyFill="1" applyBorder="1"/>
    <xf numFmtId="167" fontId="0" fillId="6" borderId="40" xfId="0" applyNumberFormat="1" applyFill="1" applyBorder="1"/>
    <xf numFmtId="3" fontId="0" fillId="7" borderId="40" xfId="0" applyNumberFormat="1" applyFill="1" applyBorder="1"/>
    <xf numFmtId="0" fontId="0" fillId="3" borderId="41" xfId="0" applyFill="1" applyBorder="1" applyAlignment="1" applyProtection="1">
      <alignment horizontal="center" vertical="center"/>
      <protection locked="0"/>
    </xf>
    <xf numFmtId="167" fontId="0" fillId="4" borderId="42" xfId="0" applyNumberFormat="1" applyFill="1" applyBorder="1"/>
    <xf numFmtId="167" fontId="0" fillId="4" borderId="36" xfId="0" applyNumberFormat="1" applyFill="1" applyBorder="1"/>
    <xf numFmtId="167" fontId="0" fillId="5" borderId="36" xfId="0" applyNumberFormat="1" applyFill="1" applyBorder="1"/>
    <xf numFmtId="167" fontId="0" fillId="5" borderId="36" xfId="0" applyNumberFormat="1" applyFill="1" applyBorder="1" applyProtection="1">
      <protection locked="0"/>
    </xf>
    <xf numFmtId="167" fontId="0" fillId="6" borderId="36" xfId="0" applyNumberFormat="1" applyFill="1" applyBorder="1"/>
    <xf numFmtId="0" fontId="0" fillId="3" borderId="16" xfId="0" applyFill="1" applyBorder="1" applyAlignment="1" applyProtection="1">
      <alignment horizontal="center" vertical="center"/>
      <protection locked="0"/>
    </xf>
    <xf numFmtId="167" fontId="0" fillId="5" borderId="43" xfId="0" applyNumberFormat="1" applyFill="1" applyBorder="1"/>
    <xf numFmtId="167" fontId="0" fillId="5" borderId="44" xfId="0" applyNumberFormat="1" applyFill="1" applyBorder="1"/>
    <xf numFmtId="167" fontId="0" fillId="5" borderId="44" xfId="0" applyNumberFormat="1" applyFill="1" applyBorder="1" applyProtection="1">
      <protection locked="0"/>
    </xf>
    <xf numFmtId="167" fontId="0" fillId="6" borderId="44" xfId="0" applyNumberFormat="1" applyFill="1" applyBorder="1"/>
    <xf numFmtId="3" fontId="0" fillId="7" borderId="44" xfId="0" applyNumberFormat="1" applyFill="1" applyBorder="1"/>
    <xf numFmtId="0" fontId="26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wrapText="1"/>
    </xf>
    <xf numFmtId="6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6" fontId="13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9" fontId="0" fillId="0" borderId="0" xfId="1" applyNumberFormat="1" applyFont="1"/>
    <xf numFmtId="169" fontId="0" fillId="0" borderId="0" xfId="1" applyNumberFormat="1" applyFont="1" applyFill="1"/>
    <xf numFmtId="6" fontId="17" fillId="0" borderId="9" xfId="0" applyNumberFormat="1" applyFont="1" applyBorder="1"/>
    <xf numFmtId="6" fontId="17" fillId="0" borderId="0" xfId="0" applyNumberFormat="1" applyFont="1"/>
    <xf numFmtId="6" fontId="17" fillId="0" borderId="10" xfId="0" applyNumberFormat="1" applyFont="1" applyBorder="1"/>
    <xf numFmtId="6" fontId="0" fillId="0" borderId="0" xfId="1" applyNumberFormat="1" applyFont="1"/>
    <xf numFmtId="6" fontId="4" fillId="0" borderId="9" xfId="0" applyNumberFormat="1" applyFont="1" applyBorder="1"/>
    <xf numFmtId="6" fontId="4" fillId="0" borderId="0" xfId="0" applyNumberFormat="1" applyFont="1"/>
    <xf numFmtId="6" fontId="4" fillId="0" borderId="10" xfId="0" applyNumberFormat="1" applyFont="1" applyBorder="1"/>
    <xf numFmtId="6" fontId="0" fillId="0" borderId="9" xfId="0" applyNumberFormat="1" applyBorder="1"/>
    <xf numFmtId="6" fontId="0" fillId="0" borderId="10" xfId="0" applyNumberFormat="1" applyBorder="1"/>
    <xf numFmtId="6" fontId="13" fillId="0" borderId="9" xfId="0" applyNumberFormat="1" applyFont="1" applyBorder="1"/>
    <xf numFmtId="6" fontId="0" fillId="0" borderId="0" xfId="0" applyNumberFormat="1" applyAlignment="1">
      <alignment horizontal="right"/>
    </xf>
    <xf numFmtId="6" fontId="0" fillId="0" borderId="25" xfId="0" applyNumberFormat="1" applyBorder="1"/>
    <xf numFmtId="6" fontId="0" fillId="0" borderId="0" xfId="1" applyNumberFormat="1" applyFont="1" applyFill="1" applyBorder="1"/>
    <xf numFmtId="6" fontId="0" fillId="0" borderId="26" xfId="0" applyNumberFormat="1" applyBorder="1"/>
    <xf numFmtId="6" fontId="0" fillId="0" borderId="26" xfId="1" applyNumberFormat="1" applyFont="1" applyBorder="1"/>
    <xf numFmtId="38" fontId="0" fillId="0" borderId="30" xfId="0" applyNumberFormat="1" applyBorder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31" xfId="0" applyNumberFormat="1" applyBorder="1" applyAlignment="1">
      <alignment horizontal="center"/>
    </xf>
    <xf numFmtId="6" fontId="0" fillId="0" borderId="30" xfId="0" applyNumberFormat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0" fillId="0" borderId="34" xfId="0" applyNumberFormat="1" applyBorder="1"/>
    <xf numFmtId="0" fontId="4" fillId="0" borderId="0" xfId="0" applyFont="1"/>
    <xf numFmtId="9" fontId="0" fillId="0" borderId="0" xfId="45" applyFont="1"/>
    <xf numFmtId="170" fontId="0" fillId="0" borderId="0" xfId="45" applyNumberFormat="1" applyFont="1"/>
    <xf numFmtId="0" fontId="19" fillId="0" borderId="0" xfId="0" applyFont="1"/>
    <xf numFmtId="171" fontId="0" fillId="0" borderId="0" xfId="0" applyNumberFormat="1"/>
    <xf numFmtId="0" fontId="38" fillId="39" borderId="45" xfId="0" applyFont="1" applyFill="1" applyBorder="1" applyAlignment="1">
      <alignment horizontal="center" vertical="center" wrapText="1"/>
    </xf>
    <xf numFmtId="0" fontId="0" fillId="0" borderId="33" xfId="0" applyBorder="1"/>
    <xf numFmtId="178" fontId="0" fillId="0" borderId="45" xfId="346" applyNumberFormat="1" applyFon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7" fontId="0" fillId="0" borderId="45" xfId="0" applyNumberFormat="1" applyBorder="1" applyAlignment="1">
      <alignment horizontal="center" vertical="center"/>
    </xf>
    <xf numFmtId="0" fontId="19" fillId="5" borderId="45" xfId="0" applyFont="1" applyFill="1" applyBorder="1"/>
    <xf numFmtId="178" fontId="19" fillId="5" borderId="45" xfId="346" applyNumberFormat="1" applyFont="1" applyFill="1" applyBorder="1" applyAlignment="1">
      <alignment horizontal="center"/>
    </xf>
    <xf numFmtId="3" fontId="19" fillId="5" borderId="45" xfId="346" applyNumberFormat="1" applyFont="1" applyFill="1" applyBorder="1" applyAlignment="1">
      <alignment horizontal="center"/>
    </xf>
    <xf numFmtId="0" fontId="19" fillId="0" borderId="45" xfId="0" applyFont="1" applyBorder="1"/>
    <xf numFmtId="3" fontId="19" fillId="5" borderId="45" xfId="0" applyNumberFormat="1" applyFont="1" applyFill="1" applyBorder="1" applyAlignment="1">
      <alignment horizontal="center" vertical="center"/>
    </xf>
    <xf numFmtId="171" fontId="19" fillId="0" borderId="0" xfId="0" applyNumberFormat="1" applyFont="1"/>
    <xf numFmtId="0" fontId="19" fillId="0" borderId="0" xfId="0" applyFont="1" applyAlignment="1">
      <alignment vertical="center" wrapText="1"/>
    </xf>
    <xf numFmtId="0" fontId="0" fillId="0" borderId="55" xfId="0" applyBorder="1" applyAlignment="1">
      <alignment vertical="center"/>
    </xf>
    <xf numFmtId="0" fontId="19" fillId="0" borderId="55" xfId="0" applyFont="1" applyBorder="1" applyAlignment="1">
      <alignment horizontal="center" vertical="center" wrapText="1"/>
    </xf>
    <xf numFmtId="0" fontId="0" fillId="0" borderId="55" xfId="0" applyBorder="1"/>
    <xf numFmtId="171" fontId="0" fillId="0" borderId="55" xfId="0" applyNumberFormat="1" applyBorder="1"/>
    <xf numFmtId="0" fontId="19" fillId="0" borderId="55" xfId="0" applyFont="1" applyBorder="1"/>
    <xf numFmtId="171" fontId="19" fillId="0" borderId="55" xfId="0" applyNumberFormat="1" applyFont="1" applyBorder="1"/>
    <xf numFmtId="2" fontId="0" fillId="0" borderId="45" xfId="0" applyNumberFormat="1" applyBorder="1" applyAlignment="1">
      <alignment horizontal="center" vertical="center"/>
    </xf>
    <xf numFmtId="8" fontId="17" fillId="0" borderId="10" xfId="0" applyNumberFormat="1" applyFont="1" applyBorder="1"/>
    <xf numFmtId="8" fontId="13" fillId="0" borderId="10" xfId="0" applyNumberFormat="1" applyFont="1" applyBorder="1"/>
    <xf numFmtId="171" fontId="19" fillId="0" borderId="28" xfId="0" applyNumberFormat="1" applyFont="1" applyBorder="1"/>
    <xf numFmtId="9" fontId="0" fillId="0" borderId="0" xfId="0" applyNumberFormat="1"/>
    <xf numFmtId="178" fontId="19" fillId="0" borderId="45" xfId="346" applyNumberFormat="1" applyFont="1" applyFill="1" applyBorder="1" applyAlignment="1">
      <alignment horizontal="center"/>
    </xf>
    <xf numFmtId="3" fontId="0" fillId="0" borderId="28" xfId="0" applyNumberFormat="1" applyBorder="1"/>
    <xf numFmtId="171" fontId="0" fillId="0" borderId="28" xfId="0" applyNumberFormat="1" applyBorder="1"/>
    <xf numFmtId="0" fontId="0" fillId="0" borderId="16" xfId="0" applyBorder="1"/>
    <xf numFmtId="0" fontId="0" fillId="0" borderId="0" xfId="0" applyAlignment="1">
      <alignment horizontal="left"/>
    </xf>
    <xf numFmtId="43" fontId="0" fillId="0" borderId="0" xfId="0" applyNumberFormat="1"/>
    <xf numFmtId="166" fontId="0" fillId="0" borderId="0" xfId="1" applyNumberFormat="1" applyFont="1" applyBorder="1"/>
    <xf numFmtId="170" fontId="0" fillId="0" borderId="0" xfId="45" applyNumberFormat="1" applyFont="1" applyBorder="1"/>
    <xf numFmtId="43" fontId="0" fillId="0" borderId="0" xfId="1" applyFont="1"/>
    <xf numFmtId="44" fontId="17" fillId="0" borderId="0" xfId="0" applyNumberFormat="1" applyFont="1"/>
    <xf numFmtId="43" fontId="0" fillId="0" borderId="45" xfId="1" applyFont="1" applyBorder="1"/>
    <xf numFmtId="179" fontId="0" fillId="0" borderId="45" xfId="1" applyNumberFormat="1" applyFont="1" applyBorder="1"/>
    <xf numFmtId="8" fontId="7" fillId="0" borderId="7" xfId="0" applyNumberFormat="1" applyFont="1" applyBorder="1" applyAlignment="1">
      <alignment horizontal="center" vertical="center" wrapText="1"/>
    </xf>
    <xf numFmtId="8" fontId="13" fillId="0" borderId="0" xfId="0" applyNumberFormat="1" applyFont="1" applyAlignment="1">
      <alignment horizontal="center" vertical="center" wrapText="1"/>
    </xf>
    <xf numFmtId="8" fontId="13" fillId="0" borderId="15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8" fontId="7" fillId="0" borderId="10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8" fontId="7" fillId="0" borderId="18" xfId="0" applyNumberFormat="1" applyFont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 wrapText="1"/>
    </xf>
    <xf numFmtId="8" fontId="7" fillId="0" borderId="1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8" fontId="7" fillId="0" borderId="20" xfId="0" applyNumberFormat="1" applyFont="1" applyBorder="1" applyAlignment="1">
      <alignment horizontal="center" vertical="center" wrapText="1"/>
    </xf>
    <xf numFmtId="8" fontId="7" fillId="0" borderId="8" xfId="0" applyNumberFormat="1" applyFont="1" applyBorder="1" applyAlignment="1">
      <alignment horizontal="center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8" fontId="7" fillId="0" borderId="12" xfId="0" applyNumberFormat="1" applyFont="1" applyBorder="1" applyAlignment="1">
      <alignment horizontal="center" vertical="center" wrapText="1"/>
    </xf>
    <xf numFmtId="8" fontId="7" fillId="0" borderId="21" xfId="0" applyNumberFormat="1" applyFont="1" applyBorder="1" applyAlignment="1">
      <alignment horizontal="center" vertical="center" wrapText="1"/>
    </xf>
    <xf numFmtId="38" fontId="0" fillId="0" borderId="27" xfId="0" applyNumberFormat="1" applyBorder="1" applyAlignment="1">
      <alignment horizontal="center"/>
    </xf>
    <xf numFmtId="38" fontId="0" fillId="0" borderId="28" xfId="0" applyNumberFormat="1" applyBorder="1" applyAlignment="1">
      <alignment horizontal="center"/>
    </xf>
    <xf numFmtId="38" fontId="0" fillId="0" borderId="29" xfId="0" applyNumberFormat="1" applyBorder="1" applyAlignment="1">
      <alignment horizontal="center"/>
    </xf>
    <xf numFmtId="0" fontId="47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167" fontId="23" fillId="2" borderId="36" xfId="44" applyNumberFormat="1" applyFont="1" applyFill="1" applyBorder="1" applyAlignment="1">
      <alignment horizontal="center" vertical="center" wrapText="1"/>
    </xf>
    <xf numFmtId="167" fontId="23" fillId="2" borderId="38" xfId="44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0" fontId="23" fillId="2" borderId="36" xfId="44" applyNumberFormat="1" applyFont="1" applyFill="1" applyBorder="1" applyAlignment="1">
      <alignment horizontal="center" vertical="center" wrapText="1"/>
    </xf>
    <xf numFmtId="10" fontId="23" fillId="2" borderId="38" xfId="44" applyNumberFormat="1" applyFont="1" applyFill="1" applyBorder="1" applyAlignment="1">
      <alignment horizontal="center" vertical="center" wrapText="1"/>
    </xf>
    <xf numFmtId="0" fontId="19" fillId="0" borderId="56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43" fontId="0" fillId="0" borderId="45" xfId="1" applyFont="1" applyBorder="1" applyAlignment="1">
      <alignment horizontal="center"/>
    </xf>
    <xf numFmtId="8" fontId="0" fillId="0" borderId="0" xfId="0" applyNumberFormat="1" applyFill="1" applyBorder="1"/>
    <xf numFmtId="8" fontId="0" fillId="0" borderId="0" xfId="0" applyNumberFormat="1" applyFill="1" applyBorder="1" applyAlignment="1">
      <alignment horizontal="center"/>
    </xf>
    <xf numFmtId="6" fontId="0" fillId="0" borderId="0" xfId="0" applyNumberFormat="1" applyFill="1" applyBorder="1"/>
    <xf numFmtId="6" fontId="0" fillId="0" borderId="28" xfId="0" applyNumberFormat="1" applyFill="1" applyBorder="1"/>
  </cellXfs>
  <cellStyles count="347">
    <cellStyle name="$" xfId="90" xr:uid="{2DD4FE13-3FE0-497F-9B18-BEA8397594A9}"/>
    <cellStyle name="$.00" xfId="91" xr:uid="{404FD35B-668B-41D9-B16B-5BF89FB4CF4A}"/>
    <cellStyle name="$_9. Rev2Cost_GDPIPI" xfId="108" xr:uid="{035DD77E-F2C2-4AB9-BD59-A91048AB64C6}"/>
    <cellStyle name="$_9. Rev2Cost_GDPIPI 2" xfId="165" xr:uid="{AB137207-C6AB-4191-B6ED-EF89EF1A41F8}"/>
    <cellStyle name="$_9. Rev2Cost_GDPIPI_6.2 CBR B" xfId="269" xr:uid="{3F1F97D4-14A5-422C-AE49-FC4E12B1B73C}"/>
    <cellStyle name="$_9. Rev2Cost_GDPIPI_9. Shared Tax - Rate Rider" xfId="297" xr:uid="{1CE6DF42-8174-4040-820A-E762F3D9590A}"/>
    <cellStyle name="$_lists" xfId="104" xr:uid="{A01991CC-EFEC-4B11-AC6F-A2F826EE14E2}"/>
    <cellStyle name="$_lists 2" xfId="163" xr:uid="{4E760F32-9BDD-4E24-B5A8-E695E1E2943B}"/>
    <cellStyle name="$_lists_4. Current Monthly Fixed Charge" xfId="106" xr:uid="{9DCCAFB6-15EF-4D5A-886E-80FBBC165A7A}"/>
    <cellStyle name="$_lists_6.2 CBR B" xfId="270" xr:uid="{CB0B5B36-40EF-4073-80ED-F64DFD078B76}"/>
    <cellStyle name="$_lists_9. Shared Tax - Rate Rider" xfId="298" xr:uid="{C02FC6AC-650A-48A4-87C3-82093E571F45}"/>
    <cellStyle name="$_Sheet4" xfId="111" xr:uid="{9C89B442-AAB4-4FD9-ADFC-58FC1587385E}"/>
    <cellStyle name="$_Sheet4 2" xfId="167" xr:uid="{640D9134-40ED-4F00-B003-C42C9D2936FE}"/>
    <cellStyle name="$_Sheet4_6.2 CBR B" xfId="271" xr:uid="{05FA9124-71A1-4726-BD80-2790D6A447E5}"/>
    <cellStyle name="$_Sheet4_9. Shared Tax - Rate Rider" xfId="299" xr:uid="{B4279A47-121E-4BEC-8C8F-A68DFC157E21}"/>
    <cellStyle name="$M" xfId="92" xr:uid="{255231E5-802D-4DD1-8860-3250563C9631}"/>
    <cellStyle name="$M.00" xfId="93" xr:uid="{0FBBCBA5-75CD-4928-9F84-943EFAC85A6E}"/>
    <cellStyle name="$M_9. Rev2Cost_GDPIPI" xfId="109" xr:uid="{CD74525E-02BB-4473-844E-FDC7310FCF38}"/>
    <cellStyle name="20% - Accent1" xfId="70" builtinId="30" customBuiltin="1"/>
    <cellStyle name="20% - Accent1 2" xfId="115" xr:uid="{7D380E9D-2653-4EB5-A0F5-F831A5F9300A}"/>
    <cellStyle name="20% - Accent1 2 2" xfId="214" xr:uid="{C09C669F-C08C-446B-9477-DB5CAAFDB220}"/>
    <cellStyle name="20% - Accent1 2_6.2 CBR B" xfId="272" xr:uid="{76626799-BB4C-4700-B7DC-3574AFC8E8EE}"/>
    <cellStyle name="20% - Accent1 3" xfId="243" xr:uid="{80504479-8027-427B-BB9F-9F32978D48C7}"/>
    <cellStyle name="20% - Accent2" xfId="73" builtinId="34" customBuiltin="1"/>
    <cellStyle name="20% - Accent2 2" xfId="116" xr:uid="{C1BB507D-D527-43D6-B622-3DBA1F529341}"/>
    <cellStyle name="20% - Accent2 2 2" xfId="215" xr:uid="{F821B7AA-C9C4-4BDD-AD8C-122C8FBA248B}"/>
    <cellStyle name="20% - Accent2 2_6.2 CBR B" xfId="273" xr:uid="{AF0F2D5A-74DD-471D-8D9E-D23D8F7C3C09}"/>
    <cellStyle name="20% - Accent2 3" xfId="245" xr:uid="{BBD70FB1-ADC5-4169-8886-C55F2E0AF7BA}"/>
    <cellStyle name="20% - Accent3" xfId="76" builtinId="38" customBuiltin="1"/>
    <cellStyle name="20% - Accent3 2" xfId="117" xr:uid="{DE61D18E-3F10-490B-86AA-0354BCD9C77B}"/>
    <cellStyle name="20% - Accent3 2 2" xfId="216" xr:uid="{26149FBA-2A43-4A96-9D32-FD3B182A496F}"/>
    <cellStyle name="20% - Accent3 2_6.2 CBR B" xfId="274" xr:uid="{98D8D43D-E514-44B3-8A7E-9876F4EEAF04}"/>
    <cellStyle name="20% - Accent3 3" xfId="247" xr:uid="{D6DC0604-D026-439E-BF94-C124DE065613}"/>
    <cellStyle name="20% - Accent4" xfId="79" builtinId="42" customBuiltin="1"/>
    <cellStyle name="20% - Accent4 2" xfId="118" xr:uid="{2E61A11A-A235-4D5F-A2BF-E79E9D3CE13A}"/>
    <cellStyle name="20% - Accent4 2 2" xfId="217" xr:uid="{362FCE30-18F9-4FE2-A3F7-E8C7713C668C}"/>
    <cellStyle name="20% - Accent4 2_6.2 CBR B" xfId="275" xr:uid="{995317A8-B0C2-4057-BA65-12073CAC0C71}"/>
    <cellStyle name="20% - Accent4 3" xfId="249" xr:uid="{E883F9D5-E53E-4F17-9970-65BF74C9BC67}"/>
    <cellStyle name="20% - Accent5" xfId="82" builtinId="46" customBuiltin="1"/>
    <cellStyle name="20% - Accent5 2" xfId="119" xr:uid="{BF2073E4-6CB1-46AB-A7FA-AA636C09010D}"/>
    <cellStyle name="20% - Accent5 2 2" xfId="218" xr:uid="{FD3CD285-5600-4704-AB95-F1F2D2EFDA63}"/>
    <cellStyle name="20% - Accent5 2_6.2 CBR B" xfId="276" xr:uid="{19D6A32C-9890-427E-B1FC-B71623126091}"/>
    <cellStyle name="20% - Accent5 3" xfId="251" xr:uid="{F648A95E-D812-4B1B-8690-8A852A8EC448}"/>
    <cellStyle name="20% - Accent6" xfId="85" builtinId="50" customBuiltin="1"/>
    <cellStyle name="20% - Accent6 2" xfId="120" xr:uid="{FCF26D9A-F71A-4E67-A2D9-4AA24D0287FC}"/>
    <cellStyle name="20% - Accent6 2 2" xfId="219" xr:uid="{8941DDD6-80F1-4259-978A-30B2E85A01CD}"/>
    <cellStyle name="20% - Accent6 2_6.2 CBR B" xfId="277" xr:uid="{1ABFA1B9-BA4F-42A1-A7CE-4FE22F7B200B}"/>
    <cellStyle name="20% - Accent6 3" xfId="253" xr:uid="{94318FBD-9534-4E54-8E85-D3874A0605FA}"/>
    <cellStyle name="40% - Accent1" xfId="71" builtinId="31" customBuiltin="1"/>
    <cellStyle name="40% - Accent1 2" xfId="121" xr:uid="{47F624F4-C7F4-4056-B2CD-7105C6CFB79D}"/>
    <cellStyle name="40% - Accent1 2 2" xfId="220" xr:uid="{8EA40450-9BFB-4CE8-917A-8F308F92F4DF}"/>
    <cellStyle name="40% - Accent1 2_6.2 CBR B" xfId="278" xr:uid="{DF43F542-70A1-4A2F-907F-9C68CD0358CF}"/>
    <cellStyle name="40% - Accent1 3" xfId="244" xr:uid="{43985D2A-5B26-42BB-9BF8-C0D14ACA9D9A}"/>
    <cellStyle name="40% - Accent2" xfId="74" builtinId="35" customBuiltin="1"/>
    <cellStyle name="40% - Accent2 2" xfId="122" xr:uid="{333A58F6-D0CB-47E0-B2F1-97B481C9407B}"/>
    <cellStyle name="40% - Accent2 2 2" xfId="221" xr:uid="{519F8214-C4C8-416B-917D-A842AC1FDF34}"/>
    <cellStyle name="40% - Accent2 2_6.2 CBR B" xfId="279" xr:uid="{6F5BC315-29D4-43D6-B973-732C577A940D}"/>
    <cellStyle name="40% - Accent2 3" xfId="246" xr:uid="{0D0ED32B-FC4E-4EBB-8DE6-5936269CF48D}"/>
    <cellStyle name="40% - Accent3" xfId="77" builtinId="39" customBuiltin="1"/>
    <cellStyle name="40% - Accent3 2" xfId="123" xr:uid="{28A4DA32-9807-4400-B7BA-F987491EB04D}"/>
    <cellStyle name="40% - Accent3 2 2" xfId="222" xr:uid="{D78626AA-6E94-4385-AC73-FC5D5385D707}"/>
    <cellStyle name="40% - Accent3 2_6.2 CBR B" xfId="280" xr:uid="{A79A219D-415A-422C-893A-88C9576CCE65}"/>
    <cellStyle name="40% - Accent3 3" xfId="248" xr:uid="{57BE21B7-E99B-4DE1-AC5A-EAB420C5DC20}"/>
    <cellStyle name="40% - Accent4" xfId="80" builtinId="43" customBuiltin="1"/>
    <cellStyle name="40% - Accent4 2" xfId="124" xr:uid="{C215F437-0398-4A32-866D-8D2D95353011}"/>
    <cellStyle name="40% - Accent4 2 2" xfId="223" xr:uid="{AB0CE757-F6EF-4FFC-98B4-4176943453CE}"/>
    <cellStyle name="40% - Accent4 2_6.2 CBR B" xfId="281" xr:uid="{4E95FE0F-E99C-404F-8AC6-1FB5239FD677}"/>
    <cellStyle name="40% - Accent4 3" xfId="250" xr:uid="{5664F868-798A-4565-ACA9-B30A3FC4A3EF}"/>
    <cellStyle name="40% - Accent5" xfId="83" builtinId="47" customBuiltin="1"/>
    <cellStyle name="40% - Accent5 2" xfId="125" xr:uid="{5B481B5E-D23D-4023-8F80-4F333FAF9F00}"/>
    <cellStyle name="40% - Accent5 2 2" xfId="224" xr:uid="{3C2EE6DC-468D-4FCF-89B8-0BF9F344C556}"/>
    <cellStyle name="40% - Accent5 2_6.2 CBR B" xfId="282" xr:uid="{8AB7257C-1F78-48AB-BBAF-8DD79A4979EF}"/>
    <cellStyle name="40% - Accent5 3" xfId="252" xr:uid="{1EF67711-DC8F-49C8-BB1D-9EF7B508D018}"/>
    <cellStyle name="40% - Accent6" xfId="86" builtinId="51" customBuiltin="1"/>
    <cellStyle name="40% - Accent6 2" xfId="126" xr:uid="{916623C8-FE85-4888-AB12-05EDE93E760F}"/>
    <cellStyle name="40% - Accent6 2 2" xfId="225" xr:uid="{732735B4-60E2-49A7-9A6C-CD19C7A00780}"/>
    <cellStyle name="40% - Accent6 2_6.2 CBR B" xfId="283" xr:uid="{E83A3CC8-0411-4DAA-8D7A-C04811B61BDA}"/>
    <cellStyle name="40% - Accent6 3" xfId="254" xr:uid="{838EFA0F-A68E-4E88-B937-92D04D5CE9B2}"/>
    <cellStyle name="60% - Accent1 2" xfId="127" xr:uid="{F27F6E8E-5BB1-4387-9951-723BF0551455}"/>
    <cellStyle name="60% - Accent1 3" xfId="182" xr:uid="{ED984769-089E-4BEB-8DA4-4F73EA387A43}"/>
    <cellStyle name="60% - Accent2 2" xfId="128" xr:uid="{07179C64-3889-4BF5-8F10-969EACA46B16}"/>
    <cellStyle name="60% - Accent2 3" xfId="183" xr:uid="{FB9BD4B2-FE2C-436A-9EFA-D05B68D993A0}"/>
    <cellStyle name="60% - Accent3 2" xfId="129" xr:uid="{03BBE01C-E65C-4DC6-84B8-F29324C3ADD4}"/>
    <cellStyle name="60% - Accent3 3" xfId="184" xr:uid="{4F45A205-B423-481E-96F0-74D31BED1F94}"/>
    <cellStyle name="60% - Accent4 2" xfId="130" xr:uid="{AD332751-7715-429A-A0E2-3828A47B0AC7}"/>
    <cellStyle name="60% - Accent4 3" xfId="185" xr:uid="{92F124A9-B2B4-49B9-956B-DCF4267A7F50}"/>
    <cellStyle name="60% - Accent5 2" xfId="131" xr:uid="{6793A373-819E-429D-AED8-3E5D4B306B04}"/>
    <cellStyle name="60% - Accent5 3" xfId="186" xr:uid="{1343C280-612E-4D08-A748-30B79A072CBF}"/>
    <cellStyle name="60% - Accent6 2" xfId="132" xr:uid="{1FE8EC23-CBC8-4726-9194-64FF6395094B}"/>
    <cellStyle name="60% - Accent6 3" xfId="187" xr:uid="{EB58F52E-45F1-4160-9263-D2EACB2412AA}"/>
    <cellStyle name="Accent1" xfId="69" builtinId="29" customBuiltin="1"/>
    <cellStyle name="Accent1 2" xfId="133" xr:uid="{E8557FAF-5FBC-404F-B924-86DCF9391DBB}"/>
    <cellStyle name="Accent2" xfId="72" builtinId="33" customBuiltin="1"/>
    <cellStyle name="Accent2 2" xfId="134" xr:uid="{2F59B34C-12DD-46A4-A4AB-3A8BAA3A83E9}"/>
    <cellStyle name="Accent3" xfId="75" builtinId="37" customBuiltin="1"/>
    <cellStyle name="Accent3 2" xfId="135" xr:uid="{EC0431C8-A643-4928-8321-3E30D27A877F}"/>
    <cellStyle name="Accent4" xfId="78" builtinId="41" customBuiltin="1"/>
    <cellStyle name="Accent4 2" xfId="136" xr:uid="{871A42F0-7B7E-4058-9F2B-BAF27A2F3D0B}"/>
    <cellStyle name="Accent5" xfId="81" builtinId="45" customBuiltin="1"/>
    <cellStyle name="Accent5 2" xfId="137" xr:uid="{E694C679-C508-47A2-A4D6-388DB06042A7}"/>
    <cellStyle name="Accent6" xfId="84" builtinId="49" customBuiltin="1"/>
    <cellStyle name="Accent6 2" xfId="138" xr:uid="{746964A6-3B90-4EB6-9652-7A087C9C9632}"/>
    <cellStyle name="Bad" xfId="59" builtinId="27" customBuiltin="1"/>
    <cellStyle name="Bad 2" xfId="139" xr:uid="{C15B889A-2E79-4556-9476-11B3876E18C2}"/>
    <cellStyle name="Calculation" xfId="62" builtinId="22" customBuiltin="1"/>
    <cellStyle name="Calculation 2" xfId="140" xr:uid="{F24BF411-E6C3-46C2-A6BE-684D44068E9D}"/>
    <cellStyle name="Check Cell" xfId="64" builtinId="23" customBuiltin="1"/>
    <cellStyle name="Check Cell 2" xfId="141" xr:uid="{0A8A06B4-80C8-438A-A074-2E2E8C34E6AF}"/>
    <cellStyle name="Comma" xfId="1" builtinId="3"/>
    <cellStyle name="Comma 2" xfId="142" xr:uid="{A7803364-0327-44BB-9776-60F6954057DA}"/>
    <cellStyle name="Comma 2 2" xfId="190" xr:uid="{61C93D72-1EA8-4E56-9E1D-CCEFE212B1AE}"/>
    <cellStyle name="Comma 2 2 2" xfId="196" xr:uid="{C69569CF-704B-4E9F-B7AF-C2B2A8E918FA}"/>
    <cellStyle name="Comma 2 2 2 2" xfId="322" xr:uid="{7C5CDAF3-9727-4CFA-99D1-D56BB1EF125A}"/>
    <cellStyle name="Comma 2 2 3" xfId="201" xr:uid="{B5C6B834-85AD-4221-ACA6-BFD94C068A34}"/>
    <cellStyle name="Comma 2 2 3 2" xfId="332" xr:uid="{E3757FC6-74C0-4718-8A55-A5F40D5EE88B}"/>
    <cellStyle name="Comma 2 2 4" xfId="258" xr:uid="{12B00F21-EBEA-4ADF-B869-FCDEEAC044AF}"/>
    <cellStyle name="Comma 2 2 5" xfId="315" xr:uid="{62926C61-D404-40A7-A12B-F06111E17E35}"/>
    <cellStyle name="Comma 2 2 6" xfId="340" xr:uid="{7A749F7F-6243-4A8C-ADBA-AF2F8CFF4EE6}"/>
    <cellStyle name="Comma 2 2_Database" xfId="256" xr:uid="{2BDBFA21-1FD7-4C02-A573-B93FBFF8192E}"/>
    <cellStyle name="Comma 3" xfId="143" xr:uid="{4A369D52-BEF5-4B97-BBF1-1680EE814213}"/>
    <cellStyle name="Comma 3 2" xfId="170" xr:uid="{AEF667EC-8995-468B-AC39-DB2B36294D31}"/>
    <cellStyle name="Comma 3 2 2" xfId="233" xr:uid="{F1943250-F58D-4BAF-984D-D814E69162FA}"/>
    <cellStyle name="Comma 3 3" xfId="226" xr:uid="{09DE95C7-8C7F-49FD-9DA3-7B3631DDF8D4}"/>
    <cellStyle name="Comma 3 4" xfId="331" xr:uid="{E1C1EC0F-BFDA-466B-89EF-C5653C4D8164}"/>
    <cellStyle name="Comma 4" xfId="88" xr:uid="{91BF6F50-7D59-4D4C-9386-DB4B18C759F1}"/>
    <cellStyle name="Comma 4 2" xfId="325" xr:uid="{4A02148C-55B7-4F19-8271-3528A097F10E}"/>
    <cellStyle name="Comma 4 3" xfId="318" xr:uid="{25992895-2BA8-407C-A5B1-F5DC5BE1DA71}"/>
    <cellStyle name="Comma 4 4" xfId="162" xr:uid="{38EE15C8-25BA-4738-855C-37EB5333AF62}"/>
    <cellStyle name="Comma 4 6" xfId="310" xr:uid="{8E3A13F0-DA98-4CED-8D22-C361AEDFC58D}"/>
    <cellStyle name="Comma 4 6 2" xfId="326" xr:uid="{88FD0CDF-F935-4552-A12D-2B6180CD7E5D}"/>
    <cellStyle name="Comma 4 6 3" xfId="334" xr:uid="{288748A8-F654-4AFF-8EAF-64CF41FCC22F}"/>
    <cellStyle name="Comma 4 6 4" xfId="337" xr:uid="{67E9B8B0-91FD-4B7B-9531-827A91DB4DF2}"/>
    <cellStyle name="Comma 4 6 5" xfId="319" xr:uid="{7DF9DE4E-53A0-4D0D-8BF9-54AE0831DA47}"/>
    <cellStyle name="Comma 4 6 6" xfId="342" xr:uid="{F9627379-A123-4B42-AF41-96E404309574}"/>
    <cellStyle name="Comma 5" xfId="204" xr:uid="{5797659D-E8AC-4302-A110-FA797E3593CF}"/>
    <cellStyle name="Comma 5 2" xfId="336" xr:uid="{A23CBABE-EEA0-45BA-BC4E-0D63E4D391DB}"/>
    <cellStyle name="Comma 6" xfId="314" xr:uid="{E1B1526F-D6C3-4627-94A3-02AB36C700CC}"/>
    <cellStyle name="Comma 7" xfId="53" xr:uid="{CB75827C-5787-4D35-8523-428ED3A088FE}"/>
    <cellStyle name="Comma 7 2" xfId="339" xr:uid="{5A99B226-5772-4843-9D5E-4042B26BFA79}"/>
    <cellStyle name="Comma 8" xfId="87" xr:uid="{DF74E5E3-4C01-46E7-9F04-5C2FAB26E8B0}"/>
    <cellStyle name="Comma0" xfId="94" xr:uid="{28CB973B-2EFB-4FC6-9DA8-89FA0AECEB42}"/>
    <cellStyle name="Currency 10" xfId="346" xr:uid="{C8CD9F3B-6524-4DDA-A5E6-7DDBA0954416}"/>
    <cellStyle name="Currency 11" xfId="328" xr:uid="{D58D2F86-E41A-49A6-8FED-130D78899E79}"/>
    <cellStyle name="Currency 2" xfId="48" xr:uid="{CBD1E538-6D95-4F44-AA38-A0E9DCF4B370}"/>
    <cellStyle name="Currency 2 2" xfId="324" xr:uid="{97DE3F5A-8D75-4B38-8046-6B833247596E}"/>
    <cellStyle name="Currency 2 3" xfId="317" xr:uid="{769B85B3-6C9E-42C1-A4F5-ED6BD74D9342}"/>
    <cellStyle name="Currency 2 4" xfId="113" xr:uid="{CD9D00C9-67C4-4834-8CC9-C2632816E23C}"/>
    <cellStyle name="Currency 2 5" xfId="89" xr:uid="{22E3E73B-CA2A-417B-B7B9-1AA39FAFCAD6}"/>
    <cellStyle name="Currency 3" xfId="171" xr:uid="{16BBCC42-F93A-4332-8D57-D703B01E01F0}"/>
    <cellStyle name="Currency 3 2" xfId="327" xr:uid="{EA1FA47E-2E48-465B-8132-0AF1FB4CD80F}"/>
    <cellStyle name="Currency 3 3" xfId="320" xr:uid="{0FBBAEE2-96CF-44CD-AA33-C96DF1A20DF6}"/>
    <cellStyle name="Currency 3 4" xfId="312" xr:uid="{EB0BEF32-30A9-4F47-8D65-5D57334E09A5}"/>
    <cellStyle name="Currency 4" xfId="191" xr:uid="{3DE5EB7D-B8C9-4218-AB2B-98CCF1318521}"/>
    <cellStyle name="Currency 4 2" xfId="195" xr:uid="{6935999B-4DCA-4270-8194-EA041C5EDEC5}"/>
    <cellStyle name="Currency 4 2 2" xfId="323" xr:uid="{CFD6D954-2436-4DEB-96A7-69F45FAE5AD8}"/>
    <cellStyle name="Currency 4 3" xfId="202" xr:uid="{FB7349F3-C0FA-4D95-9CBB-B0B51115B975}"/>
    <cellStyle name="Currency 4 3 2" xfId="333" xr:uid="{D904F580-388F-4AE6-97BC-7A6119CC83A2}"/>
    <cellStyle name="Currency 4 4" xfId="259" xr:uid="{C2240E95-7DC8-4746-A489-F076EA8C7656}"/>
    <cellStyle name="Currency 4 5" xfId="316" xr:uid="{1BF673A9-60D3-469F-AA85-6E7D8485E4E8}"/>
    <cellStyle name="Currency 4 6" xfId="341" xr:uid="{AD0CAABA-F08E-4385-8B15-BA1D7334D753}"/>
    <cellStyle name="Currency 5" xfId="193" xr:uid="{685D0AED-47C3-4E9C-AAD3-E1E9C6189E64}"/>
    <cellStyle name="Currency 5 2" xfId="321" xr:uid="{AD6353F7-ED81-495C-B409-766F0DFD3690}"/>
    <cellStyle name="Currency 6" xfId="198" xr:uid="{3211F56A-8859-46F3-A1A4-B019BF71AC80}"/>
    <cellStyle name="Currency 6 2" xfId="330" xr:uid="{E6CD1A7B-FDE0-4345-9A83-4A3E219E9970}"/>
    <cellStyle name="Currency 7" xfId="335" xr:uid="{A06187A8-D878-481A-B7BE-07EAFD0CEC25}"/>
    <cellStyle name="Currency 8" xfId="313" xr:uid="{E72BAE4C-9ED8-4DDE-8414-979D977A01DC}"/>
    <cellStyle name="Currency 9" xfId="338" xr:uid="{950C6A8F-14D7-4E49-AC71-8D4603576BA7}"/>
    <cellStyle name="Currency0" xfId="95" xr:uid="{FC97FD92-4BCC-4DF1-AB8D-3781DB7F9E71}"/>
    <cellStyle name="Date" xfId="96" xr:uid="{CBE2AAF5-7EA3-43A6-AFAC-9DD9D17D6815}"/>
    <cellStyle name="Explanatory Text" xfId="67" builtinId="53" customBuiltin="1"/>
    <cellStyle name="Explanatory Text 2" xfId="144" xr:uid="{EE020490-84EA-4D72-8D7D-234199457BD2}"/>
    <cellStyle name="Fixed" xfId="97" xr:uid="{7BF33BB3-E280-4BDC-A960-F1D0AA427F54}"/>
    <cellStyle name="Followed Hyperlink" xfId="189" builtinId="9" customBuiltin="1"/>
    <cellStyle name="Good" xfId="58" builtinId="26" customBuiltin="1"/>
    <cellStyle name="Good 2" xfId="145" xr:uid="{F05E5E28-A0C6-4188-8150-B5273F68526E}"/>
    <cellStyle name="Grey" xfId="98" xr:uid="{573DA6D8-20B3-4402-A25C-990C5A7FAF7E}"/>
    <cellStyle name="Heading 1" xfId="54" builtinId="16" customBuiltin="1"/>
    <cellStyle name="Heading 1 2" xfId="146" xr:uid="{7482BD4E-D3AC-405C-B5A8-C2C94F0F6BC6}"/>
    <cellStyle name="Heading 2" xfId="55" builtinId="17" customBuiltin="1"/>
    <cellStyle name="Heading 2 2" xfId="147" xr:uid="{D95165AA-1037-4BE4-AADB-7D8242C45FC6}"/>
    <cellStyle name="Heading 3" xfId="56" builtinId="18" customBuiltin="1"/>
    <cellStyle name="Heading 3 2" xfId="148" xr:uid="{DD950D28-9C19-4937-83AD-8ABEE940357B}"/>
    <cellStyle name="Heading 4" xfId="57" builtinId="19" customBuiltin="1"/>
    <cellStyle name="Heading 4 2" xfId="149" xr:uid="{A9305A8A-702B-45AB-B704-C11BBD0872D6}"/>
    <cellStyle name="Hyperlink 2" xfId="188" xr:uid="{D3F31C6D-A9CF-4C1A-863E-13BB714008A4}"/>
    <cellStyle name="Input" xfId="60" builtinId="20" customBuiltin="1"/>
    <cellStyle name="Input [yellow]" xfId="99" xr:uid="{481F7C67-E9A1-431B-AE94-63C1F3F8BFA9}"/>
    <cellStyle name="Input 2" xfId="150" xr:uid="{A7637071-9B7D-49D5-9C50-F2A78B2CEAD5}"/>
    <cellStyle name="Linked Cell" xfId="63" builtinId="24" customBuiltin="1"/>
    <cellStyle name="Linked Cell 2" xfId="151" xr:uid="{87AB4EFC-E801-4D5D-BEDF-DC6B180EF0C0}"/>
    <cellStyle name="M" xfId="100" xr:uid="{AA7514D1-4C76-46DB-B22D-1C48F0DD8D71}"/>
    <cellStyle name="M.00" xfId="101" xr:uid="{15404175-B7AA-47F3-A099-ECD3B8E84AEC}"/>
    <cellStyle name="M_9. Rev2Cost_GDPIPI" xfId="110" xr:uid="{7CA56B5B-A295-4A30-AC5B-465F6F2AC707}"/>
    <cellStyle name="M_9. Rev2Cost_GDPIPI 2" xfId="166" xr:uid="{334E7392-0F9B-4BB4-BB9B-4CDF7E4F9C47}"/>
    <cellStyle name="M_9. Rev2Cost_GDPIPI_6.2 CBR B" xfId="284" xr:uid="{A63BEA32-BFED-45DA-AC31-B0B114DDE7FC}"/>
    <cellStyle name="M_9. Rev2Cost_GDPIPI_9. Shared Tax - Rate Rider" xfId="300" xr:uid="{8A365A01-1D04-4B56-AF3D-33E33F7050AE}"/>
    <cellStyle name="M_lists" xfId="105" xr:uid="{2701921E-5595-44FB-B3CB-A49CE0FF9722}"/>
    <cellStyle name="M_lists 2" xfId="164" xr:uid="{A40D814E-2646-42A1-8971-6E17DA0B9FAB}"/>
    <cellStyle name="M_lists_4. Current Monthly Fixed Charge" xfId="107" xr:uid="{05AD8860-AA6A-4416-998E-9EB716D53860}"/>
    <cellStyle name="M_lists_6.2 CBR B" xfId="285" xr:uid="{8A1D89AF-7BC3-4CC9-BF3B-1C8125650D5E}"/>
    <cellStyle name="M_lists_9. Shared Tax - Rate Rider" xfId="301" xr:uid="{D1FBBD76-BB1A-4454-937E-8547804D2F92}"/>
    <cellStyle name="M_Sheet4" xfId="112" xr:uid="{33E07E68-E98E-4D47-9F67-08CBD7E21918}"/>
    <cellStyle name="M_Sheet4 2" xfId="168" xr:uid="{1D88EE38-74C7-4BA5-A7FE-F0BEB84979ED}"/>
    <cellStyle name="M_Sheet4_6.2 CBR B" xfId="286" xr:uid="{90899415-9B6A-474C-932C-65C536F50803}"/>
    <cellStyle name="M_Sheet4_9. Shared Tax - Rate Rider" xfId="302" xr:uid="{04D16A1C-5157-47E7-BF51-AC606F50B60D}"/>
    <cellStyle name="Neutral 2" xfId="152" xr:uid="{DDCF9A61-B539-4FBD-9999-43DDD04B2553}"/>
    <cellStyle name="Neutral 3" xfId="181" xr:uid="{9BF4A680-E423-4606-B770-6AFF0FD1F8AD}"/>
    <cellStyle name="Normal" xfId="0" builtinId="0"/>
    <cellStyle name="Normal - Style1" xfId="102" xr:uid="{0015F648-7142-4A39-9FEC-8CC59CCBA2B1}"/>
    <cellStyle name="Normal 10" xfId="43" xr:uid="{39D336BC-E92C-41B0-B87F-10231BFA466F}"/>
    <cellStyle name="Normal 10 12" xfId="192" xr:uid="{1DB48762-DCA8-4101-AD29-78AE78120FAA}"/>
    <cellStyle name="Normal 11" xfId="303" xr:uid="{42E1778F-6530-4251-8393-EB4CDD9F81DF}"/>
    <cellStyle name="Normal 12" xfId="304" xr:uid="{01E47B66-4F8D-46BA-889D-B861A9BF2F44}"/>
    <cellStyle name="Normal 13 6" xfId="308" xr:uid="{88A62286-22B6-4D96-868E-4467DED44F14}"/>
    <cellStyle name="Normal 15" xfId="309" xr:uid="{0BCD665F-2E52-4F72-9D50-86E47E067EB4}"/>
    <cellStyle name="Normal 167" xfId="51" xr:uid="{FBCAA967-5D8A-403F-AA10-1DDBFC10B65A}"/>
    <cellStyle name="Normal 167 2" xfId="237" xr:uid="{66260D88-E2EB-49AC-9DFF-2E3ECD18D36F}"/>
    <cellStyle name="Normal 167 3" xfId="175" xr:uid="{5CEBFA6A-99AE-4AC4-B6CF-51B8565EAB8D}"/>
    <cellStyle name="Normal 167_6.2 CBR B" xfId="287" xr:uid="{5AC055A0-4087-47A5-9AA8-D92F4CA228C7}"/>
    <cellStyle name="Normal 168" xfId="176" xr:uid="{0BA9892C-7142-438A-A86E-A95A3F8F3389}"/>
    <cellStyle name="Normal 168 2" xfId="238" xr:uid="{EA314921-9780-4CE1-9DBC-3AF86D2516AF}"/>
    <cellStyle name="Normal 168_6.2 CBR B" xfId="288" xr:uid="{44320C8D-9A07-4A4C-BD5E-2D5916852DAF}"/>
    <cellStyle name="Normal 169" xfId="177" xr:uid="{DB591A3A-4A53-4F26-86CC-FC5FE308A33E}"/>
    <cellStyle name="Normal 169 2" xfId="239" xr:uid="{A8CBBCB2-5709-408C-9862-47CA2882AA5C}"/>
    <cellStyle name="Normal 169_6.2 CBR B" xfId="289" xr:uid="{0862D6D2-D7BB-46B0-B517-259D68DACC1C}"/>
    <cellStyle name="Normal 170" xfId="178" xr:uid="{99BDE062-F796-4A17-9E76-9AEEA44638C0}"/>
    <cellStyle name="Normal 170 2" xfId="240" xr:uid="{847C1BE4-30C9-4FF3-B48C-CBDF363557B6}"/>
    <cellStyle name="Normal 170_6.2 CBR B" xfId="290" xr:uid="{BFF19039-E1C3-43EA-9D43-748AF0373969}"/>
    <cellStyle name="Normal 171" xfId="179" xr:uid="{772B97B5-1725-4A6B-BB0A-DF77F5F1D10D}"/>
    <cellStyle name="Normal 171 2" xfId="241" xr:uid="{150E91BC-6CE8-4A00-B914-E4C9E51D4D47}"/>
    <cellStyle name="Normal 171_6.2 CBR B" xfId="291" xr:uid="{D12A0372-F6C4-425B-8F42-9591837B7AC8}"/>
    <cellStyle name="Normal 172" xfId="49" xr:uid="{EBD201A3-E24B-45FA-A20D-CB71D68718B2}"/>
    <cellStyle name="Normal 173" xfId="52" xr:uid="{44E4F692-51EC-4D7C-BF13-E279CCC63764}"/>
    <cellStyle name="Normal 19" xfId="6" xr:uid="{EFC8979F-144C-4B82-89C0-30F77DD5D064}"/>
    <cellStyle name="Normal 2" xfId="16" xr:uid="{F7BD65CE-5192-4049-982E-85FD193908A8}"/>
    <cellStyle name="Normal 2 2 2" xfId="46" xr:uid="{77C91D7B-E7A7-4263-82C4-C5723670066A}"/>
    <cellStyle name="Normal 2 5" xfId="20" xr:uid="{DFCC757D-4FE8-4A89-837E-FC58EEB90CF2}"/>
    <cellStyle name="Normal 20" xfId="22" xr:uid="{8E4847DA-35CE-47AD-BA92-D1D07CCBC098}"/>
    <cellStyle name="Normal 22" xfId="26" xr:uid="{9BB7FBE0-FF15-41E6-AAB2-24E80F1CFB73}"/>
    <cellStyle name="Normal 23" xfId="30" xr:uid="{8A9F6633-EDB2-42F8-BB3E-7FE97965A39C}"/>
    <cellStyle name="Normal 24" xfId="38" xr:uid="{D9A22B34-BB4C-45E6-A36D-8399D521245D}"/>
    <cellStyle name="Normal 25" xfId="3" xr:uid="{B4CD73CF-8A42-451F-BAAE-399743EA41A6}"/>
    <cellStyle name="Normal 26" xfId="23" xr:uid="{4E0A4261-1FB7-46F7-930E-2592E52C1D84}"/>
    <cellStyle name="Normal 28" xfId="27" xr:uid="{5F74502B-FAE3-4093-9F7A-B28E38FB79AA}"/>
    <cellStyle name="Normal 29" xfId="39" xr:uid="{BAA3C785-9A26-49D6-8ACF-457C5A24726A}"/>
    <cellStyle name="Normal 3" xfId="153" xr:uid="{BB6D524B-CC1D-414B-9868-30BE70F9B922}"/>
    <cellStyle name="Normal 3 2" xfId="227" xr:uid="{A2298295-6684-40DC-A304-DD57B8F9FAB0}"/>
    <cellStyle name="Normal 3 3" xfId="343" xr:uid="{CF863846-0F86-4538-81E9-83BF1894AC4A}"/>
    <cellStyle name="Normal 3_6.2 CBR B" xfId="292" xr:uid="{3A0AF2DA-46FC-4F75-9837-A6D3A93D30DB}"/>
    <cellStyle name="Normal 30" xfId="4" xr:uid="{814582D8-2133-42B9-BF1A-CCF5086A509D}"/>
    <cellStyle name="Normal 31" xfId="11" xr:uid="{4D8A9752-1B25-4DE3-8F8E-8552C7B05BD4}"/>
    <cellStyle name="Normal 32" xfId="7" xr:uid="{DC726BC0-706F-4AAA-B263-DB61FB2989BF}"/>
    <cellStyle name="Normal 35" xfId="28" xr:uid="{8AF12A86-F8DA-41B8-A5E5-E96733EE1770}"/>
    <cellStyle name="Normal 37" xfId="31" xr:uid="{C5E33498-2F9C-466B-A394-DFD7A560E76A}"/>
    <cellStyle name="Normal 38" xfId="40" xr:uid="{3CEB7682-5CCE-443E-B864-A4E593E58107}"/>
    <cellStyle name="Normal 4" xfId="47" xr:uid="{01893173-C2C5-4724-AB4B-975B9564CBD3}"/>
    <cellStyle name="Normal 4 2" xfId="228" xr:uid="{386EA52D-1213-407F-BF06-DFBF0AB53263}"/>
    <cellStyle name="Normal 4 3" xfId="154" xr:uid="{10B289EE-53EA-41E4-9710-F8F4409D8C5B}"/>
    <cellStyle name="Normal 4_6.2 CBR B" xfId="293" xr:uid="{9790387D-97AA-4877-A663-884E3F253524}"/>
    <cellStyle name="Normal 41" xfId="5" xr:uid="{77CEF219-5E08-43F5-B99E-492CBA5AE35E}"/>
    <cellStyle name="Normal 42" xfId="12" xr:uid="{C615D0AD-FFDE-467A-BBED-B7D17CCC97B2}"/>
    <cellStyle name="Normal 44" xfId="17" xr:uid="{20FAE2AA-7891-4EC6-B0DE-F86F0291F2B1}"/>
    <cellStyle name="Normal 45" xfId="24" xr:uid="{B7858710-CFA9-465C-B21A-87FEAA142870}"/>
    <cellStyle name="Normal 48" xfId="32" xr:uid="{282C52EB-B09E-475A-A1E6-A0C628B2B5A3}"/>
    <cellStyle name="Normal 49" xfId="41" xr:uid="{92CF3B37-D614-46E0-A173-86FA752D9A6F}"/>
    <cellStyle name="Normal 5" xfId="155" xr:uid="{0B8ABF98-30C1-4426-9D21-3FCE203B2699}"/>
    <cellStyle name="Normal 5 2" xfId="172" xr:uid="{28A4412E-D9D3-430B-AB0E-0ED21F8EFB28}"/>
    <cellStyle name="Normal 5 2 2" xfId="234" xr:uid="{96D3EAA7-0F02-4A6B-A9B2-5E0C3C9FFCDF}"/>
    <cellStyle name="Normal 5 2_6.2 CBR B" xfId="295" xr:uid="{96EBA5D6-AB63-4937-8549-AC99D55CC50A}"/>
    <cellStyle name="Normal 5 3" xfId="229" xr:uid="{F33F5792-A6EC-4425-B679-4CFB8FC0EE46}"/>
    <cellStyle name="Normal 5_6.2 CBR B" xfId="294" xr:uid="{69817D5D-1CF6-4695-AD34-F428E3E6FF44}"/>
    <cellStyle name="Normal 50" xfId="8" xr:uid="{F7237C60-6FF6-4A13-AB31-D5CCAC691D1D}"/>
    <cellStyle name="Normal 51" xfId="10" xr:uid="{0F95E057-15FE-47F4-B024-C7FB671CCDD7}"/>
    <cellStyle name="Normal 52" xfId="13" xr:uid="{B62088F2-FA72-456C-ACB4-7BFAC1EA6263}"/>
    <cellStyle name="Normal 53" xfId="15" xr:uid="{24A13AEC-CFAC-446A-A6D9-1A920891DAE1}"/>
    <cellStyle name="Normal 54" xfId="18" xr:uid="{0C7C3619-B1F1-456B-99FC-1781598D7360}"/>
    <cellStyle name="Normal 55" xfId="21" xr:uid="{43123473-71C6-44C0-A2D2-8F87E130511B}"/>
    <cellStyle name="Normal 56" xfId="34" xr:uid="{CE6C9879-64F6-4534-8F74-64E8C97FA80B}"/>
    <cellStyle name="Normal 57" xfId="36" xr:uid="{C4310441-1A31-4332-A1DA-0A55B13D55E8}"/>
    <cellStyle name="Normal 59" xfId="42" xr:uid="{25323854-B889-40D1-BFCD-63198CAF0838}"/>
    <cellStyle name="Normal 6" xfId="169" xr:uid="{7BAEBB1A-8D6D-4C4C-B41E-8343BED550E1}"/>
    <cellStyle name="Normal 6 2" xfId="232" xr:uid="{4F464AD8-4F49-4B3A-8018-DB1751F0DD88}"/>
    <cellStyle name="Normal 6 3" xfId="329" xr:uid="{5A133E92-16A7-4A21-9236-61D390CF7771}"/>
    <cellStyle name="Normal 6 4" xfId="307" xr:uid="{98736AFF-593D-47C5-933E-BD9364153C13}"/>
    <cellStyle name="Normal 6_6.2 CBR B" xfId="296" xr:uid="{5D3342A5-A213-4D91-A3A0-51D5A985F352}"/>
    <cellStyle name="Normal 60" xfId="9" xr:uid="{9E00D66A-FA29-441E-B73A-A7479D9D0F48}"/>
    <cellStyle name="Normal 61" xfId="14" xr:uid="{4A893C43-1451-4ED7-8720-F51FC137942E}"/>
    <cellStyle name="Normal 62" xfId="19" xr:uid="{A0F6B8EB-1427-4FAA-8958-59DCDCA7ACBB}"/>
    <cellStyle name="Normal 63" xfId="25" xr:uid="{CFA5E147-EBAA-4469-87E5-4044BF90BAB2}"/>
    <cellStyle name="Normal 65" xfId="35" xr:uid="{91DAFE82-E9B5-4D43-902D-00987420EF61}"/>
    <cellStyle name="Normal 66" xfId="37" xr:uid="{5A1DC511-C356-4510-92F5-24407C5941BD}"/>
    <cellStyle name="Normal 68" xfId="29" xr:uid="{4797EC3D-75C0-4D4D-AAC8-D9900E2957DB}"/>
    <cellStyle name="Normal 7 2" xfId="50" xr:uid="{4C8990CD-17A7-44DB-AF7A-47AE019C2E26}"/>
    <cellStyle name="Normal 70" xfId="33" xr:uid="{250113FB-2E52-4224-B56D-E0BD624A8CDE}"/>
    <cellStyle name="Normal 8" xfId="2" xr:uid="{9C694E00-6017-443F-B88E-F1822411B5BF}"/>
    <cellStyle name="Normal_6. Cost Allocation for Def-Var" xfId="44" xr:uid="{09223F9B-A739-47F0-A8E6-9FC9B9F42268}"/>
    <cellStyle name="Note" xfId="66" builtinId="10" customBuiltin="1"/>
    <cellStyle name="Note 2" xfId="156" xr:uid="{ABAB6E96-ABEF-449A-A830-9A41F1BDF729}"/>
    <cellStyle name="Note 2 2" xfId="230" xr:uid="{A92B14F0-30B8-482D-91DE-896907073979}"/>
    <cellStyle name="Note 3" xfId="242" xr:uid="{8682AA08-CCC6-4D8C-AA58-AF2BC2036974}"/>
    <cellStyle name="Output" xfId="61" builtinId="21" customBuiltin="1"/>
    <cellStyle name="Output 2" xfId="157" xr:uid="{2B703977-DD5F-4D64-8619-4D959122BE6E}"/>
    <cellStyle name="Percent" xfId="45" builtinId="5"/>
    <cellStyle name="Percent [2]" xfId="103" xr:uid="{7A75276C-1F92-4E01-A7AC-DE0F7C540F0E}"/>
    <cellStyle name="Percent 10" xfId="205" xr:uid="{C3E7D2C1-7B4C-44A5-94C1-7E93A750659B}"/>
    <cellStyle name="Percent 11" xfId="206" xr:uid="{056205AA-165F-4D45-BEFC-6158F3197C90}"/>
    <cellStyle name="Percent 12" xfId="207" xr:uid="{CF484D1A-8365-4C9D-AFE4-BEE44E1706C9}"/>
    <cellStyle name="Percent 13" xfId="208" xr:uid="{6FFE9D6B-A86B-4B07-A01C-DB2790E73F52}"/>
    <cellStyle name="Percent 13 6" xfId="311" xr:uid="{C6ED5BE9-C5AF-4B65-9CFE-4374249D6364}"/>
    <cellStyle name="Percent 14" xfId="209" xr:uid="{B12D517E-2522-4A1E-8691-FB11352F6637}"/>
    <cellStyle name="Percent 15" xfId="210" xr:uid="{CBEBECB4-57AA-4BBB-8644-C258942C85C5}"/>
    <cellStyle name="Percent 16" xfId="211" xr:uid="{128B445D-3E6F-4F2B-8863-414A835D54BD}"/>
    <cellStyle name="Percent 17" xfId="213" xr:uid="{FF9A607A-D13B-4B3C-B74B-26F0427270E1}"/>
    <cellStyle name="Percent 18" xfId="212" xr:uid="{0DD94D93-754F-45DC-81FF-E834768D7096}"/>
    <cellStyle name="Percent 19" xfId="255" xr:uid="{8BD116E2-DD6E-4ADE-9643-8B844909CD6D}"/>
    <cellStyle name="Percent 2" xfId="114" xr:uid="{666F1EEA-63AC-42AB-9E84-39A209DBFFAD}"/>
    <cellStyle name="Percent 20" xfId="257" xr:uid="{18182E1C-E4BA-48C6-93A4-02A175595373}"/>
    <cellStyle name="Percent 21" xfId="260" xr:uid="{D58B6D79-99D7-4030-BB25-FD5438A6298A}"/>
    <cellStyle name="Percent 22" xfId="261" xr:uid="{9BAE27DA-C673-4F84-BDC0-187546BA1E52}"/>
    <cellStyle name="Percent 23" xfId="262" xr:uid="{380C5B6D-5AB1-46E9-A3B2-51C2B781E40F}"/>
    <cellStyle name="Percent 24" xfId="263" xr:uid="{CFD24407-305E-475B-B3B2-B46216ABBB68}"/>
    <cellStyle name="Percent 25" xfId="264" xr:uid="{835E03DD-69EB-4103-B422-2AAC47FB422A}"/>
    <cellStyle name="Percent 26" xfId="265" xr:uid="{3762F01A-1A06-4924-9A6F-B819D85EF18E}"/>
    <cellStyle name="Percent 27" xfId="266" xr:uid="{FF2AECB2-261D-4464-99F5-1E891428CA25}"/>
    <cellStyle name="Percent 28" xfId="267" xr:uid="{85580833-A8B1-42D8-AE52-7F21F46526FE}"/>
    <cellStyle name="Percent 29" xfId="268" xr:uid="{40BDA8DA-4155-4C88-BAE0-D351C6DDA07C}"/>
    <cellStyle name="Percent 3" xfId="158" xr:uid="{E4D3DDD4-E0A3-4C54-8EF2-F9839EB5DCAA}"/>
    <cellStyle name="Percent 3 2" xfId="173" xr:uid="{5307AE67-23BF-4280-911A-6C146F2027E9}"/>
    <cellStyle name="Percent 3 2 2" xfId="235" xr:uid="{483D484B-D2B5-4C8C-A3AF-BE2E73F6E2E3}"/>
    <cellStyle name="Percent 3 3" xfId="231" xr:uid="{86795804-4D9F-49E2-9C8F-EB509C4121BE}"/>
    <cellStyle name="Percent 30" xfId="306" xr:uid="{771B2BEA-8DAB-44E1-BB35-EF2F03F7EEAB}"/>
    <cellStyle name="Percent 31" xfId="344" xr:uid="{1215C91F-968C-4601-8C89-6011AACE940B}"/>
    <cellStyle name="Percent 32" xfId="345" xr:uid="{474AE70C-1ACC-4506-9666-00D0E4525B60}"/>
    <cellStyle name="Percent 4" xfId="174" xr:uid="{1D9098AA-206C-4564-AC8D-0CF4C54F8C5E}"/>
    <cellStyle name="Percent 4 2" xfId="236" xr:uid="{5E50B027-6B5A-41E9-BA26-B2A6EA9127E5}"/>
    <cellStyle name="Percent 5" xfId="194" xr:uid="{4E1DA869-ACE5-47C6-A057-92F36375BBAF}"/>
    <cellStyle name="Percent 54" xfId="305" xr:uid="{68C43CAF-5EB3-4A92-B02A-9EE3AE40FC5F}"/>
    <cellStyle name="Percent 6" xfId="199" xr:uid="{8B2E8DAE-41E4-4B93-9746-D9FE78576122}"/>
    <cellStyle name="Percent 7" xfId="200" xr:uid="{DE6753F5-F7A2-46AB-A0D7-F69813D83D18}"/>
    <cellStyle name="Percent 8" xfId="197" xr:uid="{3D602A4D-CA9A-423D-9011-8D425D6499B0}"/>
    <cellStyle name="Percent 9" xfId="203" xr:uid="{2BE29389-2A02-43BB-805B-7063EC9CC3DD}"/>
    <cellStyle name="Title 2" xfId="159" xr:uid="{6193DDD5-2000-4706-B7BF-7744FA4B7030}"/>
    <cellStyle name="Title 3" xfId="180" xr:uid="{43670228-16A3-4B6F-92C8-AA9E25BC1BAD}"/>
    <cellStyle name="Total" xfId="68" builtinId="25" customBuiltin="1"/>
    <cellStyle name="Total 2" xfId="160" xr:uid="{DD6D2767-82B7-4BB8-8129-689150AF049D}"/>
    <cellStyle name="Warning Text" xfId="65" builtinId="11" customBuiltin="1"/>
    <cellStyle name="Warning Text 2" xfId="161" xr:uid="{04861269-3F68-497F-83D5-01EA2674F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44823</xdr:rowOff>
    </xdr:from>
    <xdr:to>
      <xdr:col>65</xdr:col>
      <xdr:colOff>139053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38809-34E7-45E2-8466-C358ED11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3"/>
          <a:ext cx="10445103" cy="22445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5</xdr:row>
      <xdr:rowOff>20241</xdr:rowOff>
    </xdr:from>
    <xdr:to>
      <xdr:col>65</xdr:col>
      <xdr:colOff>0</xdr:colOff>
      <xdr:row>10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D0DE25D-52FE-4B74-BE2B-1F395EFBD881}"/>
            </a:ext>
          </a:extLst>
        </xdr:cNvPr>
        <xdr:cNvSpPr/>
      </xdr:nvSpPr>
      <xdr:spPr>
        <a:xfrm>
          <a:off x="0" y="829866"/>
          <a:ext cx="10306050" cy="1225291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tx1"/>
            </a:contourClr>
          </a:sp3d>
        </a:bodyPr>
        <a:lstStyle/>
        <a:p>
          <a:pPr algn="ctr" rtl="0"/>
          <a:r>
            <a:rPr lang="en-CA" sz="3200" b="1" i="0" cap="none" spc="0" baseline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  <a:latin typeface="+mn-lt"/>
              <a:ea typeface="+mn-ea"/>
              <a:cs typeface="+mn-cs"/>
            </a:rPr>
            <a:t>2025 Deferral/Variance Account Workform</a:t>
          </a:r>
          <a:endParaRPr lang="en-CA" sz="3200" b="1" cap="none" spc="0">
            <a:ln w="11430">
              <a:solidFill>
                <a:schemeClr val="tx1">
                  <a:lumMod val="95000"/>
                  <a:lumOff val="5000"/>
                </a:schemeClr>
              </a:solidFill>
            </a:ln>
            <a:solidFill>
              <a:schemeClr val="tx1"/>
            </a:solidFill>
            <a:effectLst>
              <a:outerShdw blurRad="60007" dist="200025" dir="15000000" sy="30000" kx="-1800000" algn="bl" rotWithShape="0">
                <a:prstClr val="black">
                  <a:alpha val="32000"/>
                </a:prstClr>
              </a:outerShdw>
            </a:effectLst>
          </a:endParaRPr>
        </a:p>
      </xdr:txBody>
    </xdr:sp>
    <xdr:clientData/>
  </xdr:twoCellAnchor>
  <xdr:twoCellAnchor>
    <xdr:from>
      <xdr:col>1</xdr:col>
      <xdr:colOff>638736</xdr:colOff>
      <xdr:row>1</xdr:row>
      <xdr:rowOff>57369</xdr:rowOff>
    </xdr:from>
    <xdr:to>
      <xdr:col>2</xdr:col>
      <xdr:colOff>2968221</xdr:colOff>
      <xdr:row>3</xdr:row>
      <xdr:rowOff>64726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331A265-AD57-4473-A608-D9F96AF7E882}"/>
            </a:ext>
          </a:extLst>
        </xdr:cNvPr>
        <xdr:cNvSpPr/>
      </xdr:nvSpPr>
      <xdr:spPr>
        <a:xfrm>
          <a:off x="638736" y="219294"/>
          <a:ext cx="4548810" cy="33120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 rtl="0"/>
          <a:r>
            <a:rPr lang="en-CA" sz="1800" b="0" i="0" cap="none" spc="0" baseline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Ontario Energy Board</a:t>
          </a:r>
          <a:endParaRPr lang="en-CA" sz="1800" b="0" cap="none" spc="0">
            <a:ln w="18415" cmpd="sng">
              <a:noFill/>
              <a:prstDash val="solid"/>
            </a:ln>
            <a:solidFill>
              <a:schemeClr val="tx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44450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107950</xdr:colOff>
          <xdr:row>31</xdr:row>
          <xdr:rowOff>0</xdr:rowOff>
        </xdr:from>
        <xdr:to>
          <xdr:col>142</xdr:col>
          <xdr:colOff>571500</xdr:colOff>
          <xdr:row>32</xdr:row>
          <xdr:rowOff>63500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168088</xdr:colOff>
      <xdr:row>1</xdr:row>
      <xdr:rowOff>56029</xdr:rowOff>
    </xdr:from>
    <xdr:to>
      <xdr:col>1</xdr:col>
      <xdr:colOff>557370</xdr:colOff>
      <xdr:row>3</xdr:row>
      <xdr:rowOff>120409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965464-CA9C-41C6-A0D5-9662C1D6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37" t="-1608" r="-2437" b="-1608"/>
        <a:stretch>
          <a:fillRect/>
        </a:stretch>
      </xdr:blipFill>
      <xdr:spPr bwMode="auto">
        <a:xfrm>
          <a:off x="168088" y="217954"/>
          <a:ext cx="389282" cy="388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BFE4-B472-4062-949B-D2B1DEC4E1B0}">
  <dimension ref="A1:ES92"/>
  <sheetViews>
    <sheetView tabSelected="1" topLeftCell="B11" zoomScale="86" zoomScaleNormal="100" workbookViewId="0">
      <pane xSplit="3" ySplit="6" topLeftCell="EE27" activePane="bottomRight" state="frozen"/>
      <selection pane="topRight" activeCell="E11" sqref="E11"/>
      <selection pane="bottomLeft" activeCell="B23" sqref="B23"/>
      <selection pane="bottomRight" activeCell="EJ53" sqref="EJ53"/>
    </sheetView>
  </sheetViews>
  <sheetFormatPr defaultColWidth="9" defaultRowHeight="14.5" x14ac:dyDescent="0.35"/>
  <cols>
    <col min="1" max="1" width="18.54296875" hidden="1" customWidth="1"/>
    <col min="2" max="2" width="5.54296875" customWidth="1"/>
    <col min="3" max="3" width="48.90625" customWidth="1"/>
    <col min="4" max="5" width="11" customWidth="1"/>
    <col min="6" max="6" width="12.36328125" customWidth="1"/>
    <col min="7" max="7" width="11" customWidth="1"/>
    <col min="8" max="8" width="12.36328125" bestFit="1" customWidth="1"/>
    <col min="9" max="9" width="12.6328125" bestFit="1" customWidth="1"/>
    <col min="10" max="10" width="13.54296875" bestFit="1" customWidth="1"/>
    <col min="11" max="11" width="12.453125" customWidth="1"/>
    <col min="12" max="12" width="11" customWidth="1"/>
    <col min="13" max="13" width="11.90625" customWidth="1"/>
    <col min="14" max="14" width="12.6328125" customWidth="1"/>
    <col min="15" max="15" width="12.36328125" bestFit="1" customWidth="1"/>
    <col min="16" max="16" width="12.54296875" customWidth="1"/>
    <col min="17" max="17" width="12.90625" bestFit="1" customWidth="1"/>
    <col min="18" max="18" width="11.90625" customWidth="1"/>
    <col min="19" max="19" width="13" customWidth="1"/>
    <col min="20" max="20" width="13.54296875" bestFit="1" customWidth="1"/>
    <col min="21" max="21" width="12.90625" customWidth="1"/>
    <col min="22" max="22" width="11" customWidth="1"/>
    <col min="23" max="23" width="11.6328125" customWidth="1"/>
    <col min="24" max="24" width="12.54296875" customWidth="1"/>
    <col min="25" max="25" width="12.90625" bestFit="1" customWidth="1"/>
    <col min="26" max="26" width="13.453125" bestFit="1" customWidth="1"/>
    <col min="27" max="28" width="12.08984375" customWidth="1"/>
    <col min="29" max="29" width="12.90625" bestFit="1" customWidth="1"/>
    <col min="30" max="30" width="12.6328125" bestFit="1" customWidth="1"/>
    <col min="31" max="33" width="12.08984375" customWidth="1"/>
    <col min="34" max="34" width="13.453125" bestFit="1" customWidth="1"/>
    <col min="35" max="35" width="12.90625" bestFit="1" customWidth="1"/>
    <col min="36" max="36" width="13.453125" bestFit="1" customWidth="1"/>
    <col min="37" max="37" width="11" customWidth="1"/>
    <col min="38" max="38" width="11.90625" customWidth="1"/>
    <col min="39" max="39" width="12.90625" bestFit="1" customWidth="1"/>
    <col min="40" max="40" width="11.90625" bestFit="1" customWidth="1"/>
    <col min="41" max="41" width="12.54296875" customWidth="1"/>
    <col min="42" max="42" width="11" customWidth="1"/>
    <col min="43" max="43" width="11.6328125" customWidth="1"/>
    <col min="44" max="44" width="12.6328125" customWidth="1"/>
    <col min="45" max="45" width="12.90625" bestFit="1" customWidth="1"/>
    <col min="46" max="46" width="11.6328125" customWidth="1"/>
    <col min="47" max="47" width="11" customWidth="1"/>
    <col min="48" max="48" width="12.36328125" bestFit="1" customWidth="1"/>
    <col min="49" max="49" width="12.6328125" customWidth="1"/>
    <col min="50" max="50" width="12.6328125" bestFit="1" customWidth="1"/>
    <col min="51" max="51" width="12.08984375" customWidth="1"/>
    <col min="52" max="52" width="11" customWidth="1"/>
    <col min="53" max="53" width="12" customWidth="1"/>
    <col min="54" max="54" width="12.54296875" customWidth="1"/>
    <col min="55" max="55" width="12.90625" bestFit="1" customWidth="1"/>
    <col min="56" max="56" width="12.08984375" customWidth="1"/>
    <col min="57" max="57" width="11.453125" bestFit="1" customWidth="1"/>
    <col min="58" max="58" width="11.90625" customWidth="1"/>
    <col min="59" max="59" width="12.90625" bestFit="1" customWidth="1"/>
    <col min="60" max="60" width="12.6328125" bestFit="1" customWidth="1"/>
    <col min="61" max="61" width="12.36328125" customWidth="1"/>
    <col min="62" max="62" width="11" customWidth="1"/>
    <col min="63" max="63" width="11.6328125" customWidth="1"/>
    <col min="64" max="64" width="13.6328125" bestFit="1" customWidth="1"/>
    <col min="65" max="65" width="12.90625" style="1" bestFit="1" customWidth="1"/>
    <col min="66" max="66" width="11.90625" style="1" customWidth="1"/>
    <col min="67" max="67" width="11.54296875" style="1" bestFit="1" customWidth="1"/>
    <col min="68" max="68" width="12" style="1" customWidth="1"/>
    <col min="69" max="69" width="13" style="1" customWidth="1"/>
    <col min="70" max="70" width="11.453125" style="1" bestFit="1" customWidth="1"/>
    <col min="71" max="71" width="13.6328125" style="1" bestFit="1" customWidth="1"/>
    <col min="72" max="72" width="11" style="1" customWidth="1"/>
    <col min="73" max="73" width="12.08984375" style="1" customWidth="1"/>
    <col min="74" max="74" width="12.453125" style="1" customWidth="1"/>
    <col min="75" max="75" width="12.90625" style="1" bestFit="1" customWidth="1"/>
    <col min="76" max="76" width="12" style="1" customWidth="1"/>
    <col min="77" max="77" width="10.90625" style="1" bestFit="1" customWidth="1"/>
    <col min="78" max="78" width="11.90625" style="1" customWidth="1"/>
    <col min="79" max="79" width="12.90625" style="1" bestFit="1" customWidth="1"/>
    <col min="80" max="80" width="11.54296875" style="1" customWidth="1"/>
    <col min="81" max="81" width="12.453125" style="1" customWidth="1"/>
    <col min="82" max="82" width="13.453125" style="1" bestFit="1" customWidth="1"/>
    <col min="83" max="83" width="12" style="1" customWidth="1"/>
    <col min="84" max="84" width="13.453125" style="1" bestFit="1" customWidth="1"/>
    <col min="85" max="86" width="12.90625" style="1" bestFit="1" customWidth="1"/>
    <col min="87" max="87" width="11" style="1" customWidth="1"/>
    <col min="88" max="88" width="11.90625" style="1" customWidth="1"/>
    <col min="89" max="89" width="12.90625" style="1" bestFit="1" customWidth="1"/>
    <col min="90" max="90" width="11" style="1" customWidth="1"/>
    <col min="91" max="91" width="12.453125" style="1" customWidth="1"/>
    <col min="92" max="92" width="12.08984375" style="1" bestFit="1" customWidth="1"/>
    <col min="93" max="93" width="11.6328125" style="1" customWidth="1"/>
    <col min="94" max="94" width="12.08984375" style="1" bestFit="1" customWidth="1"/>
    <col min="95" max="95" width="12.90625" style="1" bestFit="1" customWidth="1"/>
    <col min="96" max="96" width="12" style="1" customWidth="1"/>
    <col min="97" max="97" width="10.90625" style="1" bestFit="1" customWidth="1"/>
    <col min="98" max="98" width="11.6328125" style="1" customWidth="1"/>
    <col min="99" max="99" width="12.90625" style="1" bestFit="1" customWidth="1"/>
    <col min="100" max="100" width="12.36328125" style="1" customWidth="1"/>
    <col min="101" max="101" width="13" style="1" customWidth="1"/>
    <col min="102" max="102" width="13.453125" style="1" bestFit="1" customWidth="1"/>
    <col min="103" max="103" width="12.08984375" style="1" customWidth="1"/>
    <col min="104" max="104" width="14.36328125" style="1" customWidth="1"/>
    <col min="105" max="106" width="12.90625" style="1" bestFit="1" customWidth="1"/>
    <col min="107" max="107" width="11" style="1" customWidth="1"/>
    <col min="108" max="108" width="12.08984375" style="1" customWidth="1"/>
    <col min="109" max="109" width="12.90625" style="1" bestFit="1" customWidth="1"/>
    <col min="110" max="110" width="11" style="1" customWidth="1"/>
    <col min="111" max="111" width="12.08984375" style="1" customWidth="1"/>
    <col min="112" max="112" width="12.54296875" style="1" bestFit="1" customWidth="1"/>
    <col min="113" max="113" width="11.90625" style="1" customWidth="1"/>
    <col min="114" max="114" width="13" style="1" customWidth="1"/>
    <col min="115" max="115" width="12.90625" style="1" bestFit="1" customWidth="1"/>
    <col min="116" max="116" width="12.36328125" style="1" bestFit="1" customWidth="1"/>
    <col min="117" max="117" width="11" style="1" customWidth="1"/>
    <col min="118" max="118" width="11.6328125" style="1" customWidth="1"/>
    <col min="119" max="119" width="13.90625" style="1" bestFit="1" customWidth="1"/>
    <col min="120" max="120" width="11" style="1" customWidth="1"/>
    <col min="121" max="121" width="12.54296875" style="1" customWidth="1"/>
    <col min="122" max="122" width="13.90625" style="1" bestFit="1" customWidth="1"/>
    <col min="123" max="123" width="12.6328125" style="1" bestFit="1" customWidth="1"/>
    <col min="124" max="124" width="14.54296875" style="1" bestFit="1" customWidth="1"/>
    <col min="125" max="125" width="13.90625" style="1" bestFit="1" customWidth="1"/>
    <col min="126" max="126" width="12.36328125" style="1" bestFit="1" customWidth="1"/>
    <col min="127" max="127" width="11" style="1" customWidth="1"/>
    <col min="128" max="128" width="14.453125" style="1" customWidth="1"/>
    <col min="129" max="129" width="13.90625" style="1" bestFit="1" customWidth="1"/>
    <col min="130" max="130" width="11.453125" style="1" bestFit="1" customWidth="1"/>
    <col min="131" max="131" width="12.6328125" style="1" customWidth="1"/>
    <col min="132" max="132" width="13.36328125" style="1" bestFit="1" customWidth="1"/>
    <col min="133" max="133" width="12" style="1" customWidth="1"/>
    <col min="134" max="134" width="14.54296875" style="1" bestFit="1" customWidth="1"/>
    <col min="135" max="135" width="26.90625" style="1" customWidth="1"/>
    <col min="136" max="136" width="10.90625" style="1" bestFit="1" customWidth="1"/>
    <col min="137" max="137" width="16.08984375" style="1" customWidth="1"/>
    <col min="138" max="138" width="15.36328125" style="1" customWidth="1"/>
    <col min="139" max="140" width="26.90625" style="1" customWidth="1"/>
    <col min="141" max="142" width="22" style="1" bestFit="1" customWidth="1"/>
    <col min="143" max="143" width="10.90625" style="1" bestFit="1" customWidth="1"/>
    <col min="144" max="144" width="19.453125" style="1" bestFit="1" customWidth="1"/>
    <col min="145" max="145" width="13.36328125" style="1" bestFit="1" customWidth="1"/>
    <col min="146" max="146" width="32.36328125" style="4" bestFit="1" customWidth="1"/>
    <col min="147" max="147" width="6.6328125" style="53" customWidth="1"/>
    <col min="148" max="149" width="9" style="53"/>
  </cols>
  <sheetData>
    <row r="1" spans="2:148" x14ac:dyDescent="0.35">
      <c r="BN1" s="2">
        <v>15</v>
      </c>
      <c r="EI1" s="3"/>
      <c r="EJ1" s="3"/>
      <c r="EK1" s="3"/>
      <c r="EL1" s="3"/>
      <c r="EM1" s="3"/>
    </row>
    <row r="2" spans="2:148" x14ac:dyDescent="0.35">
      <c r="EI2" s="3"/>
      <c r="EJ2" s="3"/>
      <c r="EK2" s="3"/>
      <c r="EL2" s="3"/>
      <c r="EM2" s="3"/>
    </row>
    <row r="3" spans="2:148" x14ac:dyDescent="0.35">
      <c r="EI3" s="3"/>
      <c r="EJ3" s="3"/>
      <c r="EK3" s="3"/>
      <c r="EL3" s="3"/>
      <c r="EM3" s="3"/>
    </row>
    <row r="4" spans="2:148" x14ac:dyDescent="0.35">
      <c r="EI4" s="3"/>
      <c r="EJ4" s="3"/>
      <c r="EK4" s="3"/>
      <c r="EL4" s="3"/>
      <c r="EM4" s="3"/>
    </row>
    <row r="5" spans="2:148" x14ac:dyDescent="0.35">
      <c r="EI5" s="3"/>
      <c r="EJ5" s="3"/>
      <c r="EK5" s="3"/>
      <c r="EL5" s="3"/>
      <c r="EM5" s="3"/>
    </row>
    <row r="6" spans="2:148" x14ac:dyDescent="0.35">
      <c r="EI6" s="3"/>
      <c r="EJ6" s="3"/>
      <c r="EK6" s="3"/>
      <c r="EL6" s="3"/>
      <c r="EM6" s="3"/>
    </row>
    <row r="7" spans="2:148" x14ac:dyDescent="0.35">
      <c r="EI7" s="3"/>
      <c r="EJ7" s="3"/>
      <c r="EK7" s="3"/>
      <c r="EL7" s="3"/>
      <c r="EM7" s="3"/>
    </row>
    <row r="8" spans="2:148" x14ac:dyDescent="0.35">
      <c r="EI8" s="3"/>
      <c r="EJ8" s="3"/>
      <c r="EK8" s="3"/>
      <c r="EL8" s="3"/>
      <c r="EM8" s="3"/>
    </row>
    <row r="9" spans="2:148" x14ac:dyDescent="0.35">
      <c r="EI9" s="3"/>
      <c r="EJ9" s="3"/>
      <c r="EK9" s="3"/>
      <c r="EL9" s="3"/>
      <c r="EM9" s="3"/>
    </row>
    <row r="10" spans="2:148" x14ac:dyDescent="0.35">
      <c r="EI10" s="3"/>
      <c r="EJ10" s="3"/>
      <c r="EK10" s="3"/>
      <c r="EL10" s="3"/>
      <c r="EM10" s="3"/>
    </row>
    <row r="11" spans="2:148" ht="15.5" x14ac:dyDescent="0.35">
      <c r="BM11" s="6"/>
      <c r="EI11" s="3"/>
      <c r="EJ11" s="3"/>
      <c r="EK11" s="3"/>
      <c r="EL11" s="3"/>
      <c r="EM11" s="3"/>
    </row>
    <row r="12" spans="2:148" ht="15" thickBot="1" x14ac:dyDescent="0.4">
      <c r="C12" s="7"/>
      <c r="EG12" s="8"/>
      <c r="EH12" s="8"/>
      <c r="EI12" s="9"/>
      <c r="EJ12" s="9"/>
      <c r="EK12" s="9"/>
      <c r="EL12" s="9"/>
      <c r="EM12" s="9"/>
    </row>
    <row r="13" spans="2:148" ht="29" thickBot="1" x14ac:dyDescent="0.7">
      <c r="C13" s="10"/>
      <c r="D13" s="11"/>
      <c r="E13" s="177">
        <v>2012</v>
      </c>
      <c r="F13" s="178"/>
      <c r="G13" s="178"/>
      <c r="H13" s="178"/>
      <c r="I13" s="178"/>
      <c r="J13" s="178"/>
      <c r="K13" s="178"/>
      <c r="L13" s="178"/>
      <c r="M13" s="178"/>
      <c r="N13" s="179"/>
      <c r="O13" s="178">
        <v>2013</v>
      </c>
      <c r="P13" s="178"/>
      <c r="Q13" s="178"/>
      <c r="R13" s="178"/>
      <c r="S13" s="178"/>
      <c r="T13" s="178"/>
      <c r="U13" s="178"/>
      <c r="V13" s="178"/>
      <c r="W13" s="178"/>
      <c r="X13" s="179"/>
      <c r="Y13" s="177">
        <v>2014</v>
      </c>
      <c r="Z13" s="178"/>
      <c r="AA13" s="178"/>
      <c r="AB13" s="178"/>
      <c r="AC13" s="178"/>
      <c r="AD13" s="178"/>
      <c r="AE13" s="178"/>
      <c r="AF13" s="178"/>
      <c r="AG13" s="178"/>
      <c r="AH13" s="179"/>
      <c r="AI13" s="177">
        <v>2015</v>
      </c>
      <c r="AJ13" s="178"/>
      <c r="AK13" s="178"/>
      <c r="AL13" s="178"/>
      <c r="AM13" s="178"/>
      <c r="AN13" s="178"/>
      <c r="AO13" s="178"/>
      <c r="AP13" s="178"/>
      <c r="AQ13" s="178"/>
      <c r="AR13" s="179"/>
      <c r="AS13" s="177">
        <v>2016</v>
      </c>
      <c r="AT13" s="178"/>
      <c r="AU13" s="178"/>
      <c r="AV13" s="178"/>
      <c r="AW13" s="178"/>
      <c r="AX13" s="178"/>
      <c r="AY13" s="178"/>
      <c r="AZ13" s="178"/>
      <c r="BA13" s="178"/>
      <c r="BB13" s="179"/>
      <c r="BC13" s="177">
        <v>2017</v>
      </c>
      <c r="BD13" s="178"/>
      <c r="BE13" s="178"/>
      <c r="BF13" s="178"/>
      <c r="BG13" s="178"/>
      <c r="BH13" s="178"/>
      <c r="BI13" s="178"/>
      <c r="BJ13" s="178"/>
      <c r="BK13" s="178"/>
      <c r="BL13" s="179"/>
      <c r="BM13" s="177">
        <v>2018</v>
      </c>
      <c r="BN13" s="178"/>
      <c r="BO13" s="178"/>
      <c r="BP13" s="178"/>
      <c r="BQ13" s="178"/>
      <c r="BR13" s="178"/>
      <c r="BS13" s="178"/>
      <c r="BT13" s="178"/>
      <c r="BU13" s="178"/>
      <c r="BV13" s="179"/>
      <c r="BW13" s="167">
        <f>BM13+1</f>
        <v>2019</v>
      </c>
      <c r="BX13" s="168"/>
      <c r="BY13" s="168"/>
      <c r="BZ13" s="168"/>
      <c r="CA13" s="168"/>
      <c r="CB13" s="168"/>
      <c r="CC13" s="168"/>
      <c r="CD13" s="168"/>
      <c r="CE13" s="168"/>
      <c r="CF13" s="169"/>
      <c r="CG13" s="167">
        <f>BW13+1</f>
        <v>2020</v>
      </c>
      <c r="CH13" s="168"/>
      <c r="CI13" s="168"/>
      <c r="CJ13" s="168"/>
      <c r="CK13" s="168"/>
      <c r="CL13" s="168"/>
      <c r="CM13" s="168"/>
      <c r="CN13" s="168"/>
      <c r="CO13" s="168"/>
      <c r="CP13" s="169"/>
      <c r="CQ13" s="167">
        <f>CG13+1</f>
        <v>2021</v>
      </c>
      <c r="CR13" s="168"/>
      <c r="CS13" s="168"/>
      <c r="CT13" s="168"/>
      <c r="CU13" s="168"/>
      <c r="CV13" s="168"/>
      <c r="CW13" s="168"/>
      <c r="CX13" s="168"/>
      <c r="CY13" s="168"/>
      <c r="CZ13" s="169"/>
      <c r="DA13" s="167">
        <f>CQ13+1</f>
        <v>2022</v>
      </c>
      <c r="DB13" s="168"/>
      <c r="DC13" s="168"/>
      <c r="DD13" s="168"/>
      <c r="DE13" s="168"/>
      <c r="DF13" s="168"/>
      <c r="DG13" s="168"/>
      <c r="DH13" s="168"/>
      <c r="DI13" s="168"/>
      <c r="DJ13" s="169"/>
      <c r="DK13" s="167">
        <f>DA13+1</f>
        <v>2023</v>
      </c>
      <c r="DL13" s="168"/>
      <c r="DM13" s="168"/>
      <c r="DN13" s="168"/>
      <c r="DO13" s="168"/>
      <c r="DP13" s="168"/>
      <c r="DQ13" s="168"/>
      <c r="DR13" s="168"/>
      <c r="DS13" s="168"/>
      <c r="DT13" s="169"/>
      <c r="DU13" s="167">
        <f>DK13+1</f>
        <v>2024</v>
      </c>
      <c r="DV13" s="168"/>
      <c r="DW13" s="168"/>
      <c r="DX13" s="168"/>
      <c r="DY13" s="168"/>
      <c r="DZ13" s="168"/>
      <c r="EA13" s="168"/>
      <c r="EB13" s="168"/>
      <c r="EC13" s="168"/>
      <c r="ED13" s="169"/>
      <c r="EE13" s="167">
        <f>DK13+1</f>
        <v>2024</v>
      </c>
      <c r="EF13" s="168"/>
      <c r="EG13" s="168"/>
      <c r="EH13" s="169"/>
      <c r="EI13" s="170" t="str">
        <f>CONCATENATE("Projected Interest on Dec-31-",RIGHT(DU13,2)," Balances")</f>
        <v>Projected Interest on Dec-31-24 Balances</v>
      </c>
      <c r="EJ13" s="171"/>
      <c r="EK13" s="171"/>
      <c r="EL13" s="172"/>
      <c r="EM13" s="12"/>
      <c r="EN13" s="13" t="s">
        <v>14</v>
      </c>
      <c r="EO13" s="28"/>
    </row>
    <row r="14" spans="2:148" ht="14.25" customHeight="1" x14ac:dyDescent="0.35">
      <c r="C14" s="173" t="s">
        <v>15</v>
      </c>
      <c r="D14" s="175" t="s">
        <v>16</v>
      </c>
      <c r="E14" s="162" t="str">
        <f>CONCATENATE("Opening Principal Amounts as of Jan-1-",RIGHT(E13,2))</f>
        <v>Opening Principal Amounts as of Jan-1-12</v>
      </c>
      <c r="F14" s="156" t="str">
        <f>CONCATENATE("Transactions Debit / (Credit) during ",E13)</f>
        <v>Transactions Debit / (Credit) during 2012</v>
      </c>
      <c r="G14" s="156" t="str">
        <f>CONCATENATE("OEB-Approved Disposition during ",E13)</f>
        <v>OEB-Approved Disposition during 2012</v>
      </c>
      <c r="H14" s="156" t="str">
        <f>CONCATENATE("Principal Adjustments(1) during ",E13)</f>
        <v>Principal Adjustments(1) during 2012</v>
      </c>
      <c r="I14" s="156" t="str">
        <f>CONCATENATE("Closing Principal Balance as of Dec-31-",RIGHT(E13,2))</f>
        <v>Closing Principal Balance as of Dec-31-12</v>
      </c>
      <c r="J14" s="156" t="str">
        <f>CONCATENATE("Opening Interest Amounts as of Jan-1-",RIGHT(E13,2))</f>
        <v>Opening Interest Amounts as of Jan-1-12</v>
      </c>
      <c r="K14" s="156" t="str">
        <f>CONCATENATE("Interest Jan-1 to Dec-31-",RIGHT(E13,2))</f>
        <v>Interest Jan-1 to Dec-31-12</v>
      </c>
      <c r="L14" s="156" t="str">
        <f>CONCATENATE("OEB-Approved Disposition during ",E13)</f>
        <v>OEB-Approved Disposition during 2012</v>
      </c>
      <c r="M14" s="156" t="str">
        <f>CONCATENATE("Interest Adjustments(1) during ",E13)</f>
        <v>Interest Adjustments(1) during 2012</v>
      </c>
      <c r="N14" s="159" t="str">
        <f>CONCATENATE("Closing Interest Amounts as of Dec-31-",RIGHT(E13,2))</f>
        <v>Closing Interest Amounts as of Dec-31-12</v>
      </c>
      <c r="O14" s="162" t="str">
        <f>CONCATENATE("Opening Principal Amounts as of Jan-1-",RIGHT(O13,2))</f>
        <v>Opening Principal Amounts as of Jan-1-13</v>
      </c>
      <c r="P14" s="156" t="str">
        <f>CONCATENATE("Transactions Debit / (Credit) during ",O13)</f>
        <v>Transactions Debit / (Credit) during 2013</v>
      </c>
      <c r="Q14" s="156" t="str">
        <f>CONCATENATE("OEB-Approved Disposition during ",O13)</f>
        <v>OEB-Approved Disposition during 2013</v>
      </c>
      <c r="R14" s="156" t="str">
        <f>CONCATENATE("Principal Adjustments(1) during ",O13)</f>
        <v>Principal Adjustments(1) during 2013</v>
      </c>
      <c r="S14" s="156" t="str">
        <f>CONCATENATE("Closing Principal Balance as of Dec-31-",RIGHT(O13,2))</f>
        <v>Closing Principal Balance as of Dec-31-13</v>
      </c>
      <c r="T14" s="156" t="str">
        <f>CONCATENATE("Opening Interest Amounts as of Jan-1-",RIGHT(O13,2))</f>
        <v>Opening Interest Amounts as of Jan-1-13</v>
      </c>
      <c r="U14" s="156" t="str">
        <f>CONCATENATE("Interest Jan-1 to Dec-31-",RIGHT(O13,2))</f>
        <v>Interest Jan-1 to Dec-31-13</v>
      </c>
      <c r="V14" s="156" t="str">
        <f>CONCATENATE("OEB-Approved Disposition during ",O13)</f>
        <v>OEB-Approved Disposition during 2013</v>
      </c>
      <c r="W14" s="156" t="str">
        <f>CONCATENATE("Interest Adjustments(1) during ",O13)</f>
        <v>Interest Adjustments(1) during 2013</v>
      </c>
      <c r="X14" s="159" t="str">
        <f>CONCATENATE("Closing Interest Amounts as of Dec-31-",RIGHT(O13,2))</f>
        <v>Closing Interest Amounts as of Dec-31-13</v>
      </c>
      <c r="Y14" s="162" t="str">
        <f>CONCATENATE("Opening Principal Amounts as of Jan-1-",RIGHT(Y13,2))</f>
        <v>Opening Principal Amounts as of Jan-1-14</v>
      </c>
      <c r="Z14" s="156" t="str">
        <f>CONCATENATE("Transactions Debit / (Credit) during ",Y13)</f>
        <v>Transactions Debit / (Credit) during 2014</v>
      </c>
      <c r="AA14" s="156" t="str">
        <f>CONCATENATE("OEB-Approved Disposition during ",Y13)</f>
        <v>OEB-Approved Disposition during 2014</v>
      </c>
      <c r="AB14" s="156" t="str">
        <f>CONCATENATE("Principal Adjustments(1) during ",Y13)</f>
        <v>Principal Adjustments(1) during 2014</v>
      </c>
      <c r="AC14" s="156" t="str">
        <f>CONCATENATE("Closing Principal Balance as of Dec-31-",RIGHT(Y13,2))</f>
        <v>Closing Principal Balance as of Dec-31-14</v>
      </c>
      <c r="AD14" s="156" t="str">
        <f>CONCATENATE("Opening Interest Amounts as of Jan-1-",RIGHT(Y13,2))</f>
        <v>Opening Interest Amounts as of Jan-1-14</v>
      </c>
      <c r="AE14" s="156" t="str">
        <f>CONCATENATE("Interest Jan-1 to Dec-31-",RIGHT(Y13,2))</f>
        <v>Interest Jan-1 to Dec-31-14</v>
      </c>
      <c r="AF14" s="156" t="str">
        <f>CONCATENATE("OEB-Approved Disposition during ",Y13)</f>
        <v>OEB-Approved Disposition during 2014</v>
      </c>
      <c r="AG14" s="156" t="str">
        <f>CONCATENATE("Interest Adjustments(1) during ",Y13)</f>
        <v>Interest Adjustments(1) during 2014</v>
      </c>
      <c r="AH14" s="159" t="str">
        <f>CONCATENATE("Closing Interest Amounts as of Dec-31-",RIGHT(Y13,2))</f>
        <v>Closing Interest Amounts as of Dec-31-14</v>
      </c>
      <c r="AI14" s="162" t="str">
        <f>CONCATENATE("Opening Principal Amounts as of Jan-1-",RIGHT(AI13,2))</f>
        <v>Opening Principal Amounts as of Jan-1-15</v>
      </c>
      <c r="AJ14" s="156" t="str">
        <f>CONCATENATE("Transactions Debit / (Credit) during ",AI13)</f>
        <v>Transactions Debit / (Credit) during 2015</v>
      </c>
      <c r="AK14" s="156" t="str">
        <f>CONCATENATE("OEB-Approved Disposition during ",AI13)</f>
        <v>OEB-Approved Disposition during 2015</v>
      </c>
      <c r="AL14" s="156" t="str">
        <f>CONCATENATE("Principal Adjustments(1) during ",AI13)</f>
        <v>Principal Adjustments(1) during 2015</v>
      </c>
      <c r="AM14" s="156" t="str">
        <f>CONCATENATE("Closing Principal Balance as of Dec-31-",RIGHT(AI13,2))</f>
        <v>Closing Principal Balance as of Dec-31-15</v>
      </c>
      <c r="AN14" s="156" t="str">
        <f>CONCATENATE("Opening Interest Amounts as of Jan-1-",RIGHT(AI13,2))</f>
        <v>Opening Interest Amounts as of Jan-1-15</v>
      </c>
      <c r="AO14" s="156" t="str">
        <f>CONCATENATE("Interest Jan-1 to Dec-31-",RIGHT(AI13,2))</f>
        <v>Interest Jan-1 to Dec-31-15</v>
      </c>
      <c r="AP14" s="156" t="str">
        <f>CONCATENATE("OEB-Approved Disposition during ",AI13)</f>
        <v>OEB-Approved Disposition during 2015</v>
      </c>
      <c r="AQ14" s="156" t="str">
        <f>CONCATENATE("Interest Adjustments(1) during ",AI13)</f>
        <v>Interest Adjustments(1) during 2015</v>
      </c>
      <c r="AR14" s="159" t="str">
        <f>CONCATENATE("Closing Interest Amounts as of Dec-31-",RIGHT(AI13,2))</f>
        <v>Closing Interest Amounts as of Dec-31-15</v>
      </c>
      <c r="AS14" s="162" t="str">
        <f>CONCATENATE("Opening Principal Amounts as of Jan-1-",RIGHT(AS13,2))</f>
        <v>Opening Principal Amounts as of Jan-1-16</v>
      </c>
      <c r="AT14" s="156" t="str">
        <f>CONCATENATE("Transactions Debit / (Credit) during ",AS13)</f>
        <v>Transactions Debit / (Credit) during 2016</v>
      </c>
      <c r="AU14" s="156" t="str">
        <f>CONCATENATE("OEB-Approved Disposition during ",AS13)</f>
        <v>OEB-Approved Disposition during 2016</v>
      </c>
      <c r="AV14" s="156" t="str">
        <f>CONCATENATE("Principal Adjustments(1) during ",AS13)</f>
        <v>Principal Adjustments(1) during 2016</v>
      </c>
      <c r="AW14" s="156" t="str">
        <f>CONCATENATE("Closing Principal Balance as of Dec-31-",RIGHT(AS13,2))</f>
        <v>Closing Principal Balance as of Dec-31-16</v>
      </c>
      <c r="AX14" s="156" t="str">
        <f>CONCATENATE("Opening Interest Amounts as of Jan-1-",RIGHT(AS13,2))</f>
        <v>Opening Interest Amounts as of Jan-1-16</v>
      </c>
      <c r="AY14" s="156" t="str">
        <f>CONCATENATE("Interest Jan-1 to Dec-31-",RIGHT(AS13,2))</f>
        <v>Interest Jan-1 to Dec-31-16</v>
      </c>
      <c r="AZ14" s="156" t="str">
        <f>CONCATENATE("OEB-Approved Disposition during ",AS13)</f>
        <v>OEB-Approved Disposition during 2016</v>
      </c>
      <c r="BA14" s="156" t="str">
        <f>CONCATENATE("Interest Adjustments(1) during ",AS13)</f>
        <v>Interest Adjustments(1) during 2016</v>
      </c>
      <c r="BB14" s="159" t="str">
        <f>CONCATENATE("Closing Interest Amounts as of Dec-31-",RIGHT(AS13,2))</f>
        <v>Closing Interest Amounts as of Dec-31-16</v>
      </c>
      <c r="BC14" s="162" t="str">
        <f>CONCATENATE("Opening Principal Amounts as of Jan-1-",RIGHT(BC13,2))</f>
        <v>Opening Principal Amounts as of Jan-1-17</v>
      </c>
      <c r="BD14" s="156" t="str">
        <f>CONCATENATE("Transactions Debit / (Credit) during ",BC13)</f>
        <v>Transactions Debit / (Credit) during 2017</v>
      </c>
      <c r="BE14" s="156" t="str">
        <f>CONCATENATE("OEB-Approved Disposition during ",BC13)</f>
        <v>OEB-Approved Disposition during 2017</v>
      </c>
      <c r="BF14" s="156" t="str">
        <f>CONCATENATE("Principal Adjustments(1) during ",BC13)</f>
        <v>Principal Adjustments(1) during 2017</v>
      </c>
      <c r="BG14" s="156" t="str">
        <f>CONCATENATE("Closing Principal Balance as of Dec-31-",RIGHT(BC13,2))</f>
        <v>Closing Principal Balance as of Dec-31-17</v>
      </c>
      <c r="BH14" s="156" t="str">
        <f>CONCATENATE("Opening Interest Amounts as of Jan-1-",RIGHT(BC13,2))</f>
        <v>Opening Interest Amounts as of Jan-1-17</v>
      </c>
      <c r="BI14" s="156" t="str">
        <f>CONCATENATE("Interest Jan-1 to Dec-31-",RIGHT(BC13,2))</f>
        <v>Interest Jan-1 to Dec-31-17</v>
      </c>
      <c r="BJ14" s="156" t="str">
        <f>CONCATENATE("OEB-Approved Disposition during ",BC13)</f>
        <v>OEB-Approved Disposition during 2017</v>
      </c>
      <c r="BK14" s="156" t="str">
        <f>CONCATENATE("Interest Adjustments(1) during ",BC13)</f>
        <v>Interest Adjustments(1) during 2017</v>
      </c>
      <c r="BL14" s="159" t="str">
        <f>CONCATENATE("Closing Interest Amounts as of Dec-31-",RIGHT(BC13,2))</f>
        <v>Closing Interest Amounts as of Dec-31-17</v>
      </c>
      <c r="BM14" s="162" t="str">
        <f>CONCATENATE("Opening Principal Amounts as of Jan-1-",RIGHT(BM13,2))</f>
        <v>Opening Principal Amounts as of Jan-1-18</v>
      </c>
      <c r="BN14" s="156" t="str">
        <f>CONCATENATE("Transactions Debit / (Credit) during ",BM13)</f>
        <v>Transactions Debit / (Credit) during 2018</v>
      </c>
      <c r="BO14" s="156" t="str">
        <f>CONCATENATE("OEB-Approved Disposition during ",BM13)</f>
        <v>OEB-Approved Disposition during 2018</v>
      </c>
      <c r="BP14" s="156" t="str">
        <f>CONCATENATE("Principal Adjustments(1) during ",BM13)</f>
        <v>Principal Adjustments(1) during 2018</v>
      </c>
      <c r="BQ14" s="156" t="str">
        <f>CONCATENATE("Closing Principal Balance as of Dec-31-",RIGHT(BM13,2))</f>
        <v>Closing Principal Balance as of Dec-31-18</v>
      </c>
      <c r="BR14" s="156" t="str">
        <f>CONCATENATE("Opening Interest Amounts as of Jan-1-",RIGHT(BM13,2))</f>
        <v>Opening Interest Amounts as of Jan-1-18</v>
      </c>
      <c r="BS14" s="156" t="str">
        <f>CONCATENATE("Interest Jan-1 to Dec-31-",RIGHT(BM13,2))</f>
        <v>Interest Jan-1 to Dec-31-18</v>
      </c>
      <c r="BT14" s="156" t="str">
        <f>CONCATENATE("OEB-Approved Disposition during ",BM13)</f>
        <v>OEB-Approved Disposition during 2018</v>
      </c>
      <c r="BU14" s="156" t="str">
        <f>CONCATENATE("Interest Adjustments(1) during ",BM13)</f>
        <v>Interest Adjustments(1) during 2018</v>
      </c>
      <c r="BV14" s="159" t="str">
        <f>CONCATENATE("Closing Interest Amounts as of Dec-31-",RIGHT(BM13,2))</f>
        <v>Closing Interest Amounts as of Dec-31-18</v>
      </c>
      <c r="BW14" s="162" t="str">
        <f>CONCATENATE("Opening Principal Amounts as of Jan-1-",RIGHT(BW13,2))</f>
        <v>Opening Principal Amounts as of Jan-1-19</v>
      </c>
      <c r="BX14" s="156" t="str">
        <f>CONCATENATE("Transactions Debit / (Credit) during ",BW13)</f>
        <v>Transactions Debit / (Credit) during 2019</v>
      </c>
      <c r="BY14" s="156" t="str">
        <f>CONCATENATE("OEB-Approved Disposition during ",BW13)</f>
        <v>OEB-Approved Disposition during 2019</v>
      </c>
      <c r="BZ14" s="156" t="str">
        <f>CONCATENATE("Principal Adjustments(1) during ",BW13)</f>
        <v>Principal Adjustments(1) during 2019</v>
      </c>
      <c r="CA14" s="156" t="str">
        <f>CONCATENATE("Closing Principal Balance as of Dec-31-",RIGHT(BW13,2))</f>
        <v>Closing Principal Balance as of Dec-31-19</v>
      </c>
      <c r="CB14" s="156" t="str">
        <f>CONCATENATE("Opening Interest Amounts as of Jan-1-",RIGHT(BW13,2))</f>
        <v>Opening Interest Amounts as of Jan-1-19</v>
      </c>
      <c r="CC14" s="156" t="str">
        <f>CONCATENATE("Interest Jan-1 to Dec-31-",RIGHT(BW13,2))</f>
        <v>Interest Jan-1 to Dec-31-19</v>
      </c>
      <c r="CD14" s="156" t="str">
        <f>CONCATENATE("OEB-Approved Disposition during ",BW13)</f>
        <v>OEB-Approved Disposition during 2019</v>
      </c>
      <c r="CE14" s="156" t="str">
        <f>CONCATENATE("Interest Adjustments(1) during ",BW13)</f>
        <v>Interest Adjustments(1) during 2019</v>
      </c>
      <c r="CF14" s="159" t="str">
        <f>CONCATENATE("Closing Interest Amounts as of Dec-31-",RIGHT(BW13,2))</f>
        <v>Closing Interest Amounts as of Dec-31-19</v>
      </c>
      <c r="CG14" s="156" t="str">
        <f>CONCATENATE("Opening Principal Amounts as of Jan-1-",RIGHT(CG13,2))</f>
        <v>Opening Principal Amounts as of Jan-1-20</v>
      </c>
      <c r="CH14" s="156" t="str">
        <f>CONCATENATE("Transactions(1) Debit / (Credit) during ",CG13)</f>
        <v>Transactions(1) Debit / (Credit) during 2020</v>
      </c>
      <c r="CI14" s="156" t="str">
        <f>CONCATENATE("OEB-Approved Disposition during ",CG13)</f>
        <v>OEB-Approved Disposition during 2020</v>
      </c>
      <c r="CJ14" s="156" t="str">
        <f>CONCATENATE("Principal Adjustments(1) during ",CG13)</f>
        <v>Principal Adjustments(1) during 2020</v>
      </c>
      <c r="CK14" s="156" t="str">
        <f>CONCATENATE("Closing Principal Balance as of Dec-31-",RIGHT(CG13,2))</f>
        <v>Closing Principal Balance as of Dec-31-20</v>
      </c>
      <c r="CL14" s="156" t="str">
        <f>CONCATENATE("Opening Interest Amounts as of Jan-1-",RIGHT(CG13,2))</f>
        <v>Opening Interest Amounts as of Jan-1-20</v>
      </c>
      <c r="CM14" s="156" t="str">
        <f>CONCATENATE("Interest Jan-1 to Dec-31-",RIGHT(CG13,2))</f>
        <v>Interest Jan-1 to Dec-31-20</v>
      </c>
      <c r="CN14" s="156" t="str">
        <f>CONCATENATE("OEB-Approved Disposition during ",CG13)</f>
        <v>OEB-Approved Disposition during 2020</v>
      </c>
      <c r="CO14" s="156" t="str">
        <f>CONCATENATE("Interest Adjustments(1) during ",CG13)</f>
        <v>Interest Adjustments(1) during 2020</v>
      </c>
      <c r="CP14" s="159" t="str">
        <f>CONCATENATE("Closing Interest Amounts as of Dec-31-",RIGHT(CG13,2))</f>
        <v>Closing Interest Amounts as of Dec-31-20</v>
      </c>
      <c r="CQ14" s="162" t="str">
        <f>CONCATENATE("Opening Principal Amounts as of Jan-1-",RIGHT(CQ13,2))</f>
        <v>Opening Principal Amounts as of Jan-1-21</v>
      </c>
      <c r="CR14" s="156" t="str">
        <f>CONCATENATE("Transactions(1) Debit / (Credit) during ",CQ13)</f>
        <v>Transactions(1) Debit / (Credit) during 2021</v>
      </c>
      <c r="CS14" s="156" t="str">
        <f>CONCATENATE("OEB-Approved Disposition during ",CQ13)</f>
        <v>OEB-Approved Disposition during 2021</v>
      </c>
      <c r="CT14" s="156" t="str">
        <f>CONCATENATE("Principal Adjustments(1) during ",CQ13)</f>
        <v>Principal Adjustments(1) during 2021</v>
      </c>
      <c r="CU14" s="156" t="str">
        <f>CONCATENATE("Closing Principal Balance as of Dec-31-",RIGHT(CQ13,2))</f>
        <v>Closing Principal Balance as of Dec-31-21</v>
      </c>
      <c r="CV14" s="156" t="str">
        <f>CONCATENATE("Opening Interest Amounts as of Jan-1-",RIGHT(CQ13,2))</f>
        <v>Opening Interest Amounts as of Jan-1-21</v>
      </c>
      <c r="CW14" s="156" t="str">
        <f>CONCATENATE("Interest Jan-1 to Dec-31-",RIGHT(CQ13,2))</f>
        <v>Interest Jan-1 to Dec-31-21</v>
      </c>
      <c r="CX14" s="156" t="str">
        <f>CONCATENATE("OEB-Approved Disposition during ",CQ13)</f>
        <v>OEB-Approved Disposition during 2021</v>
      </c>
      <c r="CY14" s="156" t="str">
        <f>CONCATENATE("Interest Adjustments(1) during ",CQ13)</f>
        <v>Interest Adjustments(1) during 2021</v>
      </c>
      <c r="CZ14" s="159" t="str">
        <f>CONCATENATE("Closing Interest Amounts as of Dec-31-",RIGHT(CQ13,2))</f>
        <v>Closing Interest Amounts as of Dec-31-21</v>
      </c>
      <c r="DA14" s="162" t="str">
        <f>CONCATENATE("Opening Principal Amounts as of Jan-1-",RIGHT(DA13,2))</f>
        <v>Opening Principal Amounts as of Jan-1-22</v>
      </c>
      <c r="DB14" s="156" t="str">
        <f>CONCATENATE("Transactions Debit / (Credit) during ",DA13)</f>
        <v>Transactions Debit / (Credit) during 2022</v>
      </c>
      <c r="DC14" s="156" t="str">
        <f>CONCATENATE("OEB-Approved Disposition during ",DA13)</f>
        <v>OEB-Approved Disposition during 2022</v>
      </c>
      <c r="DD14" s="156" t="str">
        <f>CONCATENATE("Principal Adjustments(1) during ",DA13)</f>
        <v>Principal Adjustments(1) during 2022</v>
      </c>
      <c r="DE14" s="156" t="str">
        <f>CONCATENATE("Closing Principal Balance as of Dec-31-",RIGHT(DA13,2))</f>
        <v>Closing Principal Balance as of Dec-31-22</v>
      </c>
      <c r="DF14" s="156" t="str">
        <f>CONCATENATE("Opening Interest Amounts as of Jan-1-",RIGHT(DA13,2))</f>
        <v>Opening Interest Amounts as of Jan-1-22</v>
      </c>
      <c r="DG14" s="156" t="str">
        <f>CONCATENATE("Interest Jan-1 to Dec-31-",RIGHT(DA13,2))</f>
        <v>Interest Jan-1 to Dec-31-22</v>
      </c>
      <c r="DH14" s="156" t="str">
        <f>CONCATENATE("OEB-Approved Disposition during ",DA13)</f>
        <v>OEB-Approved Disposition during 2022</v>
      </c>
      <c r="DI14" s="156" t="str">
        <f>CONCATENATE("Interest Adjustments(1) during ",DA13)</f>
        <v>Interest Adjustments(1) during 2022</v>
      </c>
      <c r="DJ14" s="159" t="str">
        <f>CONCATENATE("Closing Interest Amounts as of Dec-31-",RIGHT(DA13,2))</f>
        <v>Closing Interest Amounts as of Dec-31-22</v>
      </c>
      <c r="DK14" s="162" t="str">
        <f>CONCATENATE("Opening Principal Amounts as of Jan-1-",RIGHT(DK13,2))</f>
        <v>Opening Principal Amounts as of Jan-1-23</v>
      </c>
      <c r="DL14" s="156" t="str">
        <f>CONCATENATE("Transactions Debit / (Credit) during ",DK13)</f>
        <v>Transactions Debit / (Credit) during 2023</v>
      </c>
      <c r="DM14" s="156" t="str">
        <f>CONCATENATE("OEB-Approved Disposition during ",DK13)</f>
        <v>OEB-Approved Disposition during 2023</v>
      </c>
      <c r="DN14" s="156" t="str">
        <f>CONCATENATE("Principal Adjustments(1) during ",DK13)</f>
        <v>Principal Adjustments(1) during 2023</v>
      </c>
      <c r="DO14" s="156" t="str">
        <f>CONCATENATE("Closing Principal Balance as of Dec-31-",RIGHT(DK13,2))</f>
        <v>Closing Principal Balance as of Dec-31-23</v>
      </c>
      <c r="DP14" s="156" t="str">
        <f>CONCATENATE("Opening Interest Amounts as of Jan-1-",RIGHT(DK13,2))</f>
        <v>Opening Interest Amounts as of Jan-1-23</v>
      </c>
      <c r="DQ14" s="156" t="str">
        <f>CONCATENATE("Interest Jan-1 to Dec-31-",RIGHT(DK13,2))</f>
        <v>Interest Jan-1 to Dec-31-23</v>
      </c>
      <c r="DR14" s="156" t="str">
        <f>CONCATENATE("OEB-Approved Disposition during ",DK13)</f>
        <v>OEB-Approved Disposition during 2023</v>
      </c>
      <c r="DS14" s="156" t="str">
        <f>CONCATENATE("Interest Adjustments(1) during ",DK13)</f>
        <v>Interest Adjustments(1) during 2023</v>
      </c>
      <c r="DT14" s="159" t="str">
        <f>CONCATENATE("Closing Interest Amounts as of Dec-31-",RIGHT(DK13,2))</f>
        <v>Closing Interest Amounts as of Dec-31-23</v>
      </c>
      <c r="DU14" s="162" t="str">
        <f>CONCATENATE("Opening Principal Amounts as of Jan-1-",RIGHT(DU13,2))</f>
        <v>Opening Principal Amounts as of Jan-1-24</v>
      </c>
      <c r="DV14" s="156" t="str">
        <f>CONCATENATE("Transactions Debit / (Credit) during ",DU13)</f>
        <v>Transactions Debit / (Credit) during 2024</v>
      </c>
      <c r="DW14" s="156" t="str">
        <f>CONCATENATE("OEB-Approved Disposition during ",DU13)</f>
        <v>OEB-Approved Disposition during 2024</v>
      </c>
      <c r="DX14" s="156" t="str">
        <f>CONCATENATE("Principal Adjustments(1) during ",DU13)</f>
        <v>Principal Adjustments(1) during 2024</v>
      </c>
      <c r="DY14" s="156" t="str">
        <f>CONCATENATE("Closing Principal Balance as of Dec-31-",RIGHT(DU13,2))</f>
        <v>Closing Principal Balance as of Dec-31-24</v>
      </c>
      <c r="DZ14" s="156" t="str">
        <f>CONCATENATE("Opening Interest Amounts as of Jan-1-",RIGHT(DU13,2))</f>
        <v>Opening Interest Amounts as of Jan-1-24</v>
      </c>
      <c r="EA14" s="156" t="str">
        <f>CONCATENATE("Interest Jan-1 to Dec-31-",RIGHT(DU13,2))</f>
        <v>Interest Jan-1 to Dec-31-24</v>
      </c>
      <c r="EB14" s="156" t="str">
        <f>CONCATENATE("OEB-Approved Disposition during ",DU13)</f>
        <v>OEB-Approved Disposition during 2024</v>
      </c>
      <c r="EC14" s="156" t="str">
        <f>CONCATENATE("Interest Adjustments(1) during ",DU13)</f>
        <v>Interest Adjustments(1) during 2024</v>
      </c>
      <c r="ED14" s="159" t="str">
        <f>CONCATENATE("Closing Interest Amounts as of Dec-31-",RIGHT(DU13,2))</f>
        <v>Closing Interest Amounts as of Dec-31-24</v>
      </c>
      <c r="EE14" s="162" t="str">
        <f>CONCATENATE("Principal Disposition during ",EE13," - instructed by  OEB")</f>
        <v>Principal Disposition during 2024 - instructed by  OEB</v>
      </c>
      <c r="EF14" s="156" t="str">
        <f>CONCATENATE("Interest Disposition during ",EE13," - instructed by  OEB")</f>
        <v>Interest Disposition during 2024 - instructed by  OEB</v>
      </c>
      <c r="EG14" s="156" t="str">
        <f>CONCATENATE("Closing Principal Balances as of Dec 31-",RIGHT(EE13,2)," Adjusted for Dispositions during ",EE13)</f>
        <v>Closing Principal Balances as of Dec 31-24 Adjusted for Dispositions during 2024</v>
      </c>
      <c r="EH14" s="159" t="str">
        <f>CONCATENATE("Closing Interest Balances as of Dec 31-",RIGHT(EE13,2)," Adjusted for Dispositions during ",EE13)</f>
        <v>Closing Interest Balances as of Dec 31-24 Adjusted for Dispositions during 2024</v>
      </c>
      <c r="EI14" s="162"/>
      <c r="EJ14" s="156" t="s">
        <v>145</v>
      </c>
      <c r="EK14" s="156" t="s">
        <v>17</v>
      </c>
      <c r="EL14" s="159" t="s">
        <v>18</v>
      </c>
      <c r="EM14" s="159" t="s">
        <v>19</v>
      </c>
      <c r="EN14" s="181" t="str">
        <f>CONCATENATE("As of Dec 31-",RIGHT(DU13,2))</f>
        <v>As of Dec 31-24</v>
      </c>
      <c r="EO14" s="181" t="str">
        <f>CONCATENATE("Variance                           RRR vs. ",DU13," Balance                        (Principal + Interest)")</f>
        <v>Variance                           RRR vs. 2024 Balance                        (Principal + Interest)</v>
      </c>
    </row>
    <row r="15" spans="2:148" ht="24.75" customHeight="1" x14ac:dyDescent="0.35">
      <c r="C15" s="174"/>
      <c r="D15" s="176"/>
      <c r="E15" s="163"/>
      <c r="F15" s="165"/>
      <c r="G15" s="157"/>
      <c r="H15" s="157"/>
      <c r="I15" s="157"/>
      <c r="J15" s="165"/>
      <c r="K15" s="157"/>
      <c r="L15" s="157"/>
      <c r="M15" s="157"/>
      <c r="N15" s="160"/>
      <c r="O15" s="163"/>
      <c r="P15" s="165"/>
      <c r="Q15" s="157"/>
      <c r="R15" s="157"/>
      <c r="S15" s="157"/>
      <c r="T15" s="165"/>
      <c r="U15" s="157"/>
      <c r="V15" s="157"/>
      <c r="W15" s="157"/>
      <c r="X15" s="160"/>
      <c r="Y15" s="163"/>
      <c r="Z15" s="165"/>
      <c r="AA15" s="157"/>
      <c r="AB15" s="157"/>
      <c r="AC15" s="157"/>
      <c r="AD15" s="165"/>
      <c r="AE15" s="157"/>
      <c r="AF15" s="157"/>
      <c r="AG15" s="157"/>
      <c r="AH15" s="160"/>
      <c r="AI15" s="163"/>
      <c r="AJ15" s="165"/>
      <c r="AK15" s="157"/>
      <c r="AL15" s="157"/>
      <c r="AM15" s="157"/>
      <c r="AN15" s="165"/>
      <c r="AO15" s="157"/>
      <c r="AP15" s="157"/>
      <c r="AQ15" s="157"/>
      <c r="AR15" s="160"/>
      <c r="AS15" s="163"/>
      <c r="AT15" s="165"/>
      <c r="AU15" s="157"/>
      <c r="AV15" s="157"/>
      <c r="AW15" s="157"/>
      <c r="AX15" s="165"/>
      <c r="AY15" s="157"/>
      <c r="AZ15" s="157"/>
      <c r="BA15" s="157"/>
      <c r="BB15" s="160"/>
      <c r="BC15" s="163"/>
      <c r="BD15" s="165"/>
      <c r="BE15" s="157"/>
      <c r="BF15" s="157"/>
      <c r="BG15" s="157"/>
      <c r="BH15" s="165"/>
      <c r="BI15" s="157"/>
      <c r="BJ15" s="157"/>
      <c r="BK15" s="157"/>
      <c r="BL15" s="160"/>
      <c r="BM15" s="163"/>
      <c r="BN15" s="165"/>
      <c r="BO15" s="157"/>
      <c r="BP15" s="157"/>
      <c r="BQ15" s="157"/>
      <c r="BR15" s="165"/>
      <c r="BS15" s="157"/>
      <c r="BT15" s="157"/>
      <c r="BU15" s="157"/>
      <c r="BV15" s="160"/>
      <c r="BW15" s="163"/>
      <c r="BX15" s="165"/>
      <c r="BY15" s="157"/>
      <c r="BZ15" s="157"/>
      <c r="CA15" s="157"/>
      <c r="CB15" s="165"/>
      <c r="CC15" s="157"/>
      <c r="CD15" s="157"/>
      <c r="CE15" s="157"/>
      <c r="CF15" s="160"/>
      <c r="CG15" s="165"/>
      <c r="CH15" s="165"/>
      <c r="CI15" s="157"/>
      <c r="CJ15" s="157"/>
      <c r="CK15" s="157"/>
      <c r="CL15" s="165"/>
      <c r="CM15" s="157"/>
      <c r="CN15" s="157"/>
      <c r="CO15" s="157"/>
      <c r="CP15" s="160"/>
      <c r="CQ15" s="163"/>
      <c r="CR15" s="165"/>
      <c r="CS15" s="157"/>
      <c r="CT15" s="157"/>
      <c r="CU15" s="157"/>
      <c r="CV15" s="165"/>
      <c r="CW15" s="157"/>
      <c r="CX15" s="157"/>
      <c r="CY15" s="157"/>
      <c r="CZ15" s="160"/>
      <c r="DA15" s="163"/>
      <c r="DB15" s="165"/>
      <c r="DC15" s="157"/>
      <c r="DD15" s="157"/>
      <c r="DE15" s="157"/>
      <c r="DF15" s="165"/>
      <c r="DG15" s="157"/>
      <c r="DH15" s="157"/>
      <c r="DI15" s="157"/>
      <c r="DJ15" s="160"/>
      <c r="DK15" s="163"/>
      <c r="DL15" s="165"/>
      <c r="DM15" s="157"/>
      <c r="DN15" s="157"/>
      <c r="DO15" s="157"/>
      <c r="DP15" s="165"/>
      <c r="DQ15" s="157"/>
      <c r="DR15" s="157"/>
      <c r="DS15" s="157"/>
      <c r="DT15" s="160"/>
      <c r="DU15" s="163"/>
      <c r="DV15" s="165"/>
      <c r="DW15" s="157"/>
      <c r="DX15" s="157"/>
      <c r="DY15" s="157"/>
      <c r="DZ15" s="165"/>
      <c r="EA15" s="157"/>
      <c r="EB15" s="157"/>
      <c r="EC15" s="157"/>
      <c r="ED15" s="160"/>
      <c r="EE15" s="163"/>
      <c r="EF15" s="165"/>
      <c r="EG15" s="165"/>
      <c r="EH15" s="160"/>
      <c r="EI15" s="163"/>
      <c r="EJ15" s="165"/>
      <c r="EK15" s="165"/>
      <c r="EL15" s="160"/>
      <c r="EM15" s="160"/>
      <c r="EN15" s="182"/>
      <c r="EO15" s="182"/>
    </row>
    <row r="16" spans="2:148" ht="48" customHeight="1" thickBot="1" x14ac:dyDescent="0.4">
      <c r="B16" s="14"/>
      <c r="C16" s="174"/>
      <c r="D16" s="176"/>
      <c r="E16" s="163"/>
      <c r="F16" s="165"/>
      <c r="G16" s="157"/>
      <c r="H16" s="157"/>
      <c r="I16" s="157"/>
      <c r="J16" s="165"/>
      <c r="K16" s="157"/>
      <c r="L16" s="157"/>
      <c r="M16" s="157"/>
      <c r="N16" s="160"/>
      <c r="O16" s="164"/>
      <c r="P16" s="166"/>
      <c r="Q16" s="158"/>
      <c r="R16" s="158"/>
      <c r="S16" s="158"/>
      <c r="T16" s="166"/>
      <c r="U16" s="158"/>
      <c r="V16" s="158"/>
      <c r="W16" s="158"/>
      <c r="X16" s="161"/>
      <c r="Y16" s="164"/>
      <c r="Z16" s="166"/>
      <c r="AA16" s="158"/>
      <c r="AB16" s="158"/>
      <c r="AC16" s="158"/>
      <c r="AD16" s="166"/>
      <c r="AE16" s="158"/>
      <c r="AF16" s="158"/>
      <c r="AG16" s="158"/>
      <c r="AH16" s="161"/>
      <c r="AI16" s="164"/>
      <c r="AJ16" s="166"/>
      <c r="AK16" s="158"/>
      <c r="AL16" s="158"/>
      <c r="AM16" s="158"/>
      <c r="AN16" s="166"/>
      <c r="AO16" s="158"/>
      <c r="AP16" s="158"/>
      <c r="AQ16" s="158"/>
      <c r="AR16" s="161"/>
      <c r="AS16" s="164"/>
      <c r="AT16" s="166"/>
      <c r="AU16" s="158"/>
      <c r="AV16" s="158"/>
      <c r="AW16" s="158"/>
      <c r="AX16" s="166"/>
      <c r="AY16" s="158"/>
      <c r="AZ16" s="158"/>
      <c r="BA16" s="158"/>
      <c r="BB16" s="161"/>
      <c r="BC16" s="164"/>
      <c r="BD16" s="166"/>
      <c r="BE16" s="158"/>
      <c r="BF16" s="158"/>
      <c r="BG16" s="158"/>
      <c r="BH16" s="166"/>
      <c r="BI16" s="158"/>
      <c r="BJ16" s="158"/>
      <c r="BK16" s="158"/>
      <c r="BL16" s="161"/>
      <c r="BM16" s="164"/>
      <c r="BN16" s="166"/>
      <c r="BO16" s="158"/>
      <c r="BP16" s="158"/>
      <c r="BQ16" s="158"/>
      <c r="BR16" s="166"/>
      <c r="BS16" s="158"/>
      <c r="BT16" s="158"/>
      <c r="BU16" s="158"/>
      <c r="BV16" s="161"/>
      <c r="BW16" s="164"/>
      <c r="BX16" s="166"/>
      <c r="BY16" s="158"/>
      <c r="BZ16" s="158"/>
      <c r="CA16" s="158"/>
      <c r="CB16" s="166"/>
      <c r="CC16" s="158"/>
      <c r="CD16" s="158"/>
      <c r="CE16" s="158"/>
      <c r="CF16" s="161"/>
      <c r="CG16" s="165"/>
      <c r="CH16" s="165"/>
      <c r="CI16" s="157"/>
      <c r="CJ16" s="157"/>
      <c r="CK16" s="157"/>
      <c r="CL16" s="165"/>
      <c r="CM16" s="157"/>
      <c r="CN16" s="157"/>
      <c r="CO16" s="157"/>
      <c r="CP16" s="160"/>
      <c r="CQ16" s="164"/>
      <c r="CR16" s="166"/>
      <c r="CS16" s="158"/>
      <c r="CT16" s="158"/>
      <c r="CU16" s="158"/>
      <c r="CV16" s="166"/>
      <c r="CW16" s="158"/>
      <c r="CX16" s="158"/>
      <c r="CY16" s="158"/>
      <c r="CZ16" s="161"/>
      <c r="DA16" s="164"/>
      <c r="DB16" s="166"/>
      <c r="DC16" s="158"/>
      <c r="DD16" s="158"/>
      <c r="DE16" s="158"/>
      <c r="DF16" s="166"/>
      <c r="DG16" s="158"/>
      <c r="DH16" s="158"/>
      <c r="DI16" s="158"/>
      <c r="DJ16" s="161"/>
      <c r="DK16" s="164"/>
      <c r="DL16" s="166"/>
      <c r="DM16" s="158"/>
      <c r="DN16" s="158"/>
      <c r="DO16" s="158"/>
      <c r="DP16" s="166"/>
      <c r="DQ16" s="158"/>
      <c r="DR16" s="158"/>
      <c r="DS16" s="158"/>
      <c r="DT16" s="161"/>
      <c r="DU16" s="164"/>
      <c r="DV16" s="166"/>
      <c r="DW16" s="158"/>
      <c r="DX16" s="158"/>
      <c r="DY16" s="158"/>
      <c r="DZ16" s="166"/>
      <c r="EA16" s="158"/>
      <c r="EB16" s="158"/>
      <c r="EC16" s="158"/>
      <c r="ED16" s="161"/>
      <c r="EE16" s="164"/>
      <c r="EF16" s="166"/>
      <c r="EG16" s="166"/>
      <c r="EH16" s="161"/>
      <c r="EI16" s="164"/>
      <c r="EJ16" s="166"/>
      <c r="EK16" s="166" t="s">
        <v>20</v>
      </c>
      <c r="EL16" s="161" t="s">
        <v>20</v>
      </c>
      <c r="EM16" s="180"/>
      <c r="EN16" s="183"/>
      <c r="EO16" s="184"/>
      <c r="EP16" s="115" t="s">
        <v>21</v>
      </c>
      <c r="EQ16" s="84" t="s">
        <v>0</v>
      </c>
      <c r="ER16" s="84"/>
    </row>
    <row r="17" spans="1:149" s="16" customFormat="1" ht="35.25" customHeight="1" x14ac:dyDescent="0.35">
      <c r="A17"/>
      <c r="B17"/>
      <c r="C17" s="15" t="s">
        <v>22</v>
      </c>
      <c r="D17" s="31"/>
      <c r="E17" s="43"/>
      <c r="F17" s="44"/>
      <c r="G17" s="44"/>
      <c r="H17" s="44"/>
      <c r="I17" s="44"/>
      <c r="J17" s="44"/>
      <c r="K17" s="44"/>
      <c r="L17" s="44"/>
      <c r="M17" s="44"/>
      <c r="N17" s="45"/>
      <c r="O17" s="23"/>
      <c r="P17" s="5"/>
      <c r="Q17" s="5"/>
      <c r="R17" s="5"/>
      <c r="S17" s="5"/>
      <c r="T17" s="5"/>
      <c r="U17" s="5"/>
      <c r="V17" s="5"/>
      <c r="W17" s="5"/>
      <c r="X17" s="24"/>
      <c r="Y17" s="23"/>
      <c r="Z17" s="5"/>
      <c r="AA17" s="5"/>
      <c r="AB17" s="5"/>
      <c r="AC17" s="5"/>
      <c r="AD17" s="5"/>
      <c r="AE17" s="5"/>
      <c r="AF17" s="5"/>
      <c r="AG17" s="5"/>
      <c r="AH17" s="24"/>
      <c r="AI17" s="23"/>
      <c r="AJ17" s="5"/>
      <c r="AK17" s="5"/>
      <c r="AL17" s="5"/>
      <c r="AM17" s="5"/>
      <c r="AN17" s="5"/>
      <c r="AO17" s="5"/>
      <c r="AP17" s="5"/>
      <c r="AQ17" s="5"/>
      <c r="AR17" s="24"/>
      <c r="AS17" s="23"/>
      <c r="AT17" s="5"/>
      <c r="AU17" s="5"/>
      <c r="AV17" s="5"/>
      <c r="AW17" s="5"/>
      <c r="AX17" s="5"/>
      <c r="AY17" s="5"/>
      <c r="AZ17" s="5"/>
      <c r="BA17" s="5"/>
      <c r="BB17" s="24"/>
      <c r="BC17" s="23"/>
      <c r="BD17" s="5"/>
      <c r="BE17" s="5"/>
      <c r="BF17" s="5"/>
      <c r="BG17" s="5"/>
      <c r="BH17" s="5"/>
      <c r="BI17" s="5"/>
      <c r="BJ17" s="5"/>
      <c r="BK17" s="5"/>
      <c r="BL17" s="24"/>
      <c r="BM17" s="23"/>
      <c r="BN17" s="5"/>
      <c r="BO17" s="5"/>
      <c r="BP17" s="5"/>
      <c r="BQ17" s="5"/>
      <c r="BR17" s="5"/>
      <c r="BS17" s="5"/>
      <c r="BT17" s="5"/>
      <c r="BU17" s="5"/>
      <c r="BV17" s="24"/>
      <c r="BW17" s="23"/>
      <c r="BX17" s="5"/>
      <c r="BY17" s="5"/>
      <c r="BZ17" s="5"/>
      <c r="CA17" s="5"/>
      <c r="CB17" s="5"/>
      <c r="CC17" s="5"/>
      <c r="CD17" s="5"/>
      <c r="CE17" s="5"/>
      <c r="CF17" s="24"/>
      <c r="CG17" s="43"/>
      <c r="CH17" s="44"/>
      <c r="CI17" s="44"/>
      <c r="CJ17" s="44"/>
      <c r="CK17" s="44"/>
      <c r="CL17" s="44"/>
      <c r="CM17" s="44"/>
      <c r="CN17" s="44"/>
      <c r="CO17" s="44"/>
      <c r="CP17" s="45"/>
      <c r="CQ17" s="23"/>
      <c r="CR17" s="5"/>
      <c r="CS17" s="5"/>
      <c r="CT17" s="5"/>
      <c r="CU17" s="5"/>
      <c r="CV17" s="5"/>
      <c r="CW17" s="5"/>
      <c r="CX17" s="5"/>
      <c r="CY17" s="5"/>
      <c r="CZ17" s="24"/>
      <c r="DA17" s="23"/>
      <c r="DB17" s="5"/>
      <c r="DC17" s="5"/>
      <c r="DD17" s="5"/>
      <c r="DE17" s="5"/>
      <c r="DF17" s="5"/>
      <c r="DG17" s="5"/>
      <c r="DH17" s="5"/>
      <c r="DI17" s="5"/>
      <c r="DJ17" s="24"/>
      <c r="DK17" s="23"/>
      <c r="DL17" s="5"/>
      <c r="DM17" s="5"/>
      <c r="DN17" s="5"/>
      <c r="DO17" s="5"/>
      <c r="DP17" s="5"/>
      <c r="DQ17" s="5"/>
      <c r="DR17" s="5"/>
      <c r="DS17" s="5"/>
      <c r="DT17" s="24"/>
      <c r="DU17" s="23"/>
      <c r="DV17" s="5"/>
      <c r="DW17" s="5"/>
      <c r="DX17" s="5"/>
      <c r="DY17" s="5"/>
      <c r="DZ17" s="5"/>
      <c r="EA17" s="5"/>
      <c r="EB17" s="5"/>
      <c r="EC17" s="5"/>
      <c r="ED17" s="24"/>
      <c r="EE17" s="23"/>
      <c r="EF17" s="5"/>
      <c r="EG17" s="5"/>
      <c r="EH17" s="24"/>
      <c r="EI17" s="46"/>
      <c r="EJ17" s="47"/>
      <c r="EK17" s="47"/>
      <c r="EL17" s="48"/>
      <c r="EM17" s="17"/>
      <c r="EN17" s="17"/>
      <c r="EO17" s="18"/>
      <c r="EP17" s="19"/>
      <c r="EQ17" s="53"/>
      <c r="ER17" s="85"/>
      <c r="ES17" s="85"/>
    </row>
    <row r="18" spans="1:149" s="16" customFormat="1" x14ac:dyDescent="0.35">
      <c r="A18">
        <v>16</v>
      </c>
      <c r="B18"/>
      <c r="C18" s="32" t="s">
        <v>23</v>
      </c>
      <c r="D18" s="36">
        <v>1508</v>
      </c>
      <c r="E18" s="92"/>
      <c r="F18" s="93"/>
      <c r="G18" s="93"/>
      <c r="H18" s="93"/>
      <c r="I18" s="93">
        <f t="shared" ref="I18:I40" si="0">E18+F18-G18+H18</f>
        <v>0</v>
      </c>
      <c r="J18" s="93"/>
      <c r="K18" s="93"/>
      <c r="L18" s="93"/>
      <c r="M18" s="93"/>
      <c r="N18" s="94">
        <f t="shared" ref="N18:N40" si="1">J18+K18-L18+M18</f>
        <v>0</v>
      </c>
      <c r="O18" s="92">
        <f t="shared" ref="O18:O40" si="2">+I18</f>
        <v>0</v>
      </c>
      <c r="P18" s="93"/>
      <c r="Q18" s="93"/>
      <c r="R18" s="93"/>
      <c r="S18" s="93">
        <f>O18+P18-Q18+R18</f>
        <v>0</v>
      </c>
      <c r="T18" s="93">
        <f>+N18</f>
        <v>0</v>
      </c>
      <c r="U18" s="93"/>
      <c r="V18" s="93"/>
      <c r="W18" s="93"/>
      <c r="X18" s="94">
        <f t="shared" ref="X18" si="3">T18+U18-V18+W18</f>
        <v>0</v>
      </c>
      <c r="Y18" s="92">
        <f>+S18</f>
        <v>0</v>
      </c>
      <c r="Z18" s="93"/>
      <c r="AA18" s="93"/>
      <c r="AB18" s="93"/>
      <c r="AC18" s="93">
        <f t="shared" ref="AC18" si="4">Y18+Z18-AA18+AB18</f>
        <v>0</v>
      </c>
      <c r="AD18" s="93">
        <f>+X18</f>
        <v>0</v>
      </c>
      <c r="AE18" s="93"/>
      <c r="AF18" s="93"/>
      <c r="AG18" s="93"/>
      <c r="AH18" s="94">
        <f t="shared" ref="AH18" si="5">AD18+AE18-AF18+AG18</f>
        <v>0</v>
      </c>
      <c r="AI18" s="92">
        <f>+AC18</f>
        <v>0</v>
      </c>
      <c r="AJ18" s="93"/>
      <c r="AK18" s="93"/>
      <c r="AL18" s="93"/>
      <c r="AM18" s="93">
        <f t="shared" ref="AM18" si="6">AI18+AJ18-AK18+AL18</f>
        <v>0</v>
      </c>
      <c r="AN18" s="93">
        <f>+AH18</f>
        <v>0</v>
      </c>
      <c r="AO18" s="93"/>
      <c r="AP18" s="93"/>
      <c r="AQ18" s="93"/>
      <c r="AR18" s="94">
        <f t="shared" ref="AR18" si="7">AN18+AO18-AP18+AQ18</f>
        <v>0</v>
      </c>
      <c r="AS18" s="92">
        <f>+AM18</f>
        <v>0</v>
      </c>
      <c r="AT18" s="93"/>
      <c r="AU18" s="93"/>
      <c r="AV18" s="93"/>
      <c r="AW18" s="93">
        <f t="shared" ref="AW18" si="8">AS18+AT18-AU18+AV18</f>
        <v>0</v>
      </c>
      <c r="AX18" s="93">
        <f>+AR18</f>
        <v>0</v>
      </c>
      <c r="AY18" s="93"/>
      <c r="AZ18" s="93"/>
      <c r="BA18" s="93"/>
      <c r="BB18" s="94">
        <f t="shared" ref="BB18" si="9">AX18+AY18-AZ18+BA18</f>
        <v>0</v>
      </c>
      <c r="BC18" s="92">
        <f>+AW18</f>
        <v>0</v>
      </c>
      <c r="BD18" s="93"/>
      <c r="BE18" s="93"/>
      <c r="BF18" s="93"/>
      <c r="BG18" s="93">
        <f t="shared" ref="BG18" si="10">BC18+BD18-BE18+BF18</f>
        <v>0</v>
      </c>
      <c r="BH18" s="93">
        <f>+BB18</f>
        <v>0</v>
      </c>
      <c r="BI18" s="93"/>
      <c r="BJ18" s="93"/>
      <c r="BK18" s="93"/>
      <c r="BL18" s="94">
        <f t="shared" ref="BL18" si="11">BH18+BI18-BJ18+BK18</f>
        <v>0</v>
      </c>
      <c r="BM18" s="92">
        <f>+BG18</f>
        <v>0</v>
      </c>
      <c r="BN18" s="93"/>
      <c r="BO18" s="93"/>
      <c r="BP18" s="93"/>
      <c r="BQ18" s="93">
        <f t="shared" ref="BQ18:BQ40" si="12">BM18+BN18-BO18+BP18</f>
        <v>0</v>
      </c>
      <c r="BR18" s="93">
        <f>+BL18</f>
        <v>0</v>
      </c>
      <c r="BS18" s="93"/>
      <c r="BT18" s="93"/>
      <c r="BU18" s="93"/>
      <c r="BV18" s="94">
        <f t="shared" ref="BV18:BV40" si="13">BR18+BS18-BT18+BU18</f>
        <v>0</v>
      </c>
      <c r="BW18" s="92">
        <f>BQ18</f>
        <v>0</v>
      </c>
      <c r="BX18" s="93">
        <v>1032214.05</v>
      </c>
      <c r="BY18" s="93"/>
      <c r="BZ18" s="93"/>
      <c r="CA18" s="93">
        <f t="shared" ref="CA18:CA40" si="14">BW18+BX18-BY18+BZ18</f>
        <v>1032214.05</v>
      </c>
      <c r="CB18" s="93">
        <f t="shared" ref="CB18:CB40" si="15">BV18</f>
        <v>0</v>
      </c>
      <c r="CC18" s="93"/>
      <c r="CD18" s="93"/>
      <c r="CE18" s="93"/>
      <c r="CF18" s="94">
        <f t="shared" ref="CF18:CF40" si="16">CB18+CC18-CD18+CE18</f>
        <v>0</v>
      </c>
      <c r="CG18" s="92">
        <f t="shared" ref="CG18:CG40" si="17">CA18</f>
        <v>1032214.05</v>
      </c>
      <c r="CH18" s="93">
        <v>1143711.25</v>
      </c>
      <c r="CI18" s="93"/>
      <c r="CJ18" s="93"/>
      <c r="CK18" s="93">
        <f t="shared" ref="CK18:CK39" si="18">CG18+CH18-CI18+CJ18</f>
        <v>2175925.2999999998</v>
      </c>
      <c r="CL18" s="93">
        <f t="shared" ref="CL18:CL39" si="19">CF18</f>
        <v>0</v>
      </c>
      <c r="CM18" s="93">
        <f>17367.53-2037.24</f>
        <v>15330.289999999999</v>
      </c>
      <c r="CN18" s="93"/>
      <c r="CO18" s="93"/>
      <c r="CP18" s="94">
        <f t="shared" ref="CP18:CP39" si="20">CL18+CM18-CN18+CO18</f>
        <v>15330.289999999999</v>
      </c>
      <c r="CQ18" s="92">
        <f t="shared" ref="CQ18:CQ35" si="21">CK18</f>
        <v>2175925.2999999998</v>
      </c>
      <c r="CR18" s="93">
        <v>1143711.75</v>
      </c>
      <c r="CS18" s="93"/>
      <c r="CT18" s="93"/>
      <c r="CU18" s="93">
        <f t="shared" ref="CU18:CU39" si="22">CQ18+CR18-CS18+SUM(CT18:CT18)</f>
        <v>3319637.05</v>
      </c>
      <c r="CV18" s="93">
        <f t="shared" ref="CV18:CV39" si="23">CP18</f>
        <v>15330.289999999999</v>
      </c>
      <c r="CW18" s="93">
        <f>15390.72-11544.36+2037.24</f>
        <v>5883.5999999999985</v>
      </c>
      <c r="CX18" s="93"/>
      <c r="CY18" s="93"/>
      <c r="CZ18" s="94">
        <f t="shared" ref="CZ18:CZ39" si="24">CV18+CW18-CX18+CY18</f>
        <v>21213.89</v>
      </c>
      <c r="DA18" s="92">
        <f t="shared" ref="DA18:DA35" si="25">CU18</f>
        <v>3319637.05</v>
      </c>
      <c r="DB18" s="93">
        <v>1143711</v>
      </c>
      <c r="DC18" s="93"/>
      <c r="DD18" s="93"/>
      <c r="DE18" s="93">
        <f t="shared" ref="DE18:DE39" si="26">DA18+DB18-DC18+DD18</f>
        <v>4463348.05</v>
      </c>
      <c r="DF18" s="93">
        <f t="shared" ref="DF18:DF39" si="27">CZ18</f>
        <v>21213.89</v>
      </c>
      <c r="DG18" s="93">
        <f>77569.6+11544.36</f>
        <v>89113.96</v>
      </c>
      <c r="DH18" s="93"/>
      <c r="DI18" s="93"/>
      <c r="DJ18" s="94">
        <f>DF18+DG18-DH18+DI18</f>
        <v>110327.85</v>
      </c>
      <c r="DK18" s="92">
        <f t="shared" ref="DK18:DK35" si="28">DE18</f>
        <v>4463348.05</v>
      </c>
      <c r="DL18" s="93">
        <v>1143711</v>
      </c>
      <c r="DM18" s="93"/>
      <c r="DN18" s="93"/>
      <c r="DO18" s="93">
        <f t="shared" ref="DO18:DO23" si="29">DK18+DL18-DM18+SUM(DN18:DN18)</f>
        <v>5607059.0499999998</v>
      </c>
      <c r="DP18" s="93">
        <f t="shared" ref="DP18:DP23" si="30">DJ18</f>
        <v>110327.85</v>
      </c>
      <c r="DQ18" s="93">
        <v>252436.74</v>
      </c>
      <c r="DR18" s="93"/>
      <c r="DS18" s="93"/>
      <c r="DT18" s="94">
        <f t="shared" ref="DT18:DT39" si="31">DP18+DQ18-DR18+DS18</f>
        <v>362764.58999999997</v>
      </c>
      <c r="DU18" s="92">
        <f t="shared" ref="DU18:DU33" si="32">DO18</f>
        <v>5607059.0499999998</v>
      </c>
      <c r="DV18" s="93">
        <v>1143350</v>
      </c>
      <c r="DW18" s="93"/>
      <c r="DX18" s="93"/>
      <c r="DY18" s="93">
        <f t="shared" ref="DY18:DY23" si="33">DU18+DV18-DW18+SUM(DX18:DX18)</f>
        <v>6750409.0499999998</v>
      </c>
      <c r="DZ18" s="93">
        <f t="shared" ref="DZ18:DZ23" si="34">DT18</f>
        <v>362764.58999999997</v>
      </c>
      <c r="EA18" s="93">
        <v>314178.28000000003</v>
      </c>
      <c r="EB18" s="93"/>
      <c r="EC18" s="93"/>
      <c r="ED18" s="94">
        <f t="shared" ref="ED18:ED38" si="35">DZ18+EA18-EB18+EC18</f>
        <v>676942.87</v>
      </c>
      <c r="EE18" s="92"/>
      <c r="EF18" s="93"/>
      <c r="EG18" s="93">
        <f>DY18-EE18</f>
        <v>6750409.0499999998</v>
      </c>
      <c r="EH18" s="94">
        <f>ED18-EF18</f>
        <v>676942.87</v>
      </c>
      <c r="EI18" s="92"/>
      <c r="EJ18" s="153">
        <v>212975.4</v>
      </c>
      <c r="EK18" s="93">
        <f t="shared" ref="EK18:EK40" si="36">EH18+EI18+EJ18</f>
        <v>889918.27</v>
      </c>
      <c r="EL18" s="94">
        <f t="shared" ref="EL18:EL27" si="37">IF(EM18="Yes", SUM(EG18:EJ18), 0)</f>
        <v>7640327.3200000003</v>
      </c>
      <c r="EM18" s="94" t="s">
        <v>24</v>
      </c>
      <c r="EN18" s="94"/>
      <c r="EO18" s="37"/>
      <c r="EP18" s="21"/>
      <c r="EQ18" s="53"/>
      <c r="ER18" s="85"/>
      <c r="ES18" s="85"/>
    </row>
    <row r="19" spans="1:149" s="16" customFormat="1" x14ac:dyDescent="0.35">
      <c r="A19">
        <v>17</v>
      </c>
      <c r="B19"/>
      <c r="C19" s="32" t="s">
        <v>25</v>
      </c>
      <c r="D19" s="36">
        <v>1508</v>
      </c>
      <c r="E19" s="92"/>
      <c r="F19" s="93"/>
      <c r="G19" s="93"/>
      <c r="H19" s="93">
        <v>376062.62</v>
      </c>
      <c r="I19" s="93">
        <f t="shared" si="0"/>
        <v>376062.62</v>
      </c>
      <c r="J19" s="93"/>
      <c r="K19" s="93"/>
      <c r="L19" s="93"/>
      <c r="M19" s="93">
        <v>11100.06</v>
      </c>
      <c r="N19" s="94">
        <f t="shared" si="1"/>
        <v>11100.06</v>
      </c>
      <c r="O19" s="92">
        <f t="shared" si="2"/>
        <v>376062.62</v>
      </c>
      <c r="P19" s="93">
        <f>397102.62-376062.62</f>
        <v>21040</v>
      </c>
      <c r="Q19" s="93"/>
      <c r="R19" s="93"/>
      <c r="S19" s="93">
        <f>O19+P19-Q19+R19</f>
        <v>397102.62</v>
      </c>
      <c r="T19" s="93">
        <f t="shared" ref="T19:T40" si="38">+N19</f>
        <v>11100.06</v>
      </c>
      <c r="U19" s="93">
        <f>16780.95-11100.06</f>
        <v>5680.8900000000012</v>
      </c>
      <c r="V19" s="93"/>
      <c r="W19" s="93"/>
      <c r="X19" s="94">
        <f>T19+U19-V19+W19</f>
        <v>16780.95</v>
      </c>
      <c r="Y19" s="92">
        <f t="shared" ref="Y19:Y40" si="39">+S19</f>
        <v>397102.62</v>
      </c>
      <c r="Z19" s="93">
        <f>445974.05-397102.62</f>
        <v>48871.429999999993</v>
      </c>
      <c r="AA19" s="93"/>
      <c r="AB19" s="93"/>
      <c r="AC19" s="93">
        <f>Y19+Z19-AA19+AB19</f>
        <v>445974.05</v>
      </c>
      <c r="AD19" s="93">
        <f t="shared" ref="AD19:AD40" si="40">+X19</f>
        <v>16780.95</v>
      </c>
      <c r="AE19" s="93">
        <f>22654.38-16780.95</f>
        <v>5873.43</v>
      </c>
      <c r="AF19" s="93"/>
      <c r="AG19" s="93"/>
      <c r="AH19" s="94">
        <f>AD19+AE19-AF19+AG19</f>
        <v>22654.38</v>
      </c>
      <c r="AI19" s="92">
        <f t="shared" ref="AI19:AI40" si="41">+AC19</f>
        <v>445974.05</v>
      </c>
      <c r="AJ19" s="93">
        <f>444474.05-445974.05</f>
        <v>-1500</v>
      </c>
      <c r="AK19" s="93"/>
      <c r="AL19" s="93"/>
      <c r="AM19" s="93">
        <f>AI19+AJ19-AK19+AL19</f>
        <v>444474.05</v>
      </c>
      <c r="AN19" s="93">
        <f t="shared" ref="AN19:AN40" si="42">+AH19</f>
        <v>22654.38</v>
      </c>
      <c r="AO19" s="93">
        <f>27962.97-22654.38</f>
        <v>5308.59</v>
      </c>
      <c r="AP19" s="93"/>
      <c r="AQ19" s="93"/>
      <c r="AR19" s="94">
        <f>AN19+AO19-AP19+AQ19</f>
        <v>27962.97</v>
      </c>
      <c r="AS19" s="92">
        <f t="shared" ref="AS19:AS40" si="43">+AM19</f>
        <v>444474.05</v>
      </c>
      <c r="AT19" s="93">
        <f>445974.05-444474.05</f>
        <v>1500</v>
      </c>
      <c r="AU19" s="93"/>
      <c r="AV19" s="93"/>
      <c r="AW19" s="93">
        <f>AS19+AT19-AU19+AV19</f>
        <v>445974.05</v>
      </c>
      <c r="AX19" s="93">
        <f t="shared" ref="AX19:AX40" si="44">+AR19</f>
        <v>27962.97</v>
      </c>
      <c r="AY19" s="93">
        <f>32864.55-27962.97</f>
        <v>4901.5800000000017</v>
      </c>
      <c r="AZ19" s="93"/>
      <c r="BA19" s="93"/>
      <c r="BB19" s="94">
        <f>AX19+AY19-AZ19+BA19</f>
        <v>32864.550000000003</v>
      </c>
      <c r="BC19" s="92">
        <f t="shared" ref="BC19:BC40" si="45">+AW19</f>
        <v>445974.05</v>
      </c>
      <c r="BD19" s="93"/>
      <c r="BE19" s="93"/>
      <c r="BF19" s="93"/>
      <c r="BG19" s="93">
        <f>BC19+BD19-BE19+BF19</f>
        <v>445974.05</v>
      </c>
      <c r="BH19" s="93">
        <f t="shared" ref="BH19:BH40" si="46">+BB19</f>
        <v>32864.550000000003</v>
      </c>
      <c r="BI19" s="93">
        <f>38216.25-32864.55</f>
        <v>5351.6999999999971</v>
      </c>
      <c r="BJ19" s="93"/>
      <c r="BK19" s="93"/>
      <c r="BL19" s="94">
        <f>BH19+BI19-BJ19+BK19</f>
        <v>38216.25</v>
      </c>
      <c r="BM19" s="92">
        <f t="shared" ref="BM19:BM40" si="47">+BG19</f>
        <v>445974.05</v>
      </c>
      <c r="BN19" s="93"/>
      <c r="BO19" s="93"/>
      <c r="BP19" s="93"/>
      <c r="BQ19" s="93">
        <f>BM19+BN19-BO19+BP19</f>
        <v>445974.05</v>
      </c>
      <c r="BR19" s="93">
        <f t="shared" ref="BR19:BR40" si="48">+BL19</f>
        <v>38216.25</v>
      </c>
      <c r="BS19" s="93">
        <f>46522.53-38216.25</f>
        <v>8306.2799999999988</v>
      </c>
      <c r="BT19" s="93"/>
      <c r="BU19" s="93"/>
      <c r="BV19" s="94">
        <f>BR19+BS19-BT19+BU19</f>
        <v>46522.53</v>
      </c>
      <c r="BW19" s="92">
        <f>BQ19</f>
        <v>445974.05</v>
      </c>
      <c r="BX19" s="93"/>
      <c r="BY19" s="93"/>
      <c r="BZ19" s="93"/>
      <c r="CA19" s="93">
        <f t="shared" si="14"/>
        <v>445974.05</v>
      </c>
      <c r="CB19" s="93">
        <f t="shared" si="15"/>
        <v>46522.53</v>
      </c>
      <c r="CC19" s="93">
        <f>56545.83-46522.53</f>
        <v>10023.300000000003</v>
      </c>
      <c r="CD19" s="93"/>
      <c r="CE19" s="93"/>
      <c r="CF19" s="94">
        <f>CB19+CC19-CD19+CE19</f>
        <v>56545.83</v>
      </c>
      <c r="CG19" s="92">
        <f t="shared" si="17"/>
        <v>445974.05</v>
      </c>
      <c r="CH19" s="93"/>
      <c r="CI19" s="93"/>
      <c r="CJ19" s="93"/>
      <c r="CK19" s="93">
        <f t="shared" si="18"/>
        <v>445974.05</v>
      </c>
      <c r="CL19" s="93">
        <f t="shared" si="19"/>
        <v>56545.83</v>
      </c>
      <c r="CM19" s="93">
        <v>6132.18</v>
      </c>
      <c r="CN19" s="93"/>
      <c r="CO19" s="93"/>
      <c r="CP19" s="94">
        <f t="shared" si="20"/>
        <v>62678.01</v>
      </c>
      <c r="CQ19" s="92">
        <f t="shared" si="21"/>
        <v>445974.05</v>
      </c>
      <c r="CR19" s="93"/>
      <c r="CS19" s="93"/>
      <c r="CT19" s="93"/>
      <c r="CU19" s="93">
        <f t="shared" si="22"/>
        <v>445974.05</v>
      </c>
      <c r="CV19" s="93">
        <f t="shared" si="23"/>
        <v>62678.01</v>
      </c>
      <c r="CW19" s="93">
        <v>2542.08</v>
      </c>
      <c r="CX19" s="93"/>
      <c r="CY19" s="93"/>
      <c r="CZ19" s="94">
        <f t="shared" si="24"/>
        <v>65220.090000000004</v>
      </c>
      <c r="DA19" s="92">
        <f t="shared" si="25"/>
        <v>445974.05</v>
      </c>
      <c r="DB19" s="93"/>
      <c r="DC19" s="93"/>
      <c r="DD19" s="93"/>
      <c r="DE19" s="93">
        <f t="shared" si="26"/>
        <v>445974.05</v>
      </c>
      <c r="DF19" s="93">
        <f t="shared" si="27"/>
        <v>65220.090000000004</v>
      </c>
      <c r="DG19" s="93">
        <v>8540.43</v>
      </c>
      <c r="DH19" s="93"/>
      <c r="DI19" s="93"/>
      <c r="DJ19" s="94">
        <f t="shared" ref="DJ19:DJ39" si="49">DF19+DG19-DH19+DI19</f>
        <v>73760.52</v>
      </c>
      <c r="DK19" s="92">
        <f t="shared" si="28"/>
        <v>445974.05</v>
      </c>
      <c r="DL19" s="93">
        <v>0</v>
      </c>
      <c r="DM19" s="93"/>
      <c r="DN19" s="93"/>
      <c r="DO19" s="93">
        <f t="shared" si="29"/>
        <v>445974.05</v>
      </c>
      <c r="DP19" s="93">
        <f t="shared" si="30"/>
        <v>73760.52</v>
      </c>
      <c r="DQ19" s="93">
        <v>22499.37</v>
      </c>
      <c r="DR19" s="93"/>
      <c r="DS19" s="93"/>
      <c r="DT19" s="94">
        <f t="shared" si="31"/>
        <v>96259.89</v>
      </c>
      <c r="DU19" s="92">
        <f t="shared" si="32"/>
        <v>445974.05</v>
      </c>
      <c r="DV19" s="93">
        <v>-3241.43</v>
      </c>
      <c r="DW19" s="93"/>
      <c r="DX19" s="93"/>
      <c r="DY19" s="93">
        <f t="shared" si="33"/>
        <v>442732.62</v>
      </c>
      <c r="DZ19" s="93">
        <f t="shared" si="34"/>
        <v>96259.89</v>
      </c>
      <c r="EA19" s="93">
        <v>22878.91</v>
      </c>
      <c r="EB19" s="93"/>
      <c r="EC19" s="93"/>
      <c r="ED19" s="94">
        <f t="shared" si="35"/>
        <v>119138.8</v>
      </c>
      <c r="EE19" s="92"/>
      <c r="EF19" s="93"/>
      <c r="EG19" s="93">
        <f t="shared" ref="EG19:EG40" si="50">DY19-EE19</f>
        <v>442732.62</v>
      </c>
      <c r="EH19" s="94">
        <f t="shared" ref="EH19:EH40" si="51">ED19-EF19</f>
        <v>119138.8</v>
      </c>
      <c r="EI19" s="92"/>
      <c r="EJ19" s="153">
        <v>13968.24</v>
      </c>
      <c r="EK19" s="93">
        <f t="shared" si="36"/>
        <v>133107.04</v>
      </c>
      <c r="EL19" s="94">
        <f t="shared" si="37"/>
        <v>575839.66</v>
      </c>
      <c r="EM19" s="94" t="s">
        <v>24</v>
      </c>
      <c r="EN19" s="94"/>
      <c r="EO19" s="37"/>
      <c r="EP19" s="21"/>
      <c r="EQ19" s="53"/>
      <c r="ER19" s="85"/>
      <c r="ES19" s="85"/>
    </row>
    <row r="20" spans="1:149" s="16" customFormat="1" x14ac:dyDescent="0.35">
      <c r="A20"/>
      <c r="B20"/>
      <c r="C20" s="32" t="s">
        <v>26</v>
      </c>
      <c r="D20" s="36">
        <v>1508</v>
      </c>
      <c r="E20" s="92"/>
      <c r="F20" s="93"/>
      <c r="G20" s="93"/>
      <c r="H20" s="93"/>
      <c r="I20" s="93">
        <f t="shared" si="0"/>
        <v>0</v>
      </c>
      <c r="J20" s="93"/>
      <c r="K20" s="93"/>
      <c r="L20" s="93"/>
      <c r="M20" s="93"/>
      <c r="N20" s="94">
        <f t="shared" si="1"/>
        <v>0</v>
      </c>
      <c r="O20" s="92">
        <f t="shared" si="2"/>
        <v>0</v>
      </c>
      <c r="P20" s="93"/>
      <c r="Q20" s="93"/>
      <c r="R20" s="93"/>
      <c r="S20" s="93">
        <f>O20+P20-Q20+R20</f>
        <v>0</v>
      </c>
      <c r="T20" s="93">
        <f t="shared" ref="T20" si="52">+N20</f>
        <v>0</v>
      </c>
      <c r="U20" s="93"/>
      <c r="V20" s="93"/>
      <c r="W20" s="93"/>
      <c r="X20" s="94">
        <f>T20+U20-V20+W20</f>
        <v>0</v>
      </c>
      <c r="Y20" s="92">
        <f t="shared" ref="Y20" si="53">+S20</f>
        <v>0</v>
      </c>
      <c r="Z20" s="93"/>
      <c r="AA20" s="93"/>
      <c r="AB20" s="93"/>
      <c r="AC20" s="93">
        <f>Y20+Z20-AA20+AB20</f>
        <v>0</v>
      </c>
      <c r="AD20" s="93">
        <f t="shared" ref="AD20" si="54">+X20</f>
        <v>0</v>
      </c>
      <c r="AE20" s="93"/>
      <c r="AF20" s="93"/>
      <c r="AG20" s="93"/>
      <c r="AH20" s="94">
        <f>AD20+AE20-AF20+AG20</f>
        <v>0</v>
      </c>
      <c r="AI20" s="92">
        <f t="shared" ref="AI20" si="55">+AC20</f>
        <v>0</v>
      </c>
      <c r="AJ20" s="93"/>
      <c r="AK20" s="93"/>
      <c r="AL20" s="93"/>
      <c r="AM20" s="93">
        <f>AI20+AJ20-AK20+AL20</f>
        <v>0</v>
      </c>
      <c r="AN20" s="93">
        <f t="shared" ref="AN20" si="56">+AH20</f>
        <v>0</v>
      </c>
      <c r="AO20" s="93"/>
      <c r="AP20" s="93"/>
      <c r="AQ20" s="93"/>
      <c r="AR20" s="94">
        <f>AN20+AO20-AP20+AQ20</f>
        <v>0</v>
      </c>
      <c r="AS20" s="92">
        <f t="shared" ref="AS20" si="57">+AM20</f>
        <v>0</v>
      </c>
      <c r="AT20" s="93"/>
      <c r="AU20" s="93"/>
      <c r="AV20" s="95">
        <v>191705.13</v>
      </c>
      <c r="AW20" s="93">
        <f>AS20+AT20-AU20+AV20</f>
        <v>191705.13</v>
      </c>
      <c r="AX20" s="93">
        <f t="shared" ref="AX20" si="58">+AR20</f>
        <v>0</v>
      </c>
      <c r="AY20" s="93"/>
      <c r="AZ20" s="93"/>
      <c r="BA20" s="95">
        <f>15454.86-2112</f>
        <v>13342.86</v>
      </c>
      <c r="BB20" s="94">
        <f>AX20+AY20-AZ20+BA20</f>
        <v>13342.86</v>
      </c>
      <c r="BC20" s="92">
        <f t="shared" ref="BC20" si="59">+AW20</f>
        <v>191705.13</v>
      </c>
      <c r="BD20" s="93"/>
      <c r="BE20" s="93"/>
      <c r="BF20" s="93"/>
      <c r="BG20" s="93">
        <f>BC20+BD20-BE20+BF20</f>
        <v>191705.13</v>
      </c>
      <c r="BH20" s="93">
        <f t="shared" ref="BH20" si="60">+BB20</f>
        <v>13342.86</v>
      </c>
      <c r="BI20" s="93">
        <f>2112+198</f>
        <v>2310</v>
      </c>
      <c r="BJ20" s="93"/>
      <c r="BK20" s="93"/>
      <c r="BL20" s="94">
        <f>BH20+BI20-BJ20+BK20</f>
        <v>15652.86</v>
      </c>
      <c r="BM20" s="92">
        <f t="shared" ref="BM20" si="61">+BG20</f>
        <v>191705.13</v>
      </c>
      <c r="BN20" s="93"/>
      <c r="BO20" s="95">
        <v>191705.13</v>
      </c>
      <c r="BP20" s="93"/>
      <c r="BQ20" s="93">
        <f>BM20+BN20-BO20+BP20</f>
        <v>0</v>
      </c>
      <c r="BR20" s="93">
        <f t="shared" ref="BR20" si="62">+BL20</f>
        <v>15652.86</v>
      </c>
      <c r="BS20" s="93">
        <v>-198</v>
      </c>
      <c r="BT20" s="95">
        <v>15454.86</v>
      </c>
      <c r="BU20" s="93"/>
      <c r="BV20" s="94">
        <f>BR20+BS20-BT20+BU20</f>
        <v>0</v>
      </c>
      <c r="BW20" s="92">
        <f>BQ20</f>
        <v>0</v>
      </c>
      <c r="BX20" s="93"/>
      <c r="BY20" s="93"/>
      <c r="BZ20" s="93"/>
      <c r="CA20" s="93">
        <f t="shared" ref="CA20" si="63">BW20+BX20-BY20+BZ20</f>
        <v>0</v>
      </c>
      <c r="CB20" s="93">
        <f t="shared" ref="CB20" si="64">BV20</f>
        <v>0</v>
      </c>
      <c r="CC20" s="93"/>
      <c r="CD20" s="93"/>
      <c r="CE20" s="93"/>
      <c r="CF20" s="94">
        <f>CB20+CC20-CD20+CE20</f>
        <v>0</v>
      </c>
      <c r="CG20" s="92">
        <f t="shared" ref="CG20" si="65">CA20</f>
        <v>0</v>
      </c>
      <c r="CH20" s="93"/>
      <c r="CI20" s="93"/>
      <c r="CJ20" s="93"/>
      <c r="CK20" s="93">
        <f t="shared" ref="CK20" si="66">CG20+CH20-CI20+CJ20</f>
        <v>0</v>
      </c>
      <c r="CL20" s="93">
        <f t="shared" ref="CL20" si="67">CF20</f>
        <v>0</v>
      </c>
      <c r="CM20" s="93"/>
      <c r="CN20" s="93"/>
      <c r="CO20" s="93"/>
      <c r="CP20" s="94">
        <f t="shared" ref="CP20" si="68">CL20+CM20-CN20+CO20</f>
        <v>0</v>
      </c>
      <c r="CQ20" s="92">
        <f t="shared" ref="CQ20" si="69">CK20</f>
        <v>0</v>
      </c>
      <c r="CR20" s="93"/>
      <c r="CS20" s="93"/>
      <c r="CT20" s="93"/>
      <c r="CU20" s="93">
        <f t="shared" ref="CU20" si="70">CQ20+CR20-CS20+SUM(CT20:CT20)</f>
        <v>0</v>
      </c>
      <c r="CV20" s="93">
        <f t="shared" ref="CV20" si="71">CP20</f>
        <v>0</v>
      </c>
      <c r="CW20" s="93"/>
      <c r="CX20" s="93"/>
      <c r="CY20" s="93"/>
      <c r="CZ20" s="94">
        <f t="shared" ref="CZ20" si="72">CV20+CW20-CX20+CY20</f>
        <v>0</v>
      </c>
      <c r="DA20" s="92">
        <f t="shared" ref="DA20" si="73">CU20</f>
        <v>0</v>
      </c>
      <c r="DB20" s="93"/>
      <c r="DC20" s="93"/>
      <c r="DD20" s="93"/>
      <c r="DE20" s="93">
        <f t="shared" ref="DE20" si="74">DA20+DB20-DC20+DD20</f>
        <v>0</v>
      </c>
      <c r="DF20" s="93">
        <f t="shared" ref="DF20" si="75">CZ20</f>
        <v>0</v>
      </c>
      <c r="DG20" s="93"/>
      <c r="DH20" s="93"/>
      <c r="DI20" s="93"/>
      <c r="DJ20" s="94">
        <f t="shared" ref="DJ20" si="76">DF20+DG20-DH20+DI20</f>
        <v>0</v>
      </c>
      <c r="DK20" s="92">
        <f t="shared" ref="DK20" si="77">DE20</f>
        <v>0</v>
      </c>
      <c r="DL20" s="93"/>
      <c r="DM20" s="93"/>
      <c r="DN20" s="93"/>
      <c r="DO20" s="93">
        <f t="shared" si="29"/>
        <v>0</v>
      </c>
      <c r="DP20" s="93">
        <f t="shared" si="30"/>
        <v>0</v>
      </c>
      <c r="DQ20" s="93"/>
      <c r="DR20" s="93"/>
      <c r="DS20" s="93"/>
      <c r="DT20" s="94">
        <f t="shared" ref="DT20" si="78">DP20+DQ20-DR20+DS20</f>
        <v>0</v>
      </c>
      <c r="DU20" s="92">
        <f t="shared" ref="DU20" si="79">DO20</f>
        <v>0</v>
      </c>
      <c r="DV20" s="93"/>
      <c r="DW20" s="93"/>
      <c r="DX20" s="93"/>
      <c r="DY20" s="93">
        <f t="shared" si="33"/>
        <v>0</v>
      </c>
      <c r="DZ20" s="93">
        <f t="shared" si="34"/>
        <v>0</v>
      </c>
      <c r="EA20" s="93"/>
      <c r="EB20" s="93"/>
      <c r="EC20" s="93"/>
      <c r="ED20" s="94">
        <f t="shared" ref="ED20" si="80">DZ20+EA20-EB20+EC20</f>
        <v>0</v>
      </c>
      <c r="EE20" s="92"/>
      <c r="EF20" s="93"/>
      <c r="EG20" s="93">
        <f t="shared" ref="EG20" si="81">DY20-EE20</f>
        <v>0</v>
      </c>
      <c r="EH20" s="94">
        <f t="shared" ref="EH20" si="82">ED20-EF20</f>
        <v>0</v>
      </c>
      <c r="EI20" s="92"/>
      <c r="EJ20" s="93"/>
      <c r="EK20" s="93">
        <f t="shared" ref="EK20" si="83">EH20+EI20+EJ20</f>
        <v>0</v>
      </c>
      <c r="EL20" s="94">
        <f t="shared" si="37"/>
        <v>0</v>
      </c>
      <c r="EM20" s="94" t="s">
        <v>27</v>
      </c>
      <c r="EN20" s="94"/>
      <c r="EO20" s="37"/>
      <c r="EP20" s="21"/>
      <c r="EQ20" s="53"/>
      <c r="ER20" s="85"/>
      <c r="ES20" s="85"/>
    </row>
    <row r="21" spans="1:149" s="16" customFormat="1" x14ac:dyDescent="0.35">
      <c r="A21"/>
      <c r="B21"/>
      <c r="C21" s="32" t="s">
        <v>28</v>
      </c>
      <c r="D21" s="36">
        <v>1508</v>
      </c>
      <c r="E21" s="92"/>
      <c r="F21" s="93"/>
      <c r="G21" s="93"/>
      <c r="H21" s="93"/>
      <c r="I21" s="93">
        <f t="shared" si="0"/>
        <v>0</v>
      </c>
      <c r="J21" s="93"/>
      <c r="K21" s="93"/>
      <c r="L21" s="93"/>
      <c r="M21" s="93"/>
      <c r="N21" s="94">
        <f t="shared" si="1"/>
        <v>0</v>
      </c>
      <c r="O21" s="92">
        <f t="shared" si="2"/>
        <v>0</v>
      </c>
      <c r="P21" s="93"/>
      <c r="Q21" s="93"/>
      <c r="R21" s="93"/>
      <c r="S21" s="93">
        <f>O21+P21-Q21+R21</f>
        <v>0</v>
      </c>
      <c r="T21" s="93">
        <f t="shared" ref="T21" si="84">+N21</f>
        <v>0</v>
      </c>
      <c r="U21" s="93"/>
      <c r="V21" s="93"/>
      <c r="W21" s="93"/>
      <c r="X21" s="94">
        <f>T21+U21-V21+W21</f>
        <v>0</v>
      </c>
      <c r="Y21" s="92">
        <f t="shared" ref="Y21" si="85">+S21</f>
        <v>0</v>
      </c>
      <c r="Z21" s="93"/>
      <c r="AA21" s="93"/>
      <c r="AB21" s="93"/>
      <c r="AC21" s="93">
        <f>Y21+Z21-AA21+AB21</f>
        <v>0</v>
      </c>
      <c r="AD21" s="93">
        <f t="shared" ref="AD21" si="86">+X21</f>
        <v>0</v>
      </c>
      <c r="AE21" s="93"/>
      <c r="AF21" s="93"/>
      <c r="AG21" s="93"/>
      <c r="AH21" s="94">
        <f>AD21+AE21-AF21+AG21</f>
        <v>0</v>
      </c>
      <c r="AI21" s="92">
        <f t="shared" ref="AI21" si="87">+AC21</f>
        <v>0</v>
      </c>
      <c r="AJ21" s="93"/>
      <c r="AK21" s="93"/>
      <c r="AL21" s="93"/>
      <c r="AM21" s="93">
        <f>AI21+AJ21-AK21+AL21</f>
        <v>0</v>
      </c>
      <c r="AN21" s="93">
        <f t="shared" ref="AN21" si="88">+AH21</f>
        <v>0</v>
      </c>
      <c r="AO21" s="93"/>
      <c r="AP21" s="93"/>
      <c r="AQ21" s="93"/>
      <c r="AR21" s="94">
        <f>AN21+AO21-AP21+AQ21</f>
        <v>0</v>
      </c>
      <c r="AS21" s="92">
        <f t="shared" ref="AS21" si="89">+AM21</f>
        <v>0</v>
      </c>
      <c r="AT21" s="93"/>
      <c r="AU21" s="93"/>
      <c r="AV21" s="95">
        <v>6824.49</v>
      </c>
      <c r="AW21" s="93">
        <f>AS21+AT21-AU21+AV21</f>
        <v>6824.49</v>
      </c>
      <c r="AX21" s="93">
        <f t="shared" ref="AX21" si="90">+AR21</f>
        <v>0</v>
      </c>
      <c r="AY21" s="93"/>
      <c r="AZ21" s="93"/>
      <c r="BA21" s="95">
        <f>666.46-72</f>
        <v>594.46</v>
      </c>
      <c r="BB21" s="94">
        <f>AX21+AY21-AZ21+BA21</f>
        <v>594.46</v>
      </c>
      <c r="BC21" s="92">
        <f t="shared" ref="BC21" si="91">+AW21</f>
        <v>6824.49</v>
      </c>
      <c r="BD21" s="93"/>
      <c r="BE21" s="93"/>
      <c r="BF21" s="93"/>
      <c r="BG21" s="93">
        <f>BC21+BD21-BE21+BF21</f>
        <v>6824.49</v>
      </c>
      <c r="BH21" s="93">
        <f t="shared" ref="BH21" si="92">+BB21</f>
        <v>594.46</v>
      </c>
      <c r="BI21" s="93">
        <v>72</v>
      </c>
      <c r="BJ21" s="93"/>
      <c r="BK21" s="93"/>
      <c r="BL21" s="94">
        <f>BH21+BI21-BJ21+BK21</f>
        <v>666.46</v>
      </c>
      <c r="BM21" s="92">
        <f t="shared" ref="BM21" si="93">+BG21</f>
        <v>6824.49</v>
      </c>
      <c r="BN21" s="93"/>
      <c r="BO21" s="95">
        <v>6824.49</v>
      </c>
      <c r="BP21" s="93"/>
      <c r="BQ21" s="93">
        <f>BM21+BN21-BO21+BP21</f>
        <v>0</v>
      </c>
      <c r="BR21" s="93">
        <f t="shared" ref="BR21" si="94">+BL21</f>
        <v>666.46</v>
      </c>
      <c r="BS21" s="93"/>
      <c r="BT21" s="95">
        <v>666.46</v>
      </c>
      <c r="BU21" s="93"/>
      <c r="BV21" s="94">
        <f>BR21+BS21-BT21+BU21</f>
        <v>0</v>
      </c>
      <c r="BW21" s="92">
        <f>BQ21</f>
        <v>0</v>
      </c>
      <c r="BX21" s="93"/>
      <c r="BY21" s="93"/>
      <c r="BZ21" s="93"/>
      <c r="CA21" s="93">
        <f t="shared" ref="CA21" si="95">BW21+BX21-BY21+BZ21</f>
        <v>0</v>
      </c>
      <c r="CB21" s="93">
        <f t="shared" ref="CB21" si="96">BV21</f>
        <v>0</v>
      </c>
      <c r="CC21" s="93"/>
      <c r="CD21" s="93"/>
      <c r="CE21" s="93"/>
      <c r="CF21" s="94">
        <f>CB21+CC21-CD21+CE21</f>
        <v>0</v>
      </c>
      <c r="CG21" s="92">
        <f t="shared" ref="CG21" si="97">CA21</f>
        <v>0</v>
      </c>
      <c r="CH21" s="93"/>
      <c r="CI21" s="93"/>
      <c r="CJ21" s="93"/>
      <c r="CK21" s="93">
        <f t="shared" ref="CK21" si="98">CG21+CH21-CI21+CJ21</f>
        <v>0</v>
      </c>
      <c r="CL21" s="93">
        <f t="shared" ref="CL21" si="99">CF21</f>
        <v>0</v>
      </c>
      <c r="CM21" s="93"/>
      <c r="CN21" s="93"/>
      <c r="CO21" s="93"/>
      <c r="CP21" s="94">
        <f t="shared" ref="CP21" si="100">CL21+CM21-CN21+CO21</f>
        <v>0</v>
      </c>
      <c r="CQ21" s="92">
        <f t="shared" ref="CQ21" si="101">CK21</f>
        <v>0</v>
      </c>
      <c r="CR21" s="93"/>
      <c r="CS21" s="93"/>
      <c r="CT21" s="93"/>
      <c r="CU21" s="93">
        <f t="shared" ref="CU21" si="102">CQ21+CR21-CS21+SUM(CT21:CT21)</f>
        <v>0</v>
      </c>
      <c r="CV21" s="93">
        <f t="shared" ref="CV21" si="103">CP21</f>
        <v>0</v>
      </c>
      <c r="CW21" s="93"/>
      <c r="CX21" s="93"/>
      <c r="CY21" s="93"/>
      <c r="CZ21" s="94">
        <f t="shared" ref="CZ21" si="104">CV21+CW21-CX21+CY21</f>
        <v>0</v>
      </c>
      <c r="DA21" s="92">
        <f t="shared" ref="DA21" si="105">CU21</f>
        <v>0</v>
      </c>
      <c r="DB21" s="93"/>
      <c r="DC21" s="93"/>
      <c r="DD21" s="93"/>
      <c r="DE21" s="93">
        <f t="shared" ref="DE21" si="106">DA21+DB21-DC21+DD21</f>
        <v>0</v>
      </c>
      <c r="DF21" s="93">
        <f t="shared" ref="DF21" si="107">CZ21</f>
        <v>0</v>
      </c>
      <c r="DG21" s="93"/>
      <c r="DH21" s="93"/>
      <c r="DI21" s="93"/>
      <c r="DJ21" s="94">
        <f t="shared" ref="DJ21" si="108">DF21+DG21-DH21+DI21</f>
        <v>0</v>
      </c>
      <c r="DK21" s="92">
        <f t="shared" ref="DK21" si="109">DE21</f>
        <v>0</v>
      </c>
      <c r="DL21" s="93"/>
      <c r="DM21" s="93"/>
      <c r="DN21" s="93"/>
      <c r="DO21" s="93">
        <f t="shared" si="29"/>
        <v>0</v>
      </c>
      <c r="DP21" s="93">
        <f t="shared" si="30"/>
        <v>0</v>
      </c>
      <c r="DQ21" s="93"/>
      <c r="DR21" s="93"/>
      <c r="DS21" s="93"/>
      <c r="DT21" s="94">
        <f t="shared" ref="DT21" si="110">DP21+DQ21-DR21+DS21</f>
        <v>0</v>
      </c>
      <c r="DU21" s="92">
        <f t="shared" ref="DU21" si="111">DO21</f>
        <v>0</v>
      </c>
      <c r="DV21" s="93"/>
      <c r="DW21" s="93"/>
      <c r="DX21" s="93"/>
      <c r="DY21" s="93">
        <f t="shared" si="33"/>
        <v>0</v>
      </c>
      <c r="DZ21" s="93">
        <f t="shared" si="34"/>
        <v>0</v>
      </c>
      <c r="EA21" s="93"/>
      <c r="EB21" s="93"/>
      <c r="EC21" s="93"/>
      <c r="ED21" s="94">
        <f t="shared" ref="ED21" si="112">DZ21+EA21-EB21+EC21</f>
        <v>0</v>
      </c>
      <c r="EE21" s="92"/>
      <c r="EF21" s="93"/>
      <c r="EG21" s="93">
        <f t="shared" ref="EG21" si="113">DY21-EE21</f>
        <v>0</v>
      </c>
      <c r="EH21" s="94">
        <f t="shared" ref="EH21" si="114">ED21-EF21</f>
        <v>0</v>
      </c>
      <c r="EI21" s="92"/>
      <c r="EJ21" s="93"/>
      <c r="EK21" s="93">
        <f t="shared" ref="EK21" si="115">EH21+EI21+EJ21</f>
        <v>0</v>
      </c>
      <c r="EL21" s="94">
        <f t="shared" si="37"/>
        <v>0</v>
      </c>
      <c r="EM21" s="94" t="s">
        <v>27</v>
      </c>
      <c r="EN21" s="94"/>
      <c r="EO21" s="37"/>
      <c r="EP21" s="21"/>
      <c r="EQ21" s="53"/>
      <c r="ER21" s="85"/>
      <c r="ES21" s="85"/>
    </row>
    <row r="22" spans="1:149" s="16" customFormat="1" x14ac:dyDescent="0.35">
      <c r="A22">
        <v>18</v>
      </c>
      <c r="B22"/>
      <c r="C22" s="32" t="s">
        <v>29</v>
      </c>
      <c r="D22" s="36">
        <v>1508</v>
      </c>
      <c r="E22" s="92"/>
      <c r="F22" s="93"/>
      <c r="G22" s="93"/>
      <c r="H22" s="93"/>
      <c r="I22" s="93">
        <f t="shared" si="0"/>
        <v>0</v>
      </c>
      <c r="J22" s="93"/>
      <c r="K22" s="93"/>
      <c r="L22" s="93"/>
      <c r="M22" s="93"/>
      <c r="N22" s="94">
        <f t="shared" si="1"/>
        <v>0</v>
      </c>
      <c r="O22" s="92">
        <f t="shared" si="2"/>
        <v>0</v>
      </c>
      <c r="P22" s="93"/>
      <c r="Q22" s="93"/>
      <c r="R22" s="93"/>
      <c r="S22" s="93">
        <f>O22+P22-Q22+R22</f>
        <v>0</v>
      </c>
      <c r="T22" s="93">
        <f t="shared" si="38"/>
        <v>0</v>
      </c>
      <c r="U22" s="93"/>
      <c r="V22" s="93"/>
      <c r="W22" s="93"/>
      <c r="X22" s="94">
        <f>T22+U22-V22+W22</f>
        <v>0</v>
      </c>
      <c r="Y22" s="92">
        <f t="shared" si="39"/>
        <v>0</v>
      </c>
      <c r="Z22" s="93"/>
      <c r="AA22" s="93"/>
      <c r="AB22" s="93"/>
      <c r="AC22" s="93">
        <f>Y22+Z22-AA22+AB22</f>
        <v>0</v>
      </c>
      <c r="AD22" s="93">
        <f t="shared" si="40"/>
        <v>0</v>
      </c>
      <c r="AE22" s="93"/>
      <c r="AF22" s="93"/>
      <c r="AG22" s="93"/>
      <c r="AH22" s="94">
        <f>AD22+AE22-AF22+AG22</f>
        <v>0</v>
      </c>
      <c r="AI22" s="92">
        <f t="shared" si="41"/>
        <v>0</v>
      </c>
      <c r="AJ22" s="93"/>
      <c r="AK22" s="93"/>
      <c r="AL22" s="93"/>
      <c r="AM22" s="93">
        <f>AI22+AJ22-AK22+AL22</f>
        <v>0</v>
      </c>
      <c r="AN22" s="93">
        <f t="shared" si="42"/>
        <v>0</v>
      </c>
      <c r="AO22" s="93"/>
      <c r="AP22" s="93"/>
      <c r="AQ22" s="93"/>
      <c r="AR22" s="94">
        <f>AN22+AO22-AP22+AQ22</f>
        <v>0</v>
      </c>
      <c r="AS22" s="92">
        <f t="shared" si="43"/>
        <v>0</v>
      </c>
      <c r="AT22" s="93"/>
      <c r="AU22" s="93"/>
      <c r="AV22" s="93"/>
      <c r="AW22" s="93">
        <f>AS22+AT22-AU22+AV22</f>
        <v>0</v>
      </c>
      <c r="AX22" s="93">
        <f t="shared" si="44"/>
        <v>0</v>
      </c>
      <c r="AY22" s="93"/>
      <c r="AZ22" s="93"/>
      <c r="BA22" s="93"/>
      <c r="BB22" s="94">
        <f>AX22+AY22-AZ22+BA22</f>
        <v>0</v>
      </c>
      <c r="BC22" s="92">
        <f t="shared" si="45"/>
        <v>0</v>
      </c>
      <c r="BD22" s="93"/>
      <c r="BE22" s="93"/>
      <c r="BF22" s="93"/>
      <c r="BG22" s="93">
        <f>BC22+BD22-BE22+BF22</f>
        <v>0</v>
      </c>
      <c r="BH22" s="93">
        <f t="shared" si="46"/>
        <v>0</v>
      </c>
      <c r="BI22" s="93"/>
      <c r="BJ22" s="93"/>
      <c r="BK22" s="93"/>
      <c r="BL22" s="94">
        <f>BH22+BI22-BJ22+BK22</f>
        <v>0</v>
      </c>
      <c r="BM22" s="92">
        <f t="shared" si="47"/>
        <v>0</v>
      </c>
      <c r="BN22" s="93"/>
      <c r="BO22" s="93"/>
      <c r="BP22" s="93"/>
      <c r="BQ22" s="93">
        <f>BM22+BN22-BO22+BP22</f>
        <v>0</v>
      </c>
      <c r="BR22" s="93">
        <f t="shared" si="48"/>
        <v>0</v>
      </c>
      <c r="BS22" s="93"/>
      <c r="BT22" s="93"/>
      <c r="BU22" s="93"/>
      <c r="BV22" s="94">
        <f>BR22+BS22-BT22+BU22</f>
        <v>0</v>
      </c>
      <c r="BW22" s="92">
        <f>BQ22</f>
        <v>0</v>
      </c>
      <c r="BX22" s="93"/>
      <c r="BY22" s="93"/>
      <c r="BZ22" s="93"/>
      <c r="CA22" s="93">
        <f t="shared" si="14"/>
        <v>0</v>
      </c>
      <c r="CB22" s="93">
        <f>BV22</f>
        <v>0</v>
      </c>
      <c r="CC22" s="93"/>
      <c r="CD22" s="93"/>
      <c r="CE22" s="93"/>
      <c r="CF22" s="94">
        <f>CB22+CC22-CD22+CE22</f>
        <v>0</v>
      </c>
      <c r="CG22" s="92">
        <f>CA22</f>
        <v>0</v>
      </c>
      <c r="CH22" s="93"/>
      <c r="CI22" s="93"/>
      <c r="CJ22" s="93"/>
      <c r="CK22" s="93">
        <f t="shared" si="18"/>
        <v>0</v>
      </c>
      <c r="CL22" s="93">
        <f t="shared" si="19"/>
        <v>0</v>
      </c>
      <c r="CM22" s="93"/>
      <c r="CN22" s="93"/>
      <c r="CO22" s="93"/>
      <c r="CP22" s="94">
        <f t="shared" si="20"/>
        <v>0</v>
      </c>
      <c r="CQ22" s="92">
        <f t="shared" si="21"/>
        <v>0</v>
      </c>
      <c r="CR22" s="93"/>
      <c r="CS22" s="93"/>
      <c r="CT22" s="93"/>
      <c r="CU22" s="93">
        <f t="shared" si="22"/>
        <v>0</v>
      </c>
      <c r="CV22" s="93">
        <f t="shared" si="23"/>
        <v>0</v>
      </c>
      <c r="CW22" s="93"/>
      <c r="CX22" s="93"/>
      <c r="CY22" s="93"/>
      <c r="CZ22" s="94">
        <f t="shared" si="24"/>
        <v>0</v>
      </c>
      <c r="DA22" s="92">
        <f t="shared" si="25"/>
        <v>0</v>
      </c>
      <c r="DB22" s="93"/>
      <c r="DC22" s="93"/>
      <c r="DD22" s="93"/>
      <c r="DE22" s="93">
        <f t="shared" si="26"/>
        <v>0</v>
      </c>
      <c r="DF22" s="93">
        <f t="shared" si="27"/>
        <v>0</v>
      </c>
      <c r="DG22" s="93"/>
      <c r="DH22" s="93"/>
      <c r="DI22" s="93"/>
      <c r="DJ22" s="94">
        <f t="shared" si="49"/>
        <v>0</v>
      </c>
      <c r="DK22" s="92">
        <f t="shared" si="28"/>
        <v>0</v>
      </c>
      <c r="DL22" s="93">
        <v>446120.36</v>
      </c>
      <c r="DM22" s="93"/>
      <c r="DN22" s="93"/>
      <c r="DO22" s="93">
        <f t="shared" si="29"/>
        <v>446120.36</v>
      </c>
      <c r="DP22" s="93">
        <f t="shared" si="30"/>
        <v>0</v>
      </c>
      <c r="DQ22" s="93"/>
      <c r="DR22" s="93"/>
      <c r="DS22" s="93"/>
      <c r="DT22" s="94">
        <f t="shared" si="31"/>
        <v>0</v>
      </c>
      <c r="DU22" s="92">
        <f t="shared" si="32"/>
        <v>446120.36</v>
      </c>
      <c r="DV22" s="93">
        <v>319803.84000000003</v>
      </c>
      <c r="DW22" s="93"/>
      <c r="DX22" s="93"/>
      <c r="DY22" s="93">
        <f t="shared" si="33"/>
        <v>765924.2</v>
      </c>
      <c r="DZ22" s="93">
        <f t="shared" si="34"/>
        <v>0</v>
      </c>
      <c r="EA22" s="93">
        <v>25639.47</v>
      </c>
      <c r="EB22" s="93"/>
      <c r="EC22" s="93"/>
      <c r="ED22" s="94">
        <f t="shared" si="35"/>
        <v>25639.47</v>
      </c>
      <c r="EE22" s="92"/>
      <c r="EF22" s="93"/>
      <c r="EG22" s="93">
        <f t="shared" si="50"/>
        <v>765924.2</v>
      </c>
      <c r="EH22" s="94">
        <f t="shared" si="51"/>
        <v>25639.47</v>
      </c>
      <c r="EI22" s="92"/>
      <c r="EJ22" s="93"/>
      <c r="EK22" s="93">
        <f t="shared" si="36"/>
        <v>25639.47</v>
      </c>
      <c r="EL22" s="94">
        <f t="shared" si="37"/>
        <v>0</v>
      </c>
      <c r="EM22" s="94" t="s">
        <v>27</v>
      </c>
      <c r="EN22" s="94"/>
      <c r="EO22" s="37"/>
      <c r="EP22" s="21"/>
      <c r="EQ22" s="53"/>
      <c r="ER22" s="85"/>
      <c r="ES22" s="85"/>
    </row>
    <row r="23" spans="1:149" s="16" customFormat="1" x14ac:dyDescent="0.35">
      <c r="A23">
        <v>19</v>
      </c>
      <c r="B23"/>
      <c r="C23" s="32" t="s">
        <v>30</v>
      </c>
      <c r="D23" s="36">
        <v>1508</v>
      </c>
      <c r="E23" s="92"/>
      <c r="F23" s="93"/>
      <c r="G23" s="93"/>
      <c r="H23" s="93"/>
      <c r="I23" s="93">
        <f t="shared" si="0"/>
        <v>0</v>
      </c>
      <c r="J23" s="93"/>
      <c r="K23" s="93"/>
      <c r="L23" s="93"/>
      <c r="M23" s="93"/>
      <c r="N23" s="94">
        <f t="shared" si="1"/>
        <v>0</v>
      </c>
      <c r="O23" s="92">
        <f t="shared" si="2"/>
        <v>0</v>
      </c>
      <c r="P23" s="93"/>
      <c r="Q23" s="93"/>
      <c r="R23" s="93"/>
      <c r="S23" s="93">
        <f t="shared" ref="S23:S33" si="116">O23+P23-Q23+R23</f>
        <v>0</v>
      </c>
      <c r="T23" s="93">
        <f t="shared" si="38"/>
        <v>0</v>
      </c>
      <c r="U23" s="93"/>
      <c r="V23" s="93"/>
      <c r="W23" s="93"/>
      <c r="X23" s="94">
        <f t="shared" ref="X23:X33" si="117">T23+U23-V23+W23</f>
        <v>0</v>
      </c>
      <c r="Y23" s="92">
        <f t="shared" si="39"/>
        <v>0</v>
      </c>
      <c r="Z23" s="93"/>
      <c r="AA23" s="93"/>
      <c r="AB23" s="93"/>
      <c r="AC23" s="93">
        <f t="shared" ref="AC23:AC33" si="118">Y23+Z23-AA23+AB23</f>
        <v>0</v>
      </c>
      <c r="AD23" s="93">
        <f t="shared" si="40"/>
        <v>0</v>
      </c>
      <c r="AE23" s="93"/>
      <c r="AF23" s="93"/>
      <c r="AG23" s="93"/>
      <c r="AH23" s="94">
        <f t="shared" ref="AH23:AH33" si="119">AD23+AE23-AF23+AG23</f>
        <v>0</v>
      </c>
      <c r="AI23" s="92">
        <f t="shared" si="41"/>
        <v>0</v>
      </c>
      <c r="AJ23" s="93"/>
      <c r="AK23" s="93"/>
      <c r="AL23" s="93"/>
      <c r="AM23" s="93">
        <f t="shared" ref="AM23:AM33" si="120">AI23+AJ23-AK23+AL23</f>
        <v>0</v>
      </c>
      <c r="AN23" s="93">
        <f t="shared" si="42"/>
        <v>0</v>
      </c>
      <c r="AO23" s="93"/>
      <c r="AP23" s="93"/>
      <c r="AQ23" s="93"/>
      <c r="AR23" s="94">
        <f t="shared" ref="AR23:AR33" si="121">AN23+AO23-AP23+AQ23</f>
        <v>0</v>
      </c>
      <c r="AS23" s="92">
        <f t="shared" si="43"/>
        <v>0</v>
      </c>
      <c r="AT23" s="93"/>
      <c r="AU23" s="93"/>
      <c r="AV23" s="93"/>
      <c r="AW23" s="93">
        <f t="shared" ref="AW23:AW33" si="122">AS23+AT23-AU23+AV23</f>
        <v>0</v>
      </c>
      <c r="AX23" s="93">
        <f t="shared" si="44"/>
        <v>0</v>
      </c>
      <c r="AY23" s="93"/>
      <c r="AZ23" s="93"/>
      <c r="BA23" s="93"/>
      <c r="BB23" s="94">
        <f t="shared" ref="BB23:BB33" si="123">AX23+AY23-AZ23+BA23</f>
        <v>0</v>
      </c>
      <c r="BC23" s="92">
        <f t="shared" si="45"/>
        <v>0</v>
      </c>
      <c r="BD23" s="93"/>
      <c r="BE23" s="93"/>
      <c r="BF23" s="93"/>
      <c r="BG23" s="93">
        <f t="shared" ref="BG23:BG33" si="124">BC23+BD23-BE23+BF23</f>
        <v>0</v>
      </c>
      <c r="BH23" s="93">
        <f t="shared" si="46"/>
        <v>0</v>
      </c>
      <c r="BI23" s="93"/>
      <c r="BJ23" s="93"/>
      <c r="BK23" s="93"/>
      <c r="BL23" s="94">
        <f t="shared" ref="BL23:BL33" si="125">BH23+BI23-BJ23+BK23</f>
        <v>0</v>
      </c>
      <c r="BM23" s="92">
        <f t="shared" si="47"/>
        <v>0</v>
      </c>
      <c r="BN23" s="93"/>
      <c r="BO23" s="93"/>
      <c r="BP23" s="93"/>
      <c r="BQ23" s="93">
        <f t="shared" si="12"/>
        <v>0</v>
      </c>
      <c r="BR23" s="93">
        <f t="shared" si="48"/>
        <v>0</v>
      </c>
      <c r="BS23" s="93"/>
      <c r="BT23" s="93"/>
      <c r="BU23" s="93"/>
      <c r="BV23" s="94">
        <f t="shared" si="13"/>
        <v>0</v>
      </c>
      <c r="BW23" s="92">
        <f t="shared" ref="BW23:BW35" si="126">BQ23</f>
        <v>0</v>
      </c>
      <c r="BX23" s="93"/>
      <c r="BY23" s="93"/>
      <c r="BZ23" s="93"/>
      <c r="CA23" s="93">
        <f t="shared" si="14"/>
        <v>0</v>
      </c>
      <c r="CB23" s="93">
        <f t="shared" si="15"/>
        <v>0</v>
      </c>
      <c r="CC23" s="93"/>
      <c r="CD23" s="93"/>
      <c r="CE23" s="93"/>
      <c r="CF23" s="94">
        <f t="shared" si="16"/>
        <v>0</v>
      </c>
      <c r="CG23" s="92">
        <f t="shared" si="17"/>
        <v>0</v>
      </c>
      <c r="CH23" s="93"/>
      <c r="CI23" s="93"/>
      <c r="CJ23" s="93"/>
      <c r="CK23" s="93">
        <f t="shared" si="18"/>
        <v>0</v>
      </c>
      <c r="CL23" s="93">
        <f t="shared" si="19"/>
        <v>0</v>
      </c>
      <c r="CM23" s="93"/>
      <c r="CN23" s="93"/>
      <c r="CO23" s="93"/>
      <c r="CP23" s="94">
        <f t="shared" si="20"/>
        <v>0</v>
      </c>
      <c r="CQ23" s="92">
        <f t="shared" si="21"/>
        <v>0</v>
      </c>
      <c r="CR23" s="93"/>
      <c r="CS23" s="93"/>
      <c r="CT23" s="93"/>
      <c r="CU23" s="93">
        <f t="shared" si="22"/>
        <v>0</v>
      </c>
      <c r="CV23" s="93">
        <f t="shared" si="23"/>
        <v>0</v>
      </c>
      <c r="CW23" s="93"/>
      <c r="CX23" s="93"/>
      <c r="CY23" s="93"/>
      <c r="CZ23" s="94">
        <f t="shared" si="24"/>
        <v>0</v>
      </c>
      <c r="DA23" s="92">
        <f t="shared" si="25"/>
        <v>0</v>
      </c>
      <c r="DB23" s="93"/>
      <c r="DC23" s="93"/>
      <c r="DD23" s="93"/>
      <c r="DE23" s="93">
        <f t="shared" si="26"/>
        <v>0</v>
      </c>
      <c r="DF23" s="93">
        <f t="shared" si="27"/>
        <v>0</v>
      </c>
      <c r="DG23" s="93"/>
      <c r="DH23" s="93"/>
      <c r="DI23" s="93"/>
      <c r="DJ23" s="94">
        <f t="shared" si="49"/>
        <v>0</v>
      </c>
      <c r="DK23" s="92">
        <f t="shared" si="28"/>
        <v>0</v>
      </c>
      <c r="DL23" s="93"/>
      <c r="DM23" s="93"/>
      <c r="DN23" s="93"/>
      <c r="DO23" s="93">
        <f t="shared" si="29"/>
        <v>0</v>
      </c>
      <c r="DP23" s="93">
        <f t="shared" si="30"/>
        <v>0</v>
      </c>
      <c r="DQ23" s="93"/>
      <c r="DR23" s="93"/>
      <c r="DS23" s="93"/>
      <c r="DT23" s="94">
        <f t="shared" si="31"/>
        <v>0</v>
      </c>
      <c r="DU23" s="92">
        <f t="shared" si="32"/>
        <v>0</v>
      </c>
      <c r="DV23" s="93">
        <v>177000</v>
      </c>
      <c r="DW23" s="93"/>
      <c r="DX23" s="93"/>
      <c r="DY23" s="93">
        <f t="shared" si="33"/>
        <v>177000</v>
      </c>
      <c r="DZ23" s="93">
        <f t="shared" si="34"/>
        <v>0</v>
      </c>
      <c r="EA23" s="93">
        <v>3349.09</v>
      </c>
      <c r="EB23" s="93"/>
      <c r="EC23" s="93"/>
      <c r="ED23" s="94">
        <f t="shared" si="35"/>
        <v>3349.09</v>
      </c>
      <c r="EE23" s="92"/>
      <c r="EF23" s="93"/>
      <c r="EG23" s="93">
        <f t="shared" si="50"/>
        <v>177000</v>
      </c>
      <c r="EH23" s="94">
        <f t="shared" si="51"/>
        <v>3349.09</v>
      </c>
      <c r="EI23" s="92"/>
      <c r="EJ23" s="153">
        <v>5584.38</v>
      </c>
      <c r="EK23" s="93">
        <f t="shared" si="36"/>
        <v>8933.4700000000012</v>
      </c>
      <c r="EL23" s="94">
        <f t="shared" si="37"/>
        <v>185933.47</v>
      </c>
      <c r="EM23" s="94" t="s">
        <v>24</v>
      </c>
      <c r="EN23" s="94"/>
      <c r="EO23" s="37"/>
      <c r="EP23" s="21"/>
      <c r="EQ23" s="53"/>
      <c r="ER23" s="85"/>
      <c r="ES23" s="85"/>
    </row>
    <row r="24" spans="1:149" s="16" customFormat="1" x14ac:dyDescent="0.35">
      <c r="A24">
        <v>20</v>
      </c>
      <c r="B24"/>
      <c r="C24" s="32" t="s">
        <v>31</v>
      </c>
      <c r="D24" s="36">
        <v>1508</v>
      </c>
      <c r="E24" s="92"/>
      <c r="F24" s="93"/>
      <c r="G24" s="93"/>
      <c r="H24" s="93"/>
      <c r="I24" s="93">
        <f t="shared" si="0"/>
        <v>0</v>
      </c>
      <c r="J24" s="93"/>
      <c r="K24" s="93"/>
      <c r="L24" s="93"/>
      <c r="M24" s="93"/>
      <c r="N24" s="94">
        <f t="shared" si="1"/>
        <v>0</v>
      </c>
      <c r="O24" s="92">
        <f t="shared" si="2"/>
        <v>0</v>
      </c>
      <c r="P24" s="93"/>
      <c r="Q24" s="93"/>
      <c r="R24" s="93"/>
      <c r="S24" s="93">
        <f t="shared" si="116"/>
        <v>0</v>
      </c>
      <c r="T24" s="93">
        <f t="shared" si="38"/>
        <v>0</v>
      </c>
      <c r="U24" s="93"/>
      <c r="V24" s="93"/>
      <c r="W24" s="93"/>
      <c r="X24" s="94">
        <f t="shared" si="117"/>
        <v>0</v>
      </c>
      <c r="Y24" s="92">
        <f t="shared" si="39"/>
        <v>0</v>
      </c>
      <c r="Z24" s="93"/>
      <c r="AA24" s="93"/>
      <c r="AB24" s="93"/>
      <c r="AC24" s="93">
        <f t="shared" si="118"/>
        <v>0</v>
      </c>
      <c r="AD24" s="93">
        <f t="shared" si="40"/>
        <v>0</v>
      </c>
      <c r="AE24" s="93"/>
      <c r="AF24" s="93"/>
      <c r="AG24" s="93"/>
      <c r="AH24" s="94">
        <f t="shared" si="119"/>
        <v>0</v>
      </c>
      <c r="AI24" s="92">
        <f t="shared" si="41"/>
        <v>0</v>
      </c>
      <c r="AJ24" s="93"/>
      <c r="AK24" s="93"/>
      <c r="AL24" s="93"/>
      <c r="AM24" s="93">
        <f t="shared" si="120"/>
        <v>0</v>
      </c>
      <c r="AN24" s="93">
        <f t="shared" si="42"/>
        <v>0</v>
      </c>
      <c r="AO24" s="93"/>
      <c r="AP24" s="93"/>
      <c r="AQ24" s="93"/>
      <c r="AR24" s="94">
        <f t="shared" si="121"/>
        <v>0</v>
      </c>
      <c r="AS24" s="92">
        <f t="shared" si="43"/>
        <v>0</v>
      </c>
      <c r="AT24" s="93"/>
      <c r="AU24" s="93"/>
      <c r="AV24" s="93"/>
      <c r="AW24" s="93">
        <f t="shared" si="122"/>
        <v>0</v>
      </c>
      <c r="AX24" s="93">
        <f t="shared" si="44"/>
        <v>0</v>
      </c>
      <c r="AY24" s="93"/>
      <c r="AZ24" s="93"/>
      <c r="BA24" s="93"/>
      <c r="BB24" s="94">
        <f t="shared" si="123"/>
        <v>0</v>
      </c>
      <c r="BC24" s="92">
        <f t="shared" si="45"/>
        <v>0</v>
      </c>
      <c r="BD24" s="93"/>
      <c r="BE24" s="93"/>
      <c r="BF24" s="93"/>
      <c r="BG24" s="93">
        <f t="shared" si="124"/>
        <v>0</v>
      </c>
      <c r="BH24" s="93">
        <f t="shared" si="46"/>
        <v>0</v>
      </c>
      <c r="BI24" s="93"/>
      <c r="BJ24" s="93"/>
      <c r="BK24" s="93"/>
      <c r="BL24" s="94">
        <f t="shared" si="125"/>
        <v>0</v>
      </c>
      <c r="BM24" s="92">
        <f t="shared" si="47"/>
        <v>0</v>
      </c>
      <c r="BN24" s="93">
        <v>-41532.959999999999</v>
      </c>
      <c r="BO24" s="93"/>
      <c r="BP24" s="93"/>
      <c r="BQ24" s="93">
        <f t="shared" si="12"/>
        <v>-41532.959999999999</v>
      </c>
      <c r="BR24" s="93">
        <f t="shared" si="48"/>
        <v>0</v>
      </c>
      <c r="BS24" s="93">
        <v>-112.66</v>
      </c>
      <c r="BT24" s="93"/>
      <c r="BU24" s="93"/>
      <c r="BV24" s="94">
        <f t="shared" si="13"/>
        <v>-112.66</v>
      </c>
      <c r="BW24" s="92">
        <f t="shared" si="126"/>
        <v>-41532.959999999999</v>
      </c>
      <c r="BX24" s="93">
        <v>-478392.68</v>
      </c>
      <c r="BY24" s="93"/>
      <c r="BZ24" s="93"/>
      <c r="CA24" s="93">
        <f t="shared" si="14"/>
        <v>-519925.64</v>
      </c>
      <c r="CB24" s="93">
        <f t="shared" si="15"/>
        <v>-112.66</v>
      </c>
      <c r="CC24" s="93">
        <v>-5746.26</v>
      </c>
      <c r="CD24" s="93"/>
      <c r="CE24" s="93"/>
      <c r="CF24" s="94">
        <f t="shared" si="16"/>
        <v>-5858.92</v>
      </c>
      <c r="CG24" s="92">
        <f t="shared" si="17"/>
        <v>-519925.64</v>
      </c>
      <c r="CH24" s="93">
        <v>-522484.56</v>
      </c>
      <c r="CI24" s="93"/>
      <c r="CJ24" s="93"/>
      <c r="CK24" s="93">
        <f t="shared" si="18"/>
        <v>-1042410.2</v>
      </c>
      <c r="CL24" s="93">
        <f t="shared" si="19"/>
        <v>-5858.92</v>
      </c>
      <c r="CM24" s="93">
        <v>-9332.4599999999991</v>
      </c>
      <c r="CN24" s="93"/>
      <c r="CO24" s="93"/>
      <c r="CP24" s="94">
        <f t="shared" si="20"/>
        <v>-15191.38</v>
      </c>
      <c r="CQ24" s="92">
        <f t="shared" si="21"/>
        <v>-1042410.2</v>
      </c>
      <c r="CR24" s="93">
        <v>-541378.68000000005</v>
      </c>
      <c r="CS24" s="93"/>
      <c r="CT24" s="93"/>
      <c r="CU24" s="93">
        <f t="shared" si="22"/>
        <v>-1583788.88</v>
      </c>
      <c r="CV24" s="93">
        <f t="shared" si="23"/>
        <v>-15191.38</v>
      </c>
      <c r="CW24" s="93">
        <v>-7329.16</v>
      </c>
      <c r="CX24" s="93"/>
      <c r="CY24" s="93"/>
      <c r="CZ24" s="94">
        <f t="shared" si="24"/>
        <v>-22520.54</v>
      </c>
      <c r="DA24" s="92">
        <f t="shared" si="25"/>
        <v>-1583788.88</v>
      </c>
      <c r="DB24" s="93">
        <v>-301095.36</v>
      </c>
      <c r="DC24" s="93"/>
      <c r="DD24" s="93"/>
      <c r="DE24" s="93">
        <f t="shared" si="26"/>
        <v>-1884884.2399999998</v>
      </c>
      <c r="DF24" s="93">
        <f t="shared" si="27"/>
        <v>-22520.54</v>
      </c>
      <c r="DG24" s="93">
        <v>-34028.21</v>
      </c>
      <c r="DH24" s="93"/>
      <c r="DI24" s="93"/>
      <c r="DJ24" s="94">
        <f t="shared" si="49"/>
        <v>-56548.75</v>
      </c>
      <c r="DK24" s="92">
        <f t="shared" si="28"/>
        <v>-1884884.2399999998</v>
      </c>
      <c r="DL24" s="93">
        <v>-334852.56</v>
      </c>
      <c r="DM24" s="93"/>
      <c r="DN24" s="93"/>
      <c r="DO24" s="93">
        <f t="shared" ref="DO24:DO31" si="127">DK24+DL24-DM24+SUM(DN24:DN24)</f>
        <v>-2219736.7999999998</v>
      </c>
      <c r="DP24" s="93">
        <f t="shared" ref="DP24:DP39" si="128">DJ24</f>
        <v>-56548.75</v>
      </c>
      <c r="DQ24" s="93">
        <v>-103073.77</v>
      </c>
      <c r="DR24" s="93"/>
      <c r="DS24" s="93"/>
      <c r="DT24" s="94">
        <f t="shared" si="31"/>
        <v>-159622.52000000002</v>
      </c>
      <c r="DU24" s="92">
        <f t="shared" si="32"/>
        <v>-2219736.7999999998</v>
      </c>
      <c r="DV24" s="93">
        <v>-369537.91</v>
      </c>
      <c r="DW24" s="93"/>
      <c r="DX24" s="93"/>
      <c r="DY24" s="93">
        <f t="shared" ref="DY24:DY31" si="129">DU24+DV24-DW24+SUM(DX24:DX24)</f>
        <v>-2589274.71</v>
      </c>
      <c r="DZ24" s="93">
        <f t="shared" ref="DZ24:DZ40" si="130">DT24</f>
        <v>-159622.52000000002</v>
      </c>
      <c r="EA24" s="93">
        <v>-122755.6</v>
      </c>
      <c r="EB24" s="93"/>
      <c r="EC24" s="93"/>
      <c r="ED24" s="94">
        <f t="shared" si="35"/>
        <v>-282378.12</v>
      </c>
      <c r="EE24" s="92"/>
      <c r="EF24" s="93"/>
      <c r="EG24" s="93">
        <f t="shared" si="50"/>
        <v>-2589274.71</v>
      </c>
      <c r="EH24" s="94">
        <f t="shared" si="51"/>
        <v>-282378.12</v>
      </c>
      <c r="EI24" s="92"/>
      <c r="EJ24" s="153">
        <v>-81691.59</v>
      </c>
      <c r="EK24" s="93">
        <f t="shared" si="36"/>
        <v>-364069.70999999996</v>
      </c>
      <c r="EL24" s="94">
        <f t="shared" si="37"/>
        <v>-2953344.42</v>
      </c>
      <c r="EM24" s="94" t="s">
        <v>24</v>
      </c>
      <c r="EN24" s="94"/>
      <c r="EO24" s="37"/>
      <c r="EP24" s="21"/>
      <c r="EQ24" s="53"/>
      <c r="ER24" s="85"/>
      <c r="ES24" s="85"/>
    </row>
    <row r="25" spans="1:149" s="16" customFormat="1" x14ac:dyDescent="0.35">
      <c r="A25">
        <v>21</v>
      </c>
      <c r="B25"/>
      <c r="C25" s="32" t="s">
        <v>32</v>
      </c>
      <c r="D25" s="36">
        <v>1508</v>
      </c>
      <c r="E25" s="92"/>
      <c r="F25" s="93"/>
      <c r="G25" s="93"/>
      <c r="H25" s="93"/>
      <c r="I25" s="93">
        <f t="shared" si="0"/>
        <v>0</v>
      </c>
      <c r="J25" s="93"/>
      <c r="K25" s="93"/>
      <c r="L25" s="93"/>
      <c r="M25" s="93"/>
      <c r="N25" s="94">
        <f t="shared" si="1"/>
        <v>0</v>
      </c>
      <c r="O25" s="92">
        <f t="shared" si="2"/>
        <v>0</v>
      </c>
      <c r="P25" s="93"/>
      <c r="Q25" s="93"/>
      <c r="R25" s="93"/>
      <c r="S25" s="93">
        <f t="shared" si="116"/>
        <v>0</v>
      </c>
      <c r="T25" s="93">
        <f t="shared" si="38"/>
        <v>0</v>
      </c>
      <c r="U25" s="93"/>
      <c r="V25" s="93"/>
      <c r="W25" s="93"/>
      <c r="X25" s="94">
        <f t="shared" si="117"/>
        <v>0</v>
      </c>
      <c r="Y25" s="92">
        <f t="shared" si="39"/>
        <v>0</v>
      </c>
      <c r="Z25" s="93"/>
      <c r="AA25" s="93"/>
      <c r="AB25" s="93"/>
      <c r="AC25" s="93">
        <f t="shared" si="118"/>
        <v>0</v>
      </c>
      <c r="AD25" s="93">
        <f t="shared" si="40"/>
        <v>0</v>
      </c>
      <c r="AE25" s="93"/>
      <c r="AF25" s="93"/>
      <c r="AG25" s="93"/>
      <c r="AH25" s="94">
        <f t="shared" si="119"/>
        <v>0</v>
      </c>
      <c r="AI25" s="92">
        <f t="shared" si="41"/>
        <v>0</v>
      </c>
      <c r="AJ25" s="93"/>
      <c r="AK25" s="93"/>
      <c r="AL25" s="93"/>
      <c r="AM25" s="93">
        <f t="shared" si="120"/>
        <v>0</v>
      </c>
      <c r="AN25" s="93">
        <f t="shared" si="42"/>
        <v>0</v>
      </c>
      <c r="AO25" s="93"/>
      <c r="AP25" s="93"/>
      <c r="AQ25" s="93"/>
      <c r="AR25" s="94">
        <f t="shared" si="121"/>
        <v>0</v>
      </c>
      <c r="AS25" s="92">
        <f t="shared" si="43"/>
        <v>0</v>
      </c>
      <c r="AT25" s="93"/>
      <c r="AU25" s="93"/>
      <c r="AV25" s="93"/>
      <c r="AW25" s="93">
        <f t="shared" si="122"/>
        <v>0</v>
      </c>
      <c r="AX25" s="93">
        <f t="shared" si="44"/>
        <v>0</v>
      </c>
      <c r="AY25" s="93"/>
      <c r="AZ25" s="93"/>
      <c r="BA25" s="93"/>
      <c r="BB25" s="94">
        <f t="shared" si="123"/>
        <v>0</v>
      </c>
      <c r="BC25" s="92">
        <f t="shared" si="45"/>
        <v>0</v>
      </c>
      <c r="BD25" s="93"/>
      <c r="BE25" s="93"/>
      <c r="BF25" s="93"/>
      <c r="BG25" s="93">
        <f t="shared" si="124"/>
        <v>0</v>
      </c>
      <c r="BH25" s="93">
        <f t="shared" si="46"/>
        <v>0</v>
      </c>
      <c r="BI25" s="93"/>
      <c r="BJ25" s="93"/>
      <c r="BK25" s="93"/>
      <c r="BL25" s="94">
        <f t="shared" si="125"/>
        <v>0</v>
      </c>
      <c r="BM25" s="92">
        <f t="shared" si="47"/>
        <v>0</v>
      </c>
      <c r="BN25" s="93">
        <v>-10494.58</v>
      </c>
      <c r="BO25" s="93"/>
      <c r="BP25" s="93"/>
      <c r="BQ25" s="93">
        <f t="shared" si="12"/>
        <v>-10494.58</v>
      </c>
      <c r="BR25" s="93">
        <f t="shared" si="48"/>
        <v>0</v>
      </c>
      <c r="BS25" s="93"/>
      <c r="BT25" s="93"/>
      <c r="BU25" s="93"/>
      <c r="BV25" s="94">
        <f t="shared" si="13"/>
        <v>0</v>
      </c>
      <c r="BW25" s="92">
        <f t="shared" si="126"/>
        <v>-10494.58</v>
      </c>
      <c r="BX25" s="93">
        <v>-118908.67</v>
      </c>
      <c r="BY25" s="93"/>
      <c r="BZ25" s="93"/>
      <c r="CA25" s="93">
        <f t="shared" si="14"/>
        <v>-129403.25</v>
      </c>
      <c r="CB25" s="93">
        <f t="shared" si="15"/>
        <v>0</v>
      </c>
      <c r="CC25" s="93">
        <v>-1314</v>
      </c>
      <c r="CD25" s="93"/>
      <c r="CE25" s="93"/>
      <c r="CF25" s="94">
        <f t="shared" si="16"/>
        <v>-1314</v>
      </c>
      <c r="CG25" s="92">
        <f t="shared" si="17"/>
        <v>-129403.25</v>
      </c>
      <c r="CH25" s="93">
        <v>-125501.88</v>
      </c>
      <c r="CI25" s="93"/>
      <c r="CJ25" s="93"/>
      <c r="CK25" s="93">
        <f t="shared" si="18"/>
        <v>-254905.13</v>
      </c>
      <c r="CL25" s="93">
        <f t="shared" si="19"/>
        <v>-1314</v>
      </c>
      <c r="CM25" s="93">
        <v>-2316</v>
      </c>
      <c r="CN25" s="93"/>
      <c r="CO25" s="93"/>
      <c r="CP25" s="94">
        <f t="shared" si="20"/>
        <v>-3630</v>
      </c>
      <c r="CQ25" s="92">
        <f t="shared" si="21"/>
        <v>-254905.13</v>
      </c>
      <c r="CR25" s="93">
        <v>-123663.48</v>
      </c>
      <c r="CS25" s="93"/>
      <c r="CT25" s="93"/>
      <c r="CU25" s="93">
        <f t="shared" si="22"/>
        <v>-378568.61</v>
      </c>
      <c r="CV25" s="93">
        <f t="shared" si="23"/>
        <v>-3630</v>
      </c>
      <c r="CW25" s="93">
        <v>-1779</v>
      </c>
      <c r="CX25" s="93"/>
      <c r="CY25" s="93"/>
      <c r="CZ25" s="94">
        <f t="shared" si="24"/>
        <v>-5409</v>
      </c>
      <c r="DA25" s="92">
        <f t="shared" si="25"/>
        <v>-378568.61</v>
      </c>
      <c r="DB25" s="93">
        <v>-71087.100000000006</v>
      </c>
      <c r="DC25" s="93"/>
      <c r="DD25" s="93"/>
      <c r="DE25" s="93">
        <f t="shared" si="26"/>
        <v>-449655.70999999996</v>
      </c>
      <c r="DF25" s="93">
        <f t="shared" si="27"/>
        <v>-5409</v>
      </c>
      <c r="DG25" s="93">
        <v>-8122</v>
      </c>
      <c r="DH25" s="93"/>
      <c r="DI25" s="93"/>
      <c r="DJ25" s="94">
        <f t="shared" si="49"/>
        <v>-13531</v>
      </c>
      <c r="DK25" s="92">
        <f t="shared" si="28"/>
        <v>-449655.70999999996</v>
      </c>
      <c r="DL25" s="93">
        <v>-77639.520000000004</v>
      </c>
      <c r="DM25" s="93"/>
      <c r="DN25" s="93"/>
      <c r="DO25" s="93">
        <f t="shared" si="127"/>
        <v>-527295.23</v>
      </c>
      <c r="DP25" s="93">
        <f t="shared" si="128"/>
        <v>-13531</v>
      </c>
      <c r="DQ25" s="93">
        <v>-24535</v>
      </c>
      <c r="DR25" s="93"/>
      <c r="DS25" s="93"/>
      <c r="DT25" s="94">
        <f t="shared" si="31"/>
        <v>-38066</v>
      </c>
      <c r="DU25" s="92">
        <f t="shared" si="32"/>
        <v>-527295.23</v>
      </c>
      <c r="DV25" s="93">
        <v>-88459.839999999997</v>
      </c>
      <c r="DW25" s="93"/>
      <c r="DX25" s="93"/>
      <c r="DY25" s="93">
        <f t="shared" si="129"/>
        <v>-615755.06999999995</v>
      </c>
      <c r="DZ25" s="93">
        <f t="shared" si="130"/>
        <v>-38066</v>
      </c>
      <c r="EA25" s="93">
        <v>-29122</v>
      </c>
      <c r="EB25" s="93"/>
      <c r="EC25" s="93"/>
      <c r="ED25" s="94">
        <f t="shared" si="35"/>
        <v>-67188</v>
      </c>
      <c r="EE25" s="92"/>
      <c r="EF25" s="93"/>
      <c r="EG25" s="93">
        <f t="shared" si="50"/>
        <v>-615755.06999999995</v>
      </c>
      <c r="EH25" s="94">
        <f t="shared" si="51"/>
        <v>-67188</v>
      </c>
      <c r="EI25" s="92"/>
      <c r="EJ25" s="93">
        <v>-19427.07</v>
      </c>
      <c r="EK25" s="93">
        <f t="shared" si="36"/>
        <v>-86615.07</v>
      </c>
      <c r="EL25" s="94">
        <f t="shared" si="37"/>
        <v>-702370.1399999999</v>
      </c>
      <c r="EM25" s="94" t="s">
        <v>24</v>
      </c>
      <c r="EN25" s="94"/>
      <c r="EO25" s="37"/>
      <c r="EP25" s="21"/>
      <c r="EQ25" s="53"/>
      <c r="ER25" s="85"/>
      <c r="ES25" s="85"/>
    </row>
    <row r="26" spans="1:149" s="16" customFormat="1" x14ac:dyDescent="0.35">
      <c r="A26">
        <v>22</v>
      </c>
      <c r="B26"/>
      <c r="C26" s="32" t="s">
        <v>33</v>
      </c>
      <c r="D26" s="36">
        <v>1508</v>
      </c>
      <c r="E26" s="92"/>
      <c r="F26" s="93"/>
      <c r="G26" s="93"/>
      <c r="H26" s="93"/>
      <c r="I26" s="93">
        <f t="shared" si="0"/>
        <v>0</v>
      </c>
      <c r="J26" s="93"/>
      <c r="K26" s="93"/>
      <c r="L26" s="93"/>
      <c r="M26" s="93"/>
      <c r="N26" s="94">
        <f t="shared" si="1"/>
        <v>0</v>
      </c>
      <c r="O26" s="92">
        <f t="shared" si="2"/>
        <v>0</v>
      </c>
      <c r="P26" s="93"/>
      <c r="Q26" s="93"/>
      <c r="R26" s="93"/>
      <c r="S26" s="93">
        <f t="shared" si="116"/>
        <v>0</v>
      </c>
      <c r="T26" s="93">
        <f t="shared" si="38"/>
        <v>0</v>
      </c>
      <c r="U26" s="93"/>
      <c r="V26" s="93"/>
      <c r="W26" s="93"/>
      <c r="X26" s="94">
        <f t="shared" si="117"/>
        <v>0</v>
      </c>
      <c r="Y26" s="92">
        <f t="shared" si="39"/>
        <v>0</v>
      </c>
      <c r="Z26" s="93"/>
      <c r="AA26" s="93"/>
      <c r="AB26" s="93"/>
      <c r="AC26" s="93">
        <f t="shared" si="118"/>
        <v>0</v>
      </c>
      <c r="AD26" s="93">
        <f t="shared" si="40"/>
        <v>0</v>
      </c>
      <c r="AE26" s="93"/>
      <c r="AF26" s="93"/>
      <c r="AG26" s="93"/>
      <c r="AH26" s="94">
        <f t="shared" si="119"/>
        <v>0</v>
      </c>
      <c r="AI26" s="92">
        <f t="shared" si="41"/>
        <v>0</v>
      </c>
      <c r="AJ26" s="93"/>
      <c r="AK26" s="93"/>
      <c r="AL26" s="93"/>
      <c r="AM26" s="93">
        <f t="shared" si="120"/>
        <v>0</v>
      </c>
      <c r="AN26" s="93">
        <f t="shared" si="42"/>
        <v>0</v>
      </c>
      <c r="AO26" s="93"/>
      <c r="AP26" s="93"/>
      <c r="AQ26" s="93"/>
      <c r="AR26" s="94">
        <f t="shared" si="121"/>
        <v>0</v>
      </c>
      <c r="AS26" s="92">
        <f t="shared" si="43"/>
        <v>0</v>
      </c>
      <c r="AT26" s="93">
        <v>163581</v>
      </c>
      <c r="AU26" s="93"/>
      <c r="AV26" s="93"/>
      <c r="AW26" s="93">
        <f t="shared" si="122"/>
        <v>163581</v>
      </c>
      <c r="AX26" s="93">
        <f t="shared" si="44"/>
        <v>0</v>
      </c>
      <c r="AY26" s="93">
        <v>281.58</v>
      </c>
      <c r="AZ26" s="93"/>
      <c r="BA26" s="93"/>
      <c r="BB26" s="94">
        <f t="shared" si="123"/>
        <v>281.58</v>
      </c>
      <c r="BC26" s="92">
        <f t="shared" si="45"/>
        <v>163581</v>
      </c>
      <c r="BD26" s="93">
        <v>175918.94</v>
      </c>
      <c r="BE26" s="93"/>
      <c r="BF26" s="93"/>
      <c r="BG26" s="93">
        <f t="shared" si="124"/>
        <v>339499.94</v>
      </c>
      <c r="BH26" s="93">
        <f t="shared" si="46"/>
        <v>281.58</v>
      </c>
      <c r="BI26" s="93">
        <v>2857.95</v>
      </c>
      <c r="BJ26" s="93"/>
      <c r="BK26" s="93"/>
      <c r="BL26" s="94">
        <f t="shared" si="125"/>
        <v>3139.5299999999997</v>
      </c>
      <c r="BM26" s="92">
        <f t="shared" si="47"/>
        <v>339499.94</v>
      </c>
      <c r="BN26" s="93">
        <v>177478.71</v>
      </c>
      <c r="BO26" s="93"/>
      <c r="BP26" s="93"/>
      <c r="BQ26" s="93">
        <f t="shared" si="12"/>
        <v>516978.65</v>
      </c>
      <c r="BR26" s="93">
        <f t="shared" si="48"/>
        <v>3139.5299999999997</v>
      </c>
      <c r="BS26" s="93">
        <v>7803.13</v>
      </c>
      <c r="BT26" s="93"/>
      <c r="BU26" s="93"/>
      <c r="BV26" s="94">
        <f t="shared" si="13"/>
        <v>10942.66</v>
      </c>
      <c r="BW26" s="92">
        <f t="shared" si="126"/>
        <v>516978.65</v>
      </c>
      <c r="BX26" s="93">
        <v>176699.56</v>
      </c>
      <c r="BY26" s="93"/>
      <c r="BZ26" s="93"/>
      <c r="CA26" s="93">
        <f t="shared" si="14"/>
        <v>693678.21</v>
      </c>
      <c r="CB26" s="93">
        <f t="shared" si="15"/>
        <v>10942.66</v>
      </c>
      <c r="CC26" s="93">
        <v>12997.2</v>
      </c>
      <c r="CD26" s="93"/>
      <c r="CE26" s="93"/>
      <c r="CF26" s="94">
        <f t="shared" si="16"/>
        <v>23939.86</v>
      </c>
      <c r="CG26" s="92">
        <f t="shared" si="17"/>
        <v>693678.21</v>
      </c>
      <c r="CH26" s="93">
        <v>175968.41</v>
      </c>
      <c r="CI26" s="93"/>
      <c r="CJ26" s="93"/>
      <c r="CK26" s="93">
        <f t="shared" si="18"/>
        <v>869646.62</v>
      </c>
      <c r="CL26" s="93">
        <f t="shared" si="19"/>
        <v>23939.86</v>
      </c>
      <c r="CM26" s="93">
        <v>10145.959999999999</v>
      </c>
      <c r="CN26" s="93"/>
      <c r="CO26" s="93"/>
      <c r="CP26" s="94">
        <f t="shared" si="20"/>
        <v>34085.82</v>
      </c>
      <c r="CQ26" s="92">
        <f t="shared" si="21"/>
        <v>869646.62</v>
      </c>
      <c r="CR26" s="93">
        <v>159297.39000000001</v>
      </c>
      <c r="CS26" s="93"/>
      <c r="CT26" s="93"/>
      <c r="CU26" s="93">
        <f t="shared" si="22"/>
        <v>1028944.01</v>
      </c>
      <c r="CV26" s="93">
        <f t="shared" si="23"/>
        <v>34085.82</v>
      </c>
      <c r="CW26" s="93">
        <v>5380.75</v>
      </c>
      <c r="CX26" s="93"/>
      <c r="CY26" s="93"/>
      <c r="CZ26" s="94">
        <f t="shared" si="24"/>
        <v>39466.57</v>
      </c>
      <c r="DA26" s="92">
        <f t="shared" si="25"/>
        <v>1028944.01</v>
      </c>
      <c r="DB26" s="93">
        <v>207656.88</v>
      </c>
      <c r="DC26" s="93"/>
      <c r="DD26" s="93"/>
      <c r="DE26" s="93">
        <f t="shared" si="26"/>
        <v>1236600.8900000001</v>
      </c>
      <c r="DF26" s="93">
        <f t="shared" si="27"/>
        <v>39466.57</v>
      </c>
      <c r="DG26" s="93">
        <v>22172.05</v>
      </c>
      <c r="DH26" s="93"/>
      <c r="DI26" s="93"/>
      <c r="DJ26" s="94">
        <f t="shared" si="49"/>
        <v>61638.619999999995</v>
      </c>
      <c r="DK26" s="92">
        <f t="shared" si="28"/>
        <v>1236600.8900000001</v>
      </c>
      <c r="DL26" s="93">
        <v>269821.23</v>
      </c>
      <c r="DM26" s="93"/>
      <c r="DN26" s="93"/>
      <c r="DO26" s="93">
        <f t="shared" si="127"/>
        <v>1506422.12</v>
      </c>
      <c r="DP26" s="93">
        <f t="shared" si="128"/>
        <v>61638.619999999995</v>
      </c>
      <c r="DQ26" s="93">
        <v>68511.03</v>
      </c>
      <c r="DR26" s="93"/>
      <c r="DS26" s="93"/>
      <c r="DT26" s="94">
        <f t="shared" si="31"/>
        <v>130149.65</v>
      </c>
      <c r="DU26" s="92">
        <f t="shared" si="32"/>
        <v>1506422.12</v>
      </c>
      <c r="DV26" s="93">
        <v>574873.55000000005</v>
      </c>
      <c r="DW26" s="93"/>
      <c r="DX26" s="93">
        <v>-295632</v>
      </c>
      <c r="DY26" s="93">
        <f t="shared" si="129"/>
        <v>1785663.6700000002</v>
      </c>
      <c r="DZ26" s="93">
        <f t="shared" si="130"/>
        <v>130149.65</v>
      </c>
      <c r="EA26" s="93">
        <v>85171.6</v>
      </c>
      <c r="EB26" s="93"/>
      <c r="EC26" s="93">
        <v>-25916</v>
      </c>
      <c r="ED26" s="94">
        <f t="shared" si="35"/>
        <v>189405.25</v>
      </c>
      <c r="EE26" s="92"/>
      <c r="EF26" s="93"/>
      <c r="EG26" s="93">
        <f t="shared" si="50"/>
        <v>1785663.6700000002</v>
      </c>
      <c r="EH26" s="94">
        <f t="shared" si="51"/>
        <v>189405.25</v>
      </c>
      <c r="EI26" s="92"/>
      <c r="EJ26" s="153">
        <v>56337.66</v>
      </c>
      <c r="EK26" s="93">
        <f t="shared" si="36"/>
        <v>245742.91</v>
      </c>
      <c r="EL26" s="94">
        <f t="shared" si="37"/>
        <v>2031406.58</v>
      </c>
      <c r="EM26" s="94" t="s">
        <v>24</v>
      </c>
      <c r="EN26" s="94"/>
      <c r="EO26" s="37"/>
      <c r="EP26" s="21"/>
      <c r="EQ26" s="53"/>
      <c r="ER26" s="85"/>
      <c r="ES26" s="85"/>
    </row>
    <row r="27" spans="1:149" s="16" customFormat="1" x14ac:dyDescent="0.35">
      <c r="A27">
        <v>23</v>
      </c>
      <c r="B27"/>
      <c r="C27" s="32" t="s">
        <v>34</v>
      </c>
      <c r="D27" s="36">
        <v>1508</v>
      </c>
      <c r="E27" s="92"/>
      <c r="F27" s="93"/>
      <c r="G27" s="93"/>
      <c r="H27" s="93"/>
      <c r="I27" s="93">
        <f t="shared" si="0"/>
        <v>0</v>
      </c>
      <c r="J27" s="93"/>
      <c r="K27" s="93"/>
      <c r="L27" s="93"/>
      <c r="M27" s="93"/>
      <c r="N27" s="94">
        <f t="shared" si="1"/>
        <v>0</v>
      </c>
      <c r="O27" s="92">
        <f t="shared" si="2"/>
        <v>0</v>
      </c>
      <c r="P27" s="93"/>
      <c r="Q27" s="93"/>
      <c r="R27" s="93"/>
      <c r="S27" s="93">
        <f t="shared" si="116"/>
        <v>0</v>
      </c>
      <c r="T27" s="93">
        <f t="shared" si="38"/>
        <v>0</v>
      </c>
      <c r="U27" s="93"/>
      <c r="V27" s="93"/>
      <c r="W27" s="93"/>
      <c r="X27" s="94">
        <f t="shared" si="117"/>
        <v>0</v>
      </c>
      <c r="Y27" s="92">
        <f t="shared" si="39"/>
        <v>0</v>
      </c>
      <c r="Z27" s="93"/>
      <c r="AA27" s="93"/>
      <c r="AB27" s="93"/>
      <c r="AC27" s="93">
        <f t="shared" si="118"/>
        <v>0</v>
      </c>
      <c r="AD27" s="93">
        <f t="shared" si="40"/>
        <v>0</v>
      </c>
      <c r="AE27" s="93"/>
      <c r="AF27" s="93"/>
      <c r="AG27" s="93"/>
      <c r="AH27" s="94">
        <f t="shared" si="119"/>
        <v>0</v>
      </c>
      <c r="AI27" s="92">
        <f t="shared" si="41"/>
        <v>0</v>
      </c>
      <c r="AJ27" s="93"/>
      <c r="AK27" s="93"/>
      <c r="AL27" s="93"/>
      <c r="AM27" s="93">
        <f t="shared" si="120"/>
        <v>0</v>
      </c>
      <c r="AN27" s="93">
        <f t="shared" si="42"/>
        <v>0</v>
      </c>
      <c r="AO27" s="93"/>
      <c r="AP27" s="93"/>
      <c r="AQ27" s="93"/>
      <c r="AR27" s="94">
        <f t="shared" si="121"/>
        <v>0</v>
      </c>
      <c r="AS27" s="92">
        <f t="shared" si="43"/>
        <v>0</v>
      </c>
      <c r="AT27" s="93"/>
      <c r="AU27" s="93"/>
      <c r="AV27" s="95">
        <v>37830</v>
      </c>
      <c r="AW27" s="93">
        <f t="shared" si="122"/>
        <v>37830</v>
      </c>
      <c r="AX27" s="93">
        <f t="shared" si="44"/>
        <v>0</v>
      </c>
      <c r="AY27" s="93"/>
      <c r="AZ27" s="93"/>
      <c r="BA27" s="95">
        <v>0</v>
      </c>
      <c r="BB27" s="94">
        <f t="shared" si="123"/>
        <v>0</v>
      </c>
      <c r="BC27" s="92">
        <f t="shared" si="45"/>
        <v>37830</v>
      </c>
      <c r="BD27" s="93">
        <v>52584</v>
      </c>
      <c r="BE27" s="93"/>
      <c r="BF27" s="93"/>
      <c r="BG27" s="93">
        <f t="shared" si="124"/>
        <v>90414</v>
      </c>
      <c r="BH27" s="93">
        <f t="shared" si="46"/>
        <v>0</v>
      </c>
      <c r="BI27" s="93">
        <f>315+420+34</f>
        <v>769</v>
      </c>
      <c r="BJ27" s="93"/>
      <c r="BK27" s="93"/>
      <c r="BL27" s="94">
        <f t="shared" si="125"/>
        <v>769</v>
      </c>
      <c r="BM27" s="92">
        <f t="shared" si="47"/>
        <v>90414</v>
      </c>
      <c r="BN27" s="93">
        <f>48919</f>
        <v>48919</v>
      </c>
      <c r="BO27" s="95">
        <v>37830</v>
      </c>
      <c r="BP27" s="93"/>
      <c r="BQ27" s="93">
        <f t="shared" si="12"/>
        <v>101503</v>
      </c>
      <c r="BR27" s="93">
        <f t="shared" si="48"/>
        <v>769</v>
      </c>
      <c r="BS27" s="93">
        <f>1501-34</f>
        <v>1467</v>
      </c>
      <c r="BT27" s="95">
        <v>420</v>
      </c>
      <c r="BU27" s="93"/>
      <c r="BV27" s="94">
        <f t="shared" si="13"/>
        <v>1816</v>
      </c>
      <c r="BW27" s="92">
        <f t="shared" si="126"/>
        <v>101503</v>
      </c>
      <c r="BX27" s="93">
        <v>46611</v>
      </c>
      <c r="BY27" s="93"/>
      <c r="BZ27" s="93"/>
      <c r="CA27" s="93">
        <f t="shared" si="14"/>
        <v>148114</v>
      </c>
      <c r="CB27" s="93">
        <f t="shared" si="15"/>
        <v>1816</v>
      </c>
      <c r="CC27" s="93">
        <v>2728</v>
      </c>
      <c r="CD27" s="93"/>
      <c r="CE27" s="93"/>
      <c r="CF27" s="94">
        <f t="shared" si="16"/>
        <v>4544</v>
      </c>
      <c r="CG27" s="92">
        <f t="shared" si="17"/>
        <v>148114</v>
      </c>
      <c r="CH27" s="93">
        <v>46626</v>
      </c>
      <c r="CI27" s="93"/>
      <c r="CJ27" s="93"/>
      <c r="CK27" s="93">
        <f t="shared" si="18"/>
        <v>194740</v>
      </c>
      <c r="CL27" s="93">
        <f t="shared" si="19"/>
        <v>4544</v>
      </c>
      <c r="CM27" s="93">
        <v>2244</v>
      </c>
      <c r="CN27" s="93"/>
      <c r="CO27" s="93"/>
      <c r="CP27" s="94">
        <f t="shared" si="20"/>
        <v>6788</v>
      </c>
      <c r="CQ27" s="92">
        <f t="shared" si="21"/>
        <v>194740</v>
      </c>
      <c r="CR27" s="93">
        <v>40822.14</v>
      </c>
      <c r="CS27" s="93"/>
      <c r="CT27" s="93"/>
      <c r="CU27" s="93">
        <f t="shared" si="22"/>
        <v>235562.14</v>
      </c>
      <c r="CV27" s="93">
        <f t="shared" si="23"/>
        <v>6788</v>
      </c>
      <c r="CW27" s="93">
        <v>1219</v>
      </c>
      <c r="CX27" s="93"/>
      <c r="CY27" s="93"/>
      <c r="CZ27" s="94">
        <f t="shared" si="24"/>
        <v>8007</v>
      </c>
      <c r="DA27" s="92">
        <f t="shared" si="25"/>
        <v>235562.14</v>
      </c>
      <c r="DB27" s="93">
        <v>68599.14</v>
      </c>
      <c r="DC27" s="93"/>
      <c r="DD27" s="93"/>
      <c r="DE27" s="93">
        <f t="shared" si="26"/>
        <v>304161.28000000003</v>
      </c>
      <c r="DF27" s="93">
        <f t="shared" si="27"/>
        <v>8007</v>
      </c>
      <c r="DG27" s="93">
        <v>5304</v>
      </c>
      <c r="DH27" s="93"/>
      <c r="DI27" s="93"/>
      <c r="DJ27" s="94">
        <f t="shared" si="49"/>
        <v>13311</v>
      </c>
      <c r="DK27" s="92">
        <f t="shared" si="28"/>
        <v>304161.28000000003</v>
      </c>
      <c r="DL27" s="93">
        <v>97386.84</v>
      </c>
      <c r="DM27" s="93"/>
      <c r="DN27" s="93"/>
      <c r="DO27" s="93">
        <f t="shared" si="127"/>
        <v>401548.12</v>
      </c>
      <c r="DP27" s="93">
        <f t="shared" si="128"/>
        <v>13311</v>
      </c>
      <c r="DQ27" s="93">
        <v>17537</v>
      </c>
      <c r="DR27" s="93"/>
      <c r="DS27" s="93"/>
      <c r="DT27" s="94">
        <f t="shared" si="31"/>
        <v>30848</v>
      </c>
      <c r="DU27" s="92">
        <f t="shared" si="32"/>
        <v>401548.12</v>
      </c>
      <c r="DV27" s="93">
        <v>134904.46</v>
      </c>
      <c r="DW27" s="93"/>
      <c r="DX27" s="93">
        <v>-148929</v>
      </c>
      <c r="DY27" s="93">
        <f t="shared" si="129"/>
        <v>387523.57999999996</v>
      </c>
      <c r="DZ27" s="93">
        <f t="shared" si="130"/>
        <v>30848</v>
      </c>
      <c r="EA27" s="93">
        <v>23478</v>
      </c>
      <c r="EB27" s="93"/>
      <c r="EC27" s="93">
        <v>-15209</v>
      </c>
      <c r="ED27" s="94">
        <f t="shared" si="35"/>
        <v>39117</v>
      </c>
      <c r="EE27" s="92"/>
      <c r="EF27" s="93"/>
      <c r="EG27" s="93">
        <f t="shared" si="50"/>
        <v>387523.57999999996</v>
      </c>
      <c r="EH27" s="94">
        <f t="shared" si="51"/>
        <v>39117</v>
      </c>
      <c r="EI27" s="92"/>
      <c r="EJ27" s="93">
        <v>12226.38</v>
      </c>
      <c r="EK27" s="93">
        <f t="shared" si="36"/>
        <v>51343.38</v>
      </c>
      <c r="EL27" s="94">
        <f t="shared" si="37"/>
        <v>438866.95999999996</v>
      </c>
      <c r="EM27" s="94" t="s">
        <v>24</v>
      </c>
      <c r="EN27" s="94"/>
      <c r="EO27" s="37"/>
      <c r="EP27" s="21"/>
      <c r="EQ27" s="53"/>
      <c r="ER27" s="85"/>
      <c r="ES27" s="85"/>
    </row>
    <row r="28" spans="1:149" s="16" customFormat="1" x14ac:dyDescent="0.35">
      <c r="A28">
        <v>24</v>
      </c>
      <c r="B28"/>
      <c r="C28" s="32" t="s">
        <v>35</v>
      </c>
      <c r="D28" s="36">
        <v>1508</v>
      </c>
      <c r="E28" s="92"/>
      <c r="F28" s="93"/>
      <c r="G28" s="93"/>
      <c r="H28" s="93"/>
      <c r="I28" s="93">
        <f t="shared" si="0"/>
        <v>0</v>
      </c>
      <c r="J28" s="93"/>
      <c r="K28" s="93"/>
      <c r="L28" s="93"/>
      <c r="M28" s="93"/>
      <c r="N28" s="94">
        <f t="shared" si="1"/>
        <v>0</v>
      </c>
      <c r="O28" s="92">
        <f t="shared" si="2"/>
        <v>0</v>
      </c>
      <c r="P28" s="93"/>
      <c r="Q28" s="93"/>
      <c r="R28" s="93"/>
      <c r="S28" s="93">
        <f t="shared" si="116"/>
        <v>0</v>
      </c>
      <c r="T28" s="93">
        <f t="shared" si="38"/>
        <v>0</v>
      </c>
      <c r="U28" s="93"/>
      <c r="V28" s="93"/>
      <c r="W28" s="93"/>
      <c r="X28" s="94">
        <f t="shared" si="117"/>
        <v>0</v>
      </c>
      <c r="Y28" s="92">
        <f t="shared" si="39"/>
        <v>0</v>
      </c>
      <c r="Z28" s="93"/>
      <c r="AA28" s="93"/>
      <c r="AB28" s="93"/>
      <c r="AC28" s="93">
        <f t="shared" si="118"/>
        <v>0</v>
      </c>
      <c r="AD28" s="93">
        <f t="shared" si="40"/>
        <v>0</v>
      </c>
      <c r="AE28" s="93"/>
      <c r="AF28" s="93"/>
      <c r="AG28" s="93"/>
      <c r="AH28" s="94">
        <f t="shared" si="119"/>
        <v>0</v>
      </c>
      <c r="AI28" s="92">
        <f t="shared" si="41"/>
        <v>0</v>
      </c>
      <c r="AJ28" s="93"/>
      <c r="AK28" s="93"/>
      <c r="AL28" s="93"/>
      <c r="AM28" s="93">
        <f t="shared" si="120"/>
        <v>0</v>
      </c>
      <c r="AN28" s="93">
        <f t="shared" si="42"/>
        <v>0</v>
      </c>
      <c r="AO28" s="93"/>
      <c r="AP28" s="93"/>
      <c r="AQ28" s="93"/>
      <c r="AR28" s="94">
        <f t="shared" si="121"/>
        <v>0</v>
      </c>
      <c r="AS28" s="92">
        <f t="shared" si="43"/>
        <v>0</v>
      </c>
      <c r="AT28" s="93"/>
      <c r="AU28" s="93"/>
      <c r="AV28" s="93"/>
      <c r="AW28" s="93">
        <f t="shared" si="122"/>
        <v>0</v>
      </c>
      <c r="AX28" s="93">
        <f t="shared" si="44"/>
        <v>0</v>
      </c>
      <c r="AY28" s="93"/>
      <c r="AZ28" s="93"/>
      <c r="BA28" s="93"/>
      <c r="BB28" s="94">
        <f t="shared" si="123"/>
        <v>0</v>
      </c>
      <c r="BC28" s="92">
        <f t="shared" si="45"/>
        <v>0</v>
      </c>
      <c r="BD28" s="93"/>
      <c r="BE28" s="93"/>
      <c r="BF28" s="93"/>
      <c r="BG28" s="93">
        <f t="shared" si="124"/>
        <v>0</v>
      </c>
      <c r="BH28" s="93">
        <f t="shared" si="46"/>
        <v>0</v>
      </c>
      <c r="BI28" s="93"/>
      <c r="BJ28" s="93"/>
      <c r="BK28" s="93"/>
      <c r="BL28" s="94">
        <f t="shared" si="125"/>
        <v>0</v>
      </c>
      <c r="BM28" s="92">
        <f t="shared" si="47"/>
        <v>0</v>
      </c>
      <c r="BN28" s="93"/>
      <c r="BO28" s="93"/>
      <c r="BP28" s="93"/>
      <c r="BQ28" s="93">
        <f t="shared" si="12"/>
        <v>0</v>
      </c>
      <c r="BR28" s="93">
        <f t="shared" si="48"/>
        <v>0</v>
      </c>
      <c r="BS28" s="93"/>
      <c r="BT28" s="93"/>
      <c r="BU28" s="93"/>
      <c r="BV28" s="94">
        <f t="shared" si="13"/>
        <v>0</v>
      </c>
      <c r="BW28" s="92">
        <f t="shared" si="126"/>
        <v>0</v>
      </c>
      <c r="BX28" s="93">
        <v>398285.81</v>
      </c>
      <c r="BY28" s="93"/>
      <c r="BZ28" s="93"/>
      <c r="CA28" s="93">
        <f t="shared" si="14"/>
        <v>398285.81</v>
      </c>
      <c r="CB28" s="93">
        <f t="shared" si="15"/>
        <v>0</v>
      </c>
      <c r="CC28" s="93"/>
      <c r="CD28" s="93"/>
      <c r="CE28" s="93"/>
      <c r="CF28" s="94">
        <f t="shared" si="16"/>
        <v>0</v>
      </c>
      <c r="CG28" s="92">
        <f t="shared" si="17"/>
        <v>398285.81</v>
      </c>
      <c r="CH28" s="93">
        <v>-304404.81</v>
      </c>
      <c r="CI28" s="93"/>
      <c r="CJ28" s="93"/>
      <c r="CK28" s="93">
        <f t="shared" si="18"/>
        <v>93881</v>
      </c>
      <c r="CL28" s="93">
        <f t="shared" si="19"/>
        <v>0</v>
      </c>
      <c r="CM28" s="93">
        <v>5478</v>
      </c>
      <c r="CN28" s="93"/>
      <c r="CO28" s="93"/>
      <c r="CP28" s="94">
        <f t="shared" si="20"/>
        <v>5478</v>
      </c>
      <c r="CQ28" s="92">
        <f t="shared" si="21"/>
        <v>93881</v>
      </c>
      <c r="CR28" s="93">
        <v>-82936.639999999999</v>
      </c>
      <c r="CS28" s="93"/>
      <c r="CT28" s="93"/>
      <c r="CU28" s="93">
        <f t="shared" si="22"/>
        <v>10944.36</v>
      </c>
      <c r="CV28" s="93">
        <f t="shared" si="23"/>
        <v>5478</v>
      </c>
      <c r="CW28" s="93"/>
      <c r="CX28" s="93"/>
      <c r="CY28" s="93">
        <v>-5478</v>
      </c>
      <c r="CZ28" s="94">
        <f t="shared" si="24"/>
        <v>0</v>
      </c>
      <c r="DA28" s="92">
        <f t="shared" si="25"/>
        <v>10944.36</v>
      </c>
      <c r="DB28" s="93">
        <v>395358.13</v>
      </c>
      <c r="DC28" s="93"/>
      <c r="DD28" s="93"/>
      <c r="DE28" s="93">
        <f t="shared" si="26"/>
        <v>406302.49</v>
      </c>
      <c r="DF28" s="93">
        <f t="shared" si="27"/>
        <v>0</v>
      </c>
      <c r="DG28" s="93"/>
      <c r="DH28" s="93"/>
      <c r="DI28" s="93"/>
      <c r="DJ28" s="94">
        <f t="shared" si="49"/>
        <v>0</v>
      </c>
      <c r="DK28" s="92">
        <f t="shared" si="28"/>
        <v>406302.49</v>
      </c>
      <c r="DL28" s="93">
        <v>315619.73</v>
      </c>
      <c r="DM28" s="93"/>
      <c r="DN28" s="93"/>
      <c r="DO28" s="93">
        <f t="shared" si="127"/>
        <v>721922.22</v>
      </c>
      <c r="DP28" s="93">
        <f t="shared" si="128"/>
        <v>0</v>
      </c>
      <c r="DQ28" s="93"/>
      <c r="DR28" s="93"/>
      <c r="DS28" s="93"/>
      <c r="DT28" s="94">
        <f t="shared" si="31"/>
        <v>0</v>
      </c>
      <c r="DU28" s="92">
        <f t="shared" si="32"/>
        <v>721922.22</v>
      </c>
      <c r="DV28" s="93">
        <v>361920.74</v>
      </c>
      <c r="DW28" s="93"/>
      <c r="DX28" s="93">
        <v>-10338.25</v>
      </c>
      <c r="DY28" s="93">
        <f t="shared" si="129"/>
        <v>1073504.71</v>
      </c>
      <c r="DZ28" s="93">
        <f t="shared" si="130"/>
        <v>0</v>
      </c>
      <c r="EA28" s="93"/>
      <c r="EB28" s="93"/>
      <c r="EC28" s="93"/>
      <c r="ED28" s="94">
        <f t="shared" si="35"/>
        <v>0</v>
      </c>
      <c r="EE28" s="92"/>
      <c r="EF28" s="93"/>
      <c r="EG28" s="93">
        <f t="shared" si="50"/>
        <v>1073504.71</v>
      </c>
      <c r="EH28" s="94">
        <f t="shared" si="51"/>
        <v>0</v>
      </c>
      <c r="EI28" s="92"/>
      <c r="EJ28" s="93"/>
      <c r="EK28" s="93">
        <f t="shared" si="36"/>
        <v>0</v>
      </c>
      <c r="EL28" s="94">
        <f t="shared" ref="EL28:EL40" si="131">IF(EM28="Yes", SUM(EG28:EJ28), 0)</f>
        <v>0</v>
      </c>
      <c r="EM28" s="94" t="s">
        <v>27</v>
      </c>
      <c r="EN28" s="94"/>
      <c r="EO28" s="37"/>
      <c r="EP28" s="21"/>
      <c r="EQ28" s="53"/>
      <c r="ER28" s="85"/>
      <c r="ES28" s="85"/>
    </row>
    <row r="29" spans="1:149" s="16" customFormat="1" x14ac:dyDescent="0.35">
      <c r="A29"/>
      <c r="B29"/>
      <c r="C29" s="32" t="s">
        <v>36</v>
      </c>
      <c r="D29" s="36">
        <v>1508</v>
      </c>
      <c r="E29" s="92"/>
      <c r="F29" s="93"/>
      <c r="G29" s="93"/>
      <c r="H29" s="93">
        <v>1000.87</v>
      </c>
      <c r="I29" s="93">
        <f t="shared" si="0"/>
        <v>1000.87</v>
      </c>
      <c r="J29" s="93"/>
      <c r="K29" s="93"/>
      <c r="L29" s="93"/>
      <c r="M29" s="93"/>
      <c r="N29" s="94">
        <f t="shared" si="1"/>
        <v>0</v>
      </c>
      <c r="O29" s="92">
        <f t="shared" si="2"/>
        <v>1000.87</v>
      </c>
      <c r="P29" s="93">
        <f>1206.07-1000.87</f>
        <v>205.19999999999993</v>
      </c>
      <c r="Q29" s="93"/>
      <c r="R29" s="93"/>
      <c r="S29" s="93">
        <f t="shared" ref="S29" si="132">O29+P29-Q29+R29</f>
        <v>1206.07</v>
      </c>
      <c r="T29" s="93">
        <f t="shared" ref="T29" si="133">+N29</f>
        <v>0</v>
      </c>
      <c r="U29" s="93"/>
      <c r="V29" s="93"/>
      <c r="W29" s="93"/>
      <c r="X29" s="94">
        <f t="shared" ref="X29" si="134">T29+U29-V29+W29</f>
        <v>0</v>
      </c>
      <c r="Y29" s="92">
        <f t="shared" ref="Y29" si="135">+S29</f>
        <v>1206.07</v>
      </c>
      <c r="Z29" s="93">
        <f>975.82-1206.07</f>
        <v>-230.24999999999989</v>
      </c>
      <c r="AA29" s="93"/>
      <c r="AB29" s="93"/>
      <c r="AC29" s="93">
        <f t="shared" ref="AC29" si="136">Y29+Z29-AA29+AB29</f>
        <v>975.82</v>
      </c>
      <c r="AD29" s="93">
        <f t="shared" ref="AD29" si="137">+X29</f>
        <v>0</v>
      </c>
      <c r="AE29" s="93"/>
      <c r="AF29" s="93"/>
      <c r="AG29" s="93"/>
      <c r="AH29" s="94">
        <f t="shared" ref="AH29" si="138">AD29+AE29-AF29+AG29</f>
        <v>0</v>
      </c>
      <c r="AI29" s="92">
        <f t="shared" ref="AI29" si="139">+AC29</f>
        <v>975.82</v>
      </c>
      <c r="AJ29" s="93">
        <f>1123.34-975.82</f>
        <v>147.51999999999987</v>
      </c>
      <c r="AK29" s="93"/>
      <c r="AL29" s="93"/>
      <c r="AM29" s="93">
        <f t="shared" ref="AM29" si="140">AI29+AJ29-AK29+AL29</f>
        <v>1123.3399999999999</v>
      </c>
      <c r="AN29" s="93">
        <f t="shared" ref="AN29" si="141">+AH29</f>
        <v>0</v>
      </c>
      <c r="AO29" s="93"/>
      <c r="AP29" s="93"/>
      <c r="AQ29" s="93"/>
      <c r="AR29" s="94">
        <f t="shared" ref="AR29" si="142">AN29+AO29-AP29+AQ29</f>
        <v>0</v>
      </c>
      <c r="AS29" s="92">
        <f t="shared" ref="AS29" si="143">+AM29</f>
        <v>1123.3399999999999</v>
      </c>
      <c r="AT29" s="93"/>
      <c r="AU29" s="93"/>
      <c r="AV29" s="93"/>
      <c r="AW29" s="93">
        <f t="shared" ref="AW29" si="144">AS29+AT29-AU29+AV29</f>
        <v>1123.3399999999999</v>
      </c>
      <c r="AX29" s="93">
        <f t="shared" ref="AX29" si="145">+AR29</f>
        <v>0</v>
      </c>
      <c r="AY29" s="93"/>
      <c r="AZ29" s="93"/>
      <c r="BA29" s="93"/>
      <c r="BB29" s="94">
        <f t="shared" ref="BB29" si="146">AX29+AY29-AZ29+BA29</f>
        <v>0</v>
      </c>
      <c r="BC29" s="92">
        <f t="shared" ref="BC29" si="147">+AW29</f>
        <v>1123.3399999999999</v>
      </c>
      <c r="BD29" s="93">
        <f>1143.34-1123.34</f>
        <v>20</v>
      </c>
      <c r="BE29" s="93"/>
      <c r="BF29" s="93"/>
      <c r="BG29" s="93">
        <f t="shared" ref="BG29" si="148">BC29+BD29-BE29+BF29</f>
        <v>1143.3399999999999</v>
      </c>
      <c r="BH29" s="93">
        <f t="shared" ref="BH29" si="149">+BB29</f>
        <v>0</v>
      </c>
      <c r="BI29" s="93"/>
      <c r="BJ29" s="93"/>
      <c r="BK29" s="93"/>
      <c r="BL29" s="94">
        <f t="shared" ref="BL29" si="150">BH29+BI29-BJ29+BK29</f>
        <v>0</v>
      </c>
      <c r="BM29" s="92">
        <f t="shared" ref="BM29" si="151">+BG29</f>
        <v>1143.3399999999999</v>
      </c>
      <c r="BN29" s="93">
        <f>1079.56-1143.34</f>
        <v>-63.779999999999973</v>
      </c>
      <c r="BO29" s="93"/>
      <c r="BP29" s="93"/>
      <c r="BQ29" s="93">
        <f t="shared" ref="BQ29" si="152">BM29+BN29-BO29+BP29</f>
        <v>1079.56</v>
      </c>
      <c r="BR29" s="93">
        <f t="shared" ref="BR29" si="153">+BL29</f>
        <v>0</v>
      </c>
      <c r="BS29" s="93"/>
      <c r="BT29" s="93"/>
      <c r="BU29" s="93"/>
      <c r="BV29" s="94">
        <f t="shared" ref="BV29" si="154">BR29+BS29-BT29+BU29</f>
        <v>0</v>
      </c>
      <c r="BW29" s="92">
        <f t="shared" ref="BW29" si="155">BQ29</f>
        <v>1079.56</v>
      </c>
      <c r="BX29" s="93">
        <v>-1079.56</v>
      </c>
      <c r="BY29" s="93"/>
      <c r="BZ29" s="93"/>
      <c r="CA29" s="93">
        <f t="shared" ref="CA29" si="156">BW29+BX29-BY29+BZ29</f>
        <v>0</v>
      </c>
      <c r="CB29" s="93">
        <f t="shared" ref="CB29" si="157">BV29</f>
        <v>0</v>
      </c>
      <c r="CC29" s="93"/>
      <c r="CD29" s="93"/>
      <c r="CE29" s="93"/>
      <c r="CF29" s="94">
        <f t="shared" ref="CF29" si="158">CB29+CC29-CD29+CE29</f>
        <v>0</v>
      </c>
      <c r="CG29" s="92">
        <f t="shared" ref="CG29" si="159">CA29</f>
        <v>0</v>
      </c>
      <c r="CH29" s="93"/>
      <c r="CI29" s="93"/>
      <c r="CJ29" s="93"/>
      <c r="CK29" s="93">
        <f t="shared" ref="CK29" si="160">CG29+CH29-CI29+CJ29</f>
        <v>0</v>
      </c>
      <c r="CL29" s="93">
        <f t="shared" ref="CL29" si="161">CF29</f>
        <v>0</v>
      </c>
      <c r="CM29" s="93"/>
      <c r="CN29" s="93"/>
      <c r="CO29" s="93"/>
      <c r="CP29" s="94">
        <f t="shared" ref="CP29" si="162">CL29+CM29-CN29+CO29</f>
        <v>0</v>
      </c>
      <c r="CQ29" s="92">
        <f t="shared" ref="CQ29" si="163">CK29</f>
        <v>0</v>
      </c>
      <c r="CR29" s="93"/>
      <c r="CS29" s="93"/>
      <c r="CT29" s="93"/>
      <c r="CU29" s="93">
        <f t="shared" ref="CU29" si="164">CQ29+CR29-CS29+SUM(CT29:CT29)</f>
        <v>0</v>
      </c>
      <c r="CV29" s="93">
        <f t="shared" ref="CV29" si="165">CP29</f>
        <v>0</v>
      </c>
      <c r="CW29" s="93"/>
      <c r="CX29" s="93"/>
      <c r="CY29" s="93"/>
      <c r="CZ29" s="94">
        <f t="shared" ref="CZ29" si="166">CV29+CW29-CX29+CY29</f>
        <v>0</v>
      </c>
      <c r="DA29" s="92">
        <f t="shared" ref="DA29" si="167">CU29</f>
        <v>0</v>
      </c>
      <c r="DB29" s="93"/>
      <c r="DC29" s="93"/>
      <c r="DD29" s="93"/>
      <c r="DE29" s="93">
        <f t="shared" ref="DE29" si="168">DA29+DB29-DC29+DD29</f>
        <v>0</v>
      </c>
      <c r="DF29" s="93">
        <f t="shared" ref="DF29" si="169">CZ29</f>
        <v>0</v>
      </c>
      <c r="DG29" s="93"/>
      <c r="DH29" s="93"/>
      <c r="DI29" s="93"/>
      <c r="DJ29" s="94">
        <f t="shared" ref="DJ29" si="170">DF29+DG29-DH29+DI29</f>
        <v>0</v>
      </c>
      <c r="DK29" s="92">
        <f t="shared" ref="DK29" si="171">DE29</f>
        <v>0</v>
      </c>
      <c r="DL29" s="93"/>
      <c r="DM29" s="93"/>
      <c r="DN29" s="93"/>
      <c r="DO29" s="93">
        <f t="shared" ref="DO29" si="172">DK29+DL29-DM29+SUM(DN29:DN29)</f>
        <v>0</v>
      </c>
      <c r="DP29" s="93">
        <f t="shared" ref="DP29" si="173">DJ29</f>
        <v>0</v>
      </c>
      <c r="DQ29" s="93"/>
      <c r="DR29" s="93"/>
      <c r="DS29" s="93"/>
      <c r="DT29" s="94">
        <f t="shared" ref="DT29" si="174">DP29+DQ29-DR29+DS29</f>
        <v>0</v>
      </c>
      <c r="DU29" s="92">
        <f t="shared" ref="DU29" si="175">DO29</f>
        <v>0</v>
      </c>
      <c r="DV29" s="93"/>
      <c r="DW29" s="93"/>
      <c r="DX29" s="93"/>
      <c r="DY29" s="93">
        <f t="shared" ref="DY29" si="176">DU29+DV29-DW29+SUM(DX29:DX29)</f>
        <v>0</v>
      </c>
      <c r="DZ29" s="93">
        <f t="shared" ref="DZ29" si="177">DT29</f>
        <v>0</v>
      </c>
      <c r="EA29" s="93"/>
      <c r="EB29" s="93"/>
      <c r="EC29" s="93"/>
      <c r="ED29" s="94">
        <f t="shared" ref="ED29" si="178">DZ29+EA29-EB29+EC29</f>
        <v>0</v>
      </c>
      <c r="EE29" s="92"/>
      <c r="EF29" s="93"/>
      <c r="EG29" s="93">
        <f t="shared" ref="EG29" si="179">DY29-EE29</f>
        <v>0</v>
      </c>
      <c r="EH29" s="94">
        <f t="shared" ref="EH29" si="180">ED29-EF29</f>
        <v>0</v>
      </c>
      <c r="EI29" s="92"/>
      <c r="EJ29" s="93"/>
      <c r="EK29" s="93">
        <f t="shared" ref="EK29" si="181">EH29+EI29+EJ29</f>
        <v>0</v>
      </c>
      <c r="EL29" s="94">
        <f t="shared" si="131"/>
        <v>0</v>
      </c>
      <c r="EM29" s="94" t="s">
        <v>27</v>
      </c>
      <c r="EN29" s="94"/>
      <c r="EO29" s="37"/>
      <c r="EP29" s="21"/>
      <c r="EQ29" s="53"/>
      <c r="ER29" s="85"/>
      <c r="ES29" s="85"/>
    </row>
    <row r="30" spans="1:149" s="16" customFormat="1" x14ac:dyDescent="0.35">
      <c r="A30"/>
      <c r="B30"/>
      <c r="C30" s="32" t="s">
        <v>37</v>
      </c>
      <c r="D30" s="36">
        <v>1508</v>
      </c>
      <c r="E30" s="92"/>
      <c r="F30" s="93"/>
      <c r="G30" s="93"/>
      <c r="H30" s="93">
        <v>206000</v>
      </c>
      <c r="I30" s="93">
        <f t="shared" si="0"/>
        <v>206000</v>
      </c>
      <c r="J30" s="93"/>
      <c r="K30" s="93"/>
      <c r="L30" s="93"/>
      <c r="M30" s="93"/>
      <c r="N30" s="94">
        <f t="shared" si="1"/>
        <v>0</v>
      </c>
      <c r="O30" s="92">
        <f t="shared" si="2"/>
        <v>206000</v>
      </c>
      <c r="P30" s="93"/>
      <c r="Q30" s="93"/>
      <c r="R30" s="93">
        <v>-206000</v>
      </c>
      <c r="S30" s="93">
        <f t="shared" ref="S30" si="182">O30+P30-Q30+R30</f>
        <v>0</v>
      </c>
      <c r="T30" s="93">
        <f t="shared" ref="T30" si="183">+N30</f>
        <v>0</v>
      </c>
      <c r="U30" s="93"/>
      <c r="V30" s="93"/>
      <c r="W30" s="93"/>
      <c r="X30" s="94">
        <f t="shared" ref="X30" si="184">T30+U30-V30+W30</f>
        <v>0</v>
      </c>
      <c r="Y30" s="92">
        <f t="shared" ref="Y30" si="185">+S30</f>
        <v>0</v>
      </c>
      <c r="Z30" s="93"/>
      <c r="AA30" s="93"/>
      <c r="AB30" s="93"/>
      <c r="AC30" s="93">
        <f t="shared" ref="AC30" si="186">Y30+Z30-AA30+AB30</f>
        <v>0</v>
      </c>
      <c r="AD30" s="93">
        <f t="shared" ref="AD30" si="187">+X30</f>
        <v>0</v>
      </c>
      <c r="AE30" s="93"/>
      <c r="AF30" s="93"/>
      <c r="AG30" s="93"/>
      <c r="AH30" s="94">
        <f t="shared" ref="AH30" si="188">AD30+AE30-AF30+AG30</f>
        <v>0</v>
      </c>
      <c r="AI30" s="92">
        <f t="shared" ref="AI30" si="189">+AC30</f>
        <v>0</v>
      </c>
      <c r="AJ30" s="93"/>
      <c r="AK30" s="93"/>
      <c r="AL30" s="93"/>
      <c r="AM30" s="93">
        <f t="shared" ref="AM30" si="190">AI30+AJ30-AK30+AL30</f>
        <v>0</v>
      </c>
      <c r="AN30" s="93">
        <f t="shared" ref="AN30" si="191">+AH30</f>
        <v>0</v>
      </c>
      <c r="AO30" s="93"/>
      <c r="AP30" s="93"/>
      <c r="AQ30" s="93"/>
      <c r="AR30" s="94">
        <f t="shared" ref="AR30" si="192">AN30+AO30-AP30+AQ30</f>
        <v>0</v>
      </c>
      <c r="AS30" s="92">
        <f t="shared" ref="AS30" si="193">+AM30</f>
        <v>0</v>
      </c>
      <c r="AT30" s="93"/>
      <c r="AU30" s="93"/>
      <c r="AV30" s="93"/>
      <c r="AW30" s="93">
        <f t="shared" ref="AW30" si="194">AS30+AT30-AU30+AV30</f>
        <v>0</v>
      </c>
      <c r="AX30" s="93">
        <f t="shared" ref="AX30" si="195">+AR30</f>
        <v>0</v>
      </c>
      <c r="AY30" s="93"/>
      <c r="AZ30" s="93"/>
      <c r="BA30" s="93"/>
      <c r="BB30" s="94">
        <f t="shared" ref="BB30" si="196">AX30+AY30-AZ30+BA30</f>
        <v>0</v>
      </c>
      <c r="BC30" s="92">
        <f t="shared" ref="BC30" si="197">+AW30</f>
        <v>0</v>
      </c>
      <c r="BD30" s="93"/>
      <c r="BE30" s="93"/>
      <c r="BF30" s="93"/>
      <c r="BG30" s="93">
        <f t="shared" ref="BG30" si="198">BC30+BD30-BE30+BF30</f>
        <v>0</v>
      </c>
      <c r="BH30" s="93">
        <f t="shared" ref="BH30" si="199">+BB30</f>
        <v>0</v>
      </c>
      <c r="BI30" s="93"/>
      <c r="BJ30" s="93"/>
      <c r="BK30" s="93"/>
      <c r="BL30" s="94">
        <f t="shared" ref="BL30" si="200">BH30+BI30-BJ30+BK30</f>
        <v>0</v>
      </c>
      <c r="BM30" s="92">
        <f t="shared" ref="BM30" si="201">+BG30</f>
        <v>0</v>
      </c>
      <c r="BN30" s="93"/>
      <c r="BO30" s="93"/>
      <c r="BP30" s="93"/>
      <c r="BQ30" s="93">
        <f t="shared" ref="BQ30" si="202">BM30+BN30-BO30+BP30</f>
        <v>0</v>
      </c>
      <c r="BR30" s="93">
        <f t="shared" ref="BR30" si="203">+BL30</f>
        <v>0</v>
      </c>
      <c r="BS30" s="93"/>
      <c r="BT30" s="93"/>
      <c r="BU30" s="93"/>
      <c r="BV30" s="94">
        <f t="shared" ref="BV30" si="204">BR30+BS30-BT30+BU30</f>
        <v>0</v>
      </c>
      <c r="BW30" s="92">
        <f t="shared" ref="BW30" si="205">BQ30</f>
        <v>0</v>
      </c>
      <c r="BX30" s="93"/>
      <c r="BY30" s="93"/>
      <c r="BZ30" s="93"/>
      <c r="CA30" s="93">
        <f t="shared" ref="CA30" si="206">BW30+BX30-BY30+BZ30</f>
        <v>0</v>
      </c>
      <c r="CB30" s="93">
        <f t="shared" ref="CB30" si="207">BV30</f>
        <v>0</v>
      </c>
      <c r="CC30" s="93"/>
      <c r="CD30" s="93"/>
      <c r="CE30" s="93"/>
      <c r="CF30" s="94">
        <f t="shared" ref="CF30" si="208">CB30+CC30-CD30+CE30</f>
        <v>0</v>
      </c>
      <c r="CG30" s="92">
        <f t="shared" ref="CG30" si="209">CA30</f>
        <v>0</v>
      </c>
      <c r="CH30" s="93"/>
      <c r="CI30" s="93"/>
      <c r="CJ30" s="93"/>
      <c r="CK30" s="93">
        <f t="shared" ref="CK30" si="210">CG30+CH30-CI30+CJ30</f>
        <v>0</v>
      </c>
      <c r="CL30" s="93">
        <f t="shared" ref="CL30" si="211">CF30</f>
        <v>0</v>
      </c>
      <c r="CM30" s="93"/>
      <c r="CN30" s="93"/>
      <c r="CO30" s="93"/>
      <c r="CP30" s="94">
        <f t="shared" ref="CP30" si="212">CL30+CM30-CN30+CO30</f>
        <v>0</v>
      </c>
      <c r="CQ30" s="92">
        <f t="shared" ref="CQ30" si="213">CK30</f>
        <v>0</v>
      </c>
      <c r="CR30" s="93"/>
      <c r="CS30" s="93"/>
      <c r="CT30" s="93"/>
      <c r="CU30" s="93">
        <f t="shared" ref="CU30" si="214">CQ30+CR30-CS30+SUM(CT30:CT30)</f>
        <v>0</v>
      </c>
      <c r="CV30" s="93">
        <f t="shared" ref="CV30" si="215">CP30</f>
        <v>0</v>
      </c>
      <c r="CW30" s="93"/>
      <c r="CX30" s="93"/>
      <c r="CY30" s="93"/>
      <c r="CZ30" s="94">
        <f t="shared" ref="CZ30" si="216">CV30+CW30-CX30+CY30</f>
        <v>0</v>
      </c>
      <c r="DA30" s="92">
        <f t="shared" ref="DA30" si="217">CU30</f>
        <v>0</v>
      </c>
      <c r="DB30" s="93"/>
      <c r="DC30" s="93"/>
      <c r="DD30" s="93"/>
      <c r="DE30" s="93">
        <f t="shared" ref="DE30" si="218">DA30+DB30-DC30+DD30</f>
        <v>0</v>
      </c>
      <c r="DF30" s="93">
        <f t="shared" ref="DF30" si="219">CZ30</f>
        <v>0</v>
      </c>
      <c r="DG30" s="93"/>
      <c r="DH30" s="93"/>
      <c r="DI30" s="93"/>
      <c r="DJ30" s="94">
        <f t="shared" ref="DJ30" si="220">DF30+DG30-DH30+DI30</f>
        <v>0</v>
      </c>
      <c r="DK30" s="92">
        <f t="shared" ref="DK30" si="221">DE30</f>
        <v>0</v>
      </c>
      <c r="DL30" s="93"/>
      <c r="DM30" s="93"/>
      <c r="DN30" s="93"/>
      <c r="DO30" s="93">
        <f t="shared" ref="DO30" si="222">DK30+DL30-DM30+SUM(DN30:DN30)</f>
        <v>0</v>
      </c>
      <c r="DP30" s="93">
        <f t="shared" ref="DP30" si="223">DJ30</f>
        <v>0</v>
      </c>
      <c r="DQ30" s="93"/>
      <c r="DR30" s="93"/>
      <c r="DS30" s="93"/>
      <c r="DT30" s="94">
        <f t="shared" ref="DT30" si="224">DP30+DQ30-DR30+DS30</f>
        <v>0</v>
      </c>
      <c r="DU30" s="92">
        <f t="shared" ref="DU30" si="225">DO30</f>
        <v>0</v>
      </c>
      <c r="DV30" s="93"/>
      <c r="DW30" s="93"/>
      <c r="DX30" s="93"/>
      <c r="DY30" s="93">
        <f t="shared" ref="DY30" si="226">DU30+DV30-DW30+SUM(DX30:DX30)</f>
        <v>0</v>
      </c>
      <c r="DZ30" s="93">
        <f t="shared" ref="DZ30" si="227">DT30</f>
        <v>0</v>
      </c>
      <c r="EA30" s="93"/>
      <c r="EB30" s="93"/>
      <c r="EC30" s="93"/>
      <c r="ED30" s="94">
        <f t="shared" ref="ED30" si="228">DZ30+EA30-EB30+EC30</f>
        <v>0</v>
      </c>
      <c r="EE30" s="92"/>
      <c r="EF30" s="93"/>
      <c r="EG30" s="93">
        <f t="shared" ref="EG30" si="229">DY30-EE30</f>
        <v>0</v>
      </c>
      <c r="EH30" s="94">
        <f t="shared" ref="EH30" si="230">ED30-EF30</f>
        <v>0</v>
      </c>
      <c r="EI30" s="92"/>
      <c r="EJ30" s="93"/>
      <c r="EK30" s="93">
        <f t="shared" ref="EK30" si="231">EH30+EI30+EJ30</f>
        <v>0</v>
      </c>
      <c r="EL30" s="94">
        <f t="shared" si="131"/>
        <v>0</v>
      </c>
      <c r="EM30" s="94" t="s">
        <v>27</v>
      </c>
      <c r="EN30" s="1">
        <v>52880265.159999996</v>
      </c>
      <c r="EO30" s="37">
        <f>EN30-SUM(DY30,ED30,DY29,ED29,DY28,ED28,DY27,ED27,DY26,ED26,DY25,ED25,DY24,ED24,DY23,ED23,DY22,ED22,DY21,ED21,DY20,ED20,DY19,ED19,DY18,ED18)</f>
        <v>43998510.75</v>
      </c>
      <c r="EP30" s="21" t="s">
        <v>139</v>
      </c>
      <c r="EQ30" s="53"/>
      <c r="ER30" s="85"/>
      <c r="ES30" s="85"/>
    </row>
    <row r="31" spans="1:149" s="16" customFormat="1" x14ac:dyDescent="0.35">
      <c r="A31">
        <v>25</v>
      </c>
      <c r="B31"/>
      <c r="C31" s="32" t="s">
        <v>38</v>
      </c>
      <c r="D31" s="36">
        <v>1511</v>
      </c>
      <c r="E31" s="92"/>
      <c r="F31" s="93"/>
      <c r="G31" s="93"/>
      <c r="H31" s="93"/>
      <c r="I31" s="93">
        <f t="shared" si="0"/>
        <v>0</v>
      </c>
      <c r="J31" s="93"/>
      <c r="K31" s="93"/>
      <c r="L31" s="93"/>
      <c r="M31" s="93"/>
      <c r="N31" s="94">
        <f t="shared" si="1"/>
        <v>0</v>
      </c>
      <c r="O31" s="92">
        <f t="shared" si="2"/>
        <v>0</v>
      </c>
      <c r="P31" s="93"/>
      <c r="Q31" s="93"/>
      <c r="R31" s="93"/>
      <c r="S31" s="93">
        <f t="shared" si="116"/>
        <v>0</v>
      </c>
      <c r="T31" s="93">
        <f t="shared" si="38"/>
        <v>0</v>
      </c>
      <c r="U31" s="93"/>
      <c r="V31" s="93"/>
      <c r="W31" s="93"/>
      <c r="X31" s="94">
        <f t="shared" si="117"/>
        <v>0</v>
      </c>
      <c r="Y31" s="92">
        <f t="shared" si="39"/>
        <v>0</v>
      </c>
      <c r="Z31" s="93"/>
      <c r="AA31" s="93"/>
      <c r="AB31" s="93"/>
      <c r="AC31" s="93">
        <f t="shared" si="118"/>
        <v>0</v>
      </c>
      <c r="AD31" s="93">
        <f t="shared" si="40"/>
        <v>0</v>
      </c>
      <c r="AE31" s="93"/>
      <c r="AF31" s="93"/>
      <c r="AG31" s="93"/>
      <c r="AH31" s="94">
        <f t="shared" si="119"/>
        <v>0</v>
      </c>
      <c r="AI31" s="92">
        <f t="shared" si="41"/>
        <v>0</v>
      </c>
      <c r="AJ31" s="93"/>
      <c r="AK31" s="93"/>
      <c r="AL31" s="93"/>
      <c r="AM31" s="93">
        <f t="shared" si="120"/>
        <v>0</v>
      </c>
      <c r="AN31" s="93">
        <f t="shared" si="42"/>
        <v>0</v>
      </c>
      <c r="AO31" s="93"/>
      <c r="AP31" s="93"/>
      <c r="AQ31" s="93"/>
      <c r="AR31" s="94">
        <f t="shared" si="121"/>
        <v>0</v>
      </c>
      <c r="AS31" s="92">
        <f t="shared" si="43"/>
        <v>0</v>
      </c>
      <c r="AT31" s="93"/>
      <c r="AU31" s="93"/>
      <c r="AV31" s="93"/>
      <c r="AW31" s="93">
        <f t="shared" si="122"/>
        <v>0</v>
      </c>
      <c r="AX31" s="93">
        <f t="shared" si="44"/>
        <v>0</v>
      </c>
      <c r="AY31" s="93"/>
      <c r="AZ31" s="93"/>
      <c r="BA31" s="93"/>
      <c r="BB31" s="94">
        <f t="shared" si="123"/>
        <v>0</v>
      </c>
      <c r="BC31" s="92">
        <f t="shared" si="45"/>
        <v>0</v>
      </c>
      <c r="BD31" s="93"/>
      <c r="BE31" s="93"/>
      <c r="BF31" s="93"/>
      <c r="BG31" s="93">
        <f t="shared" si="124"/>
        <v>0</v>
      </c>
      <c r="BH31" s="93">
        <f t="shared" si="46"/>
        <v>0</v>
      </c>
      <c r="BI31" s="93"/>
      <c r="BJ31" s="93"/>
      <c r="BK31" s="93"/>
      <c r="BL31" s="94">
        <f t="shared" si="125"/>
        <v>0</v>
      </c>
      <c r="BM31" s="92">
        <f t="shared" si="47"/>
        <v>0</v>
      </c>
      <c r="BN31" s="93"/>
      <c r="BO31" s="93"/>
      <c r="BP31" s="93"/>
      <c r="BQ31" s="93">
        <f t="shared" si="12"/>
        <v>0</v>
      </c>
      <c r="BR31" s="93">
        <f t="shared" si="48"/>
        <v>0</v>
      </c>
      <c r="BS31" s="93"/>
      <c r="BT31" s="93"/>
      <c r="BU31" s="93"/>
      <c r="BV31" s="94">
        <f t="shared" si="13"/>
        <v>0</v>
      </c>
      <c r="BW31" s="92">
        <f t="shared" si="126"/>
        <v>0</v>
      </c>
      <c r="BX31" s="93"/>
      <c r="BY31" s="93"/>
      <c r="BZ31" s="93"/>
      <c r="CA31" s="93">
        <f t="shared" si="14"/>
        <v>0</v>
      </c>
      <c r="CB31" s="93">
        <f t="shared" si="15"/>
        <v>0</v>
      </c>
      <c r="CC31" s="93"/>
      <c r="CD31" s="93"/>
      <c r="CE31" s="93"/>
      <c r="CF31" s="94">
        <f t="shared" si="16"/>
        <v>0</v>
      </c>
      <c r="CG31" s="92">
        <f t="shared" si="17"/>
        <v>0</v>
      </c>
      <c r="CH31" s="93"/>
      <c r="CI31" s="93"/>
      <c r="CJ31" s="93"/>
      <c r="CK31" s="93">
        <f t="shared" si="18"/>
        <v>0</v>
      </c>
      <c r="CL31" s="93">
        <f t="shared" si="19"/>
        <v>0</v>
      </c>
      <c r="CM31" s="93"/>
      <c r="CN31" s="93"/>
      <c r="CO31" s="93"/>
      <c r="CP31" s="94">
        <f t="shared" si="20"/>
        <v>0</v>
      </c>
      <c r="CQ31" s="92">
        <f t="shared" si="21"/>
        <v>0</v>
      </c>
      <c r="CR31" s="93"/>
      <c r="CS31" s="93"/>
      <c r="CT31" s="93"/>
      <c r="CU31" s="93">
        <f t="shared" si="22"/>
        <v>0</v>
      </c>
      <c r="CV31" s="93">
        <f t="shared" si="23"/>
        <v>0</v>
      </c>
      <c r="CW31" s="93"/>
      <c r="CX31" s="93"/>
      <c r="CY31" s="93"/>
      <c r="CZ31" s="94">
        <f t="shared" si="24"/>
        <v>0</v>
      </c>
      <c r="DA31" s="92">
        <f t="shared" si="25"/>
        <v>0</v>
      </c>
      <c r="DB31" s="93"/>
      <c r="DC31" s="93"/>
      <c r="DD31" s="93"/>
      <c r="DE31" s="93">
        <f t="shared" si="26"/>
        <v>0</v>
      </c>
      <c r="DF31" s="93">
        <f t="shared" si="27"/>
        <v>0</v>
      </c>
      <c r="DG31" s="93"/>
      <c r="DH31" s="93"/>
      <c r="DI31" s="93"/>
      <c r="DJ31" s="94">
        <f t="shared" si="49"/>
        <v>0</v>
      </c>
      <c r="DK31" s="92">
        <f t="shared" si="28"/>
        <v>0</v>
      </c>
      <c r="DL31" s="93"/>
      <c r="DM31" s="93"/>
      <c r="DN31" s="93"/>
      <c r="DO31" s="93">
        <f t="shared" si="127"/>
        <v>0</v>
      </c>
      <c r="DP31" s="93">
        <f t="shared" si="128"/>
        <v>0</v>
      </c>
      <c r="DQ31" s="93"/>
      <c r="DR31" s="93"/>
      <c r="DS31" s="93"/>
      <c r="DT31" s="94">
        <f t="shared" si="31"/>
        <v>0</v>
      </c>
      <c r="DU31" s="92">
        <f t="shared" si="32"/>
        <v>0</v>
      </c>
      <c r="DV31" s="93">
        <v>626259.47</v>
      </c>
      <c r="DW31" s="93"/>
      <c r="DX31" s="93"/>
      <c r="DY31" s="93">
        <f t="shared" si="129"/>
        <v>626259.47</v>
      </c>
      <c r="DZ31" s="93">
        <f t="shared" si="130"/>
        <v>0</v>
      </c>
      <c r="EA31" s="93">
        <v>5906.36</v>
      </c>
      <c r="EB31" s="93"/>
      <c r="EC31" s="93"/>
      <c r="ED31" s="94">
        <f t="shared" si="35"/>
        <v>5906.36</v>
      </c>
      <c r="EE31" s="92"/>
      <c r="EF31" s="93"/>
      <c r="EG31" s="93">
        <f t="shared" si="50"/>
        <v>626259.47</v>
      </c>
      <c r="EH31" s="94">
        <f t="shared" si="51"/>
        <v>5906.36</v>
      </c>
      <c r="EI31" s="92"/>
      <c r="EJ31" s="93"/>
      <c r="EK31" s="93">
        <f t="shared" si="36"/>
        <v>5906.36</v>
      </c>
      <c r="EL31" s="94">
        <f t="shared" si="131"/>
        <v>0</v>
      </c>
      <c r="EM31" s="94" t="s">
        <v>27</v>
      </c>
      <c r="EN31" s="1">
        <v>632165.82999999996</v>
      </c>
      <c r="EO31" s="37">
        <f t="shared" ref="EO31:EO38" si="232">EN31-SUM(DY31,ED31)</f>
        <v>0</v>
      </c>
      <c r="EP31" s="21"/>
      <c r="EQ31" s="53"/>
      <c r="ER31" s="85"/>
      <c r="ES31" s="85"/>
    </row>
    <row r="32" spans="1:149" s="16" customFormat="1" x14ac:dyDescent="0.35">
      <c r="A32">
        <v>39</v>
      </c>
      <c r="B32"/>
      <c r="C32" s="32" t="s">
        <v>39</v>
      </c>
      <c r="D32" s="36">
        <v>1518</v>
      </c>
      <c r="E32" s="92"/>
      <c r="F32" s="93"/>
      <c r="G32" s="93"/>
      <c r="H32" s="93">
        <f>-27282-497633</f>
        <v>-524915</v>
      </c>
      <c r="I32" s="93">
        <f t="shared" si="0"/>
        <v>-524915</v>
      </c>
      <c r="J32" s="93"/>
      <c r="K32" s="93"/>
      <c r="L32" s="93"/>
      <c r="M32" s="93">
        <f>-1246-22654</f>
        <v>-23900</v>
      </c>
      <c r="N32" s="94">
        <f t="shared" si="1"/>
        <v>-23900</v>
      </c>
      <c r="O32" s="92">
        <f t="shared" si="2"/>
        <v>-524915</v>
      </c>
      <c r="P32" s="93">
        <v>-81435.520000000004</v>
      </c>
      <c r="Q32" s="93"/>
      <c r="R32" s="93"/>
      <c r="S32" s="93">
        <f t="shared" si="116"/>
        <v>-606350.52</v>
      </c>
      <c r="T32" s="93">
        <f t="shared" si="38"/>
        <v>-23900</v>
      </c>
      <c r="U32" s="93">
        <f>-8224.51</f>
        <v>-8224.51</v>
      </c>
      <c r="V32" s="93"/>
      <c r="W32" s="93"/>
      <c r="X32" s="94">
        <f t="shared" si="117"/>
        <v>-32124.510000000002</v>
      </c>
      <c r="Y32" s="92">
        <f t="shared" si="39"/>
        <v>-606350.52</v>
      </c>
      <c r="Z32" s="93">
        <v>-80893.929999999993</v>
      </c>
      <c r="AA32" s="93">
        <f>-27282-497633</f>
        <v>-524915</v>
      </c>
      <c r="AB32" s="93"/>
      <c r="AC32" s="93">
        <f t="shared" si="118"/>
        <v>-162329.44999999995</v>
      </c>
      <c r="AD32" s="93">
        <f t="shared" si="40"/>
        <v>-32124.510000000002</v>
      </c>
      <c r="AE32" s="93">
        <f>-4283.25+0.75</f>
        <v>-4282.5</v>
      </c>
      <c r="AF32" s="93">
        <f>-10288-1246-22654</f>
        <v>-34188</v>
      </c>
      <c r="AG32" s="93"/>
      <c r="AH32" s="94">
        <f t="shared" si="119"/>
        <v>-2219.010000000002</v>
      </c>
      <c r="AI32" s="92">
        <f t="shared" si="41"/>
        <v>-162329.44999999995</v>
      </c>
      <c r="AJ32" s="93">
        <v>-73309.97</v>
      </c>
      <c r="AK32" s="93"/>
      <c r="AL32" s="93"/>
      <c r="AM32" s="93">
        <f t="shared" si="120"/>
        <v>-235639.41999999995</v>
      </c>
      <c r="AN32" s="93">
        <f t="shared" si="42"/>
        <v>-2219.010000000002</v>
      </c>
      <c r="AO32" s="93">
        <f>-2318.44+0.75</f>
        <v>-2317.69</v>
      </c>
      <c r="AP32" s="93"/>
      <c r="AQ32" s="93"/>
      <c r="AR32" s="94">
        <f t="shared" si="121"/>
        <v>-4536.7000000000025</v>
      </c>
      <c r="AS32" s="92">
        <f t="shared" si="43"/>
        <v>-235639.41999999995</v>
      </c>
      <c r="AT32" s="93">
        <v>-64600.38</v>
      </c>
      <c r="AU32" s="93"/>
      <c r="AV32" s="93"/>
      <c r="AW32" s="93">
        <f t="shared" si="122"/>
        <v>-300239.79999999993</v>
      </c>
      <c r="AX32" s="93">
        <f t="shared" si="44"/>
        <v>-4536.7000000000025</v>
      </c>
      <c r="AY32" s="93">
        <v>-2910.48</v>
      </c>
      <c r="AZ32" s="93"/>
      <c r="BA32" s="93"/>
      <c r="BB32" s="94">
        <f t="shared" si="123"/>
        <v>-7447.1800000000021</v>
      </c>
      <c r="BC32" s="92">
        <f t="shared" si="45"/>
        <v>-300239.79999999993</v>
      </c>
      <c r="BD32" s="93">
        <v>-52818.86</v>
      </c>
      <c r="BE32" s="93"/>
      <c r="BF32" s="93"/>
      <c r="BG32" s="93">
        <f t="shared" si="124"/>
        <v>-353058.65999999992</v>
      </c>
      <c r="BH32" s="93">
        <f t="shared" si="46"/>
        <v>-7447.1800000000021</v>
      </c>
      <c r="BI32" s="93">
        <f>-3919.48-4.75</f>
        <v>-3924.23</v>
      </c>
      <c r="BJ32" s="93"/>
      <c r="BK32" s="93"/>
      <c r="BL32" s="94">
        <f t="shared" si="125"/>
        <v>-11371.410000000002</v>
      </c>
      <c r="BM32" s="92">
        <f t="shared" si="47"/>
        <v>-353058.65999999992</v>
      </c>
      <c r="BN32" s="93">
        <f>-41749.14-113.26</f>
        <v>-41862.400000000001</v>
      </c>
      <c r="BO32" s="93"/>
      <c r="BP32" s="93"/>
      <c r="BQ32" s="93">
        <f t="shared" si="12"/>
        <v>-394921.05999999994</v>
      </c>
      <c r="BR32" s="93">
        <f t="shared" si="48"/>
        <v>-11371.410000000002</v>
      </c>
      <c r="BS32" s="93">
        <f>-7028+161.64+2.75</f>
        <v>-6863.61</v>
      </c>
      <c r="BT32" s="93"/>
      <c r="BU32" s="93"/>
      <c r="BV32" s="94">
        <f t="shared" si="13"/>
        <v>-18235.02</v>
      </c>
      <c r="BW32" s="92">
        <f t="shared" si="126"/>
        <v>-394921.05999999994</v>
      </c>
      <c r="BX32" s="93">
        <v>-65998.05</v>
      </c>
      <c r="BY32" s="93"/>
      <c r="BZ32" s="93"/>
      <c r="CA32" s="93">
        <f t="shared" si="14"/>
        <v>-460919.10999999993</v>
      </c>
      <c r="CB32" s="93">
        <f t="shared" si="15"/>
        <v>-18235.02</v>
      </c>
      <c r="CC32" s="93">
        <f>-9441.6+0.5</f>
        <v>-9441.1</v>
      </c>
      <c r="CD32" s="93"/>
      <c r="CE32" s="93"/>
      <c r="CF32" s="94">
        <f t="shared" si="16"/>
        <v>-27676.120000000003</v>
      </c>
      <c r="CG32" s="92">
        <f t="shared" si="17"/>
        <v>-460919.10999999993</v>
      </c>
      <c r="CH32" s="93">
        <v>-82863.5</v>
      </c>
      <c r="CI32" s="93"/>
      <c r="CJ32" s="93"/>
      <c r="CK32" s="93">
        <f t="shared" si="18"/>
        <v>-543782.60999999987</v>
      </c>
      <c r="CL32" s="93">
        <f t="shared" si="19"/>
        <v>-27676.120000000003</v>
      </c>
      <c r="CM32" s="93">
        <v>-6668.55</v>
      </c>
      <c r="CN32" s="93"/>
      <c r="CO32" s="93"/>
      <c r="CP32" s="94">
        <f t="shared" si="20"/>
        <v>-34344.670000000006</v>
      </c>
      <c r="CQ32" s="92">
        <f t="shared" si="21"/>
        <v>-543782.60999999987</v>
      </c>
      <c r="CR32" s="93">
        <v>1002492.38</v>
      </c>
      <c r="CS32" s="93"/>
      <c r="CT32" s="93"/>
      <c r="CU32" s="93">
        <f t="shared" si="22"/>
        <v>458709.77000000014</v>
      </c>
      <c r="CV32" s="93">
        <f t="shared" si="23"/>
        <v>-34344.670000000006</v>
      </c>
      <c r="CW32" s="93">
        <v>-3087.85</v>
      </c>
      <c r="CX32" s="93"/>
      <c r="CY32" s="93"/>
      <c r="CZ32" s="94">
        <f t="shared" si="24"/>
        <v>-37432.520000000004</v>
      </c>
      <c r="DA32" s="92">
        <f t="shared" si="25"/>
        <v>458709.77000000014</v>
      </c>
      <c r="DB32" s="93">
        <v>-7698.1</v>
      </c>
      <c r="DC32" s="93"/>
      <c r="DD32" s="93"/>
      <c r="DE32" s="93">
        <f t="shared" si="26"/>
        <v>451011.67000000016</v>
      </c>
      <c r="DF32" s="93">
        <f t="shared" si="27"/>
        <v>-37432.520000000004</v>
      </c>
      <c r="DG32" s="93">
        <v>76834.899999999994</v>
      </c>
      <c r="DH32" s="93"/>
      <c r="DI32" s="93"/>
      <c r="DJ32" s="94">
        <f t="shared" si="49"/>
        <v>39402.37999999999</v>
      </c>
      <c r="DK32" s="92">
        <f t="shared" si="28"/>
        <v>451011.67000000016</v>
      </c>
      <c r="DL32" s="93">
        <v>-5148.46</v>
      </c>
      <c r="DM32" s="93"/>
      <c r="DN32" s="93"/>
      <c r="DO32" s="93">
        <f t="shared" ref="DO32:DO39" si="233">DK32+DL32-DM32+SUM(DN32:DN32)</f>
        <v>445863.21000000014</v>
      </c>
      <c r="DP32" s="93">
        <f t="shared" si="128"/>
        <v>39402.37999999999</v>
      </c>
      <c r="DQ32" s="93">
        <v>22501.919999999998</v>
      </c>
      <c r="DR32" s="93"/>
      <c r="DS32" s="93"/>
      <c r="DT32" s="94">
        <f t="shared" si="31"/>
        <v>61904.299999999988</v>
      </c>
      <c r="DU32" s="92">
        <f t="shared" si="32"/>
        <v>445863.21000000014</v>
      </c>
      <c r="DV32" s="93">
        <v>8510.6299999999992</v>
      </c>
      <c r="DW32" s="93"/>
      <c r="DX32" s="93"/>
      <c r="DY32" s="93">
        <f t="shared" ref="DY32:DY40" si="234">DU32+DV32-DW32+SUM(DX32:DX32)</f>
        <v>454373.84000000014</v>
      </c>
      <c r="DZ32" s="93">
        <f t="shared" si="130"/>
        <v>61904.299999999988</v>
      </c>
      <c r="EA32" s="93">
        <v>23146.15</v>
      </c>
      <c r="EB32" s="93"/>
      <c r="EC32" s="93"/>
      <c r="ED32" s="94">
        <f t="shared" si="35"/>
        <v>85050.449999999983</v>
      </c>
      <c r="EE32" s="92"/>
      <c r="EF32" s="93"/>
      <c r="EG32" s="93">
        <f t="shared" si="50"/>
        <v>454373.84000000014</v>
      </c>
      <c r="EH32" s="94">
        <f t="shared" si="51"/>
        <v>85050.449999999983</v>
      </c>
      <c r="EI32" s="92"/>
      <c r="EJ32" s="153">
        <v>14335.53</v>
      </c>
      <c r="EK32" s="93">
        <f t="shared" si="36"/>
        <v>99385.979999999981</v>
      </c>
      <c r="EL32" s="94">
        <f t="shared" si="131"/>
        <v>553759.82000000018</v>
      </c>
      <c r="EM32" s="94" t="s">
        <v>24</v>
      </c>
      <c r="EN32" s="140"/>
      <c r="EO32" s="37"/>
      <c r="EP32" s="21"/>
      <c r="EQ32" s="53"/>
      <c r="ER32" s="85"/>
      <c r="ES32" s="85"/>
    </row>
    <row r="33" spans="1:149" s="16" customFormat="1" x14ac:dyDescent="0.35">
      <c r="A33">
        <v>40</v>
      </c>
      <c r="B33"/>
      <c r="C33" s="32" t="s">
        <v>40</v>
      </c>
      <c r="D33" s="36">
        <v>1518</v>
      </c>
      <c r="E33" s="96"/>
      <c r="F33" s="97"/>
      <c r="G33" s="97"/>
      <c r="H33" s="97"/>
      <c r="I33" s="97">
        <f t="shared" si="0"/>
        <v>0</v>
      </c>
      <c r="J33" s="97"/>
      <c r="K33" s="97"/>
      <c r="L33" s="97"/>
      <c r="M33" s="97"/>
      <c r="N33" s="98">
        <f t="shared" si="1"/>
        <v>0</v>
      </c>
      <c r="O33" s="96">
        <f t="shared" si="2"/>
        <v>0</v>
      </c>
      <c r="P33" s="97"/>
      <c r="Q33" s="97"/>
      <c r="R33" s="97"/>
      <c r="S33" s="97">
        <f t="shared" si="116"/>
        <v>0</v>
      </c>
      <c r="T33" s="97">
        <f t="shared" si="38"/>
        <v>0</v>
      </c>
      <c r="U33" s="97"/>
      <c r="V33" s="97"/>
      <c r="W33" s="97"/>
      <c r="X33" s="98">
        <f t="shared" si="117"/>
        <v>0</v>
      </c>
      <c r="Y33" s="96">
        <f t="shared" si="39"/>
        <v>0</v>
      </c>
      <c r="Z33" s="97"/>
      <c r="AA33" s="97"/>
      <c r="AB33" s="97"/>
      <c r="AC33" s="97">
        <f t="shared" si="118"/>
        <v>0</v>
      </c>
      <c r="AD33" s="97">
        <f t="shared" si="40"/>
        <v>0</v>
      </c>
      <c r="AE33" s="97"/>
      <c r="AF33" s="97"/>
      <c r="AG33" s="97"/>
      <c r="AH33" s="98">
        <f t="shared" si="119"/>
        <v>0</v>
      </c>
      <c r="AI33" s="96">
        <f t="shared" si="41"/>
        <v>0</v>
      </c>
      <c r="AJ33" s="97"/>
      <c r="AK33" s="97"/>
      <c r="AL33" s="97"/>
      <c r="AM33" s="97">
        <f t="shared" si="120"/>
        <v>0</v>
      </c>
      <c r="AN33" s="97">
        <f t="shared" si="42"/>
        <v>0</v>
      </c>
      <c r="AO33" s="97"/>
      <c r="AP33" s="97"/>
      <c r="AQ33" s="97"/>
      <c r="AR33" s="98">
        <f t="shared" si="121"/>
        <v>0</v>
      </c>
      <c r="AS33" s="96">
        <f t="shared" si="43"/>
        <v>0</v>
      </c>
      <c r="AT33" s="97"/>
      <c r="AU33" s="97"/>
      <c r="AV33" s="95">
        <v>527672.88</v>
      </c>
      <c r="AW33" s="97">
        <f t="shared" si="122"/>
        <v>527672.88</v>
      </c>
      <c r="AX33" s="97">
        <f t="shared" si="44"/>
        <v>0</v>
      </c>
      <c r="AY33" s="97"/>
      <c r="AZ33" s="97"/>
      <c r="BA33" s="95">
        <v>27088</v>
      </c>
      <c r="BB33" s="98">
        <f t="shared" si="123"/>
        <v>27088</v>
      </c>
      <c r="BC33" s="96">
        <f t="shared" si="45"/>
        <v>527672.88</v>
      </c>
      <c r="BD33" s="97">
        <f>51282.47</f>
        <v>51282.47</v>
      </c>
      <c r="BE33" s="97"/>
      <c r="BF33" s="97"/>
      <c r="BG33" s="97">
        <f t="shared" si="124"/>
        <v>578955.35</v>
      </c>
      <c r="BH33" s="97">
        <f t="shared" si="46"/>
        <v>27088</v>
      </c>
      <c r="BI33" s="97">
        <f>297+6336</f>
        <v>6633</v>
      </c>
      <c r="BJ33" s="97"/>
      <c r="BK33" s="97"/>
      <c r="BL33" s="98">
        <f t="shared" si="125"/>
        <v>33721</v>
      </c>
      <c r="BM33" s="96">
        <f t="shared" si="47"/>
        <v>578955.35</v>
      </c>
      <c r="BN33" s="97">
        <v>33665.32</v>
      </c>
      <c r="BO33" s="95">
        <v>527672.88</v>
      </c>
      <c r="BP33" s="97"/>
      <c r="BQ33" s="97">
        <f t="shared" si="12"/>
        <v>84947.789999999921</v>
      </c>
      <c r="BR33" s="97">
        <f t="shared" si="48"/>
        <v>33721</v>
      </c>
      <c r="BS33" s="97">
        <f>1261-528</f>
        <v>733</v>
      </c>
      <c r="BT33" s="95">
        <v>32896</v>
      </c>
      <c r="BU33" s="97"/>
      <c r="BV33" s="98">
        <f t="shared" si="13"/>
        <v>1558</v>
      </c>
      <c r="BW33" s="96">
        <f t="shared" si="126"/>
        <v>84947.789999999921</v>
      </c>
      <c r="BX33" s="97">
        <v>18714.990000000002</v>
      </c>
      <c r="BY33" s="97"/>
      <c r="BZ33" s="97"/>
      <c r="CA33" s="97">
        <f t="shared" si="14"/>
        <v>103662.77999999993</v>
      </c>
      <c r="CB33" s="97">
        <f t="shared" si="15"/>
        <v>1558</v>
      </c>
      <c r="CC33" s="97">
        <v>2153</v>
      </c>
      <c r="CD33" s="97"/>
      <c r="CE33" s="97"/>
      <c r="CF33" s="98">
        <f t="shared" si="16"/>
        <v>3711</v>
      </c>
      <c r="CG33" s="96">
        <f t="shared" si="17"/>
        <v>103662.77999999993</v>
      </c>
      <c r="CH33" s="97">
        <v>10610.06</v>
      </c>
      <c r="CI33" s="97"/>
      <c r="CJ33" s="97"/>
      <c r="CK33" s="97">
        <f t="shared" si="18"/>
        <v>114272.83999999992</v>
      </c>
      <c r="CL33" s="97">
        <f t="shared" si="19"/>
        <v>3711</v>
      </c>
      <c r="CM33" s="97">
        <v>1421</v>
      </c>
      <c r="CN33" s="97"/>
      <c r="CO33" s="97"/>
      <c r="CP33" s="98">
        <f t="shared" si="20"/>
        <v>5132</v>
      </c>
      <c r="CQ33" s="96">
        <f t="shared" si="21"/>
        <v>114272.83999999992</v>
      </c>
      <c r="CR33" s="97">
        <v>-2686.45</v>
      </c>
      <c r="CS33" s="97"/>
      <c r="CT33" s="97"/>
      <c r="CU33" s="97">
        <f t="shared" si="22"/>
        <v>111586.38999999993</v>
      </c>
      <c r="CV33" s="97">
        <f t="shared" si="23"/>
        <v>5132</v>
      </c>
      <c r="CW33" s="97">
        <v>621</v>
      </c>
      <c r="CX33" s="97"/>
      <c r="CY33" s="97"/>
      <c r="CZ33" s="98">
        <f t="shared" si="24"/>
        <v>5753</v>
      </c>
      <c r="DA33" s="96">
        <f t="shared" si="25"/>
        <v>111586.38999999993</v>
      </c>
      <c r="DB33" s="97">
        <v>-1614.46</v>
      </c>
      <c r="DC33" s="97"/>
      <c r="DD33" s="97"/>
      <c r="DE33" s="97">
        <f t="shared" si="26"/>
        <v>109971.92999999992</v>
      </c>
      <c r="DF33" s="97">
        <f t="shared" si="27"/>
        <v>5753</v>
      </c>
      <c r="DG33" s="97">
        <v>2139</v>
      </c>
      <c r="DH33" s="97"/>
      <c r="DI33" s="97"/>
      <c r="DJ33" s="98">
        <f t="shared" si="49"/>
        <v>7892</v>
      </c>
      <c r="DK33" s="96">
        <f t="shared" si="28"/>
        <v>109971.92999999992</v>
      </c>
      <c r="DL33" s="97">
        <v>-1063.3499999999999</v>
      </c>
      <c r="DM33" s="97"/>
      <c r="DN33" s="97"/>
      <c r="DO33" s="97">
        <f t="shared" si="233"/>
        <v>108908.57999999991</v>
      </c>
      <c r="DP33" s="97">
        <f t="shared" si="128"/>
        <v>7892</v>
      </c>
      <c r="DQ33" s="97">
        <v>5544</v>
      </c>
      <c r="DR33" s="97"/>
      <c r="DS33" s="97"/>
      <c r="DT33" s="98">
        <f t="shared" si="31"/>
        <v>13436</v>
      </c>
      <c r="DU33" s="96">
        <f t="shared" si="32"/>
        <v>108908.57999999991</v>
      </c>
      <c r="DV33" s="97">
        <v>1791.18</v>
      </c>
      <c r="DW33" s="97"/>
      <c r="DX33" s="97"/>
      <c r="DY33" s="97">
        <f t="shared" si="234"/>
        <v>110699.75999999991</v>
      </c>
      <c r="DZ33" s="97">
        <f t="shared" si="130"/>
        <v>13436</v>
      </c>
      <c r="EA33" s="97">
        <v>5601</v>
      </c>
      <c r="EB33" s="97"/>
      <c r="EC33" s="97"/>
      <c r="ED33" s="98">
        <f t="shared" si="35"/>
        <v>19037</v>
      </c>
      <c r="EE33" s="96"/>
      <c r="EF33" s="97"/>
      <c r="EG33" s="97">
        <f t="shared" si="50"/>
        <v>110699.75999999991</v>
      </c>
      <c r="EH33" s="98">
        <f t="shared" si="51"/>
        <v>19037</v>
      </c>
      <c r="EI33" s="96"/>
      <c r="EJ33" s="97">
        <v>3492.58</v>
      </c>
      <c r="EK33" s="97">
        <f t="shared" si="36"/>
        <v>22529.58</v>
      </c>
      <c r="EL33" s="94">
        <f t="shared" si="131"/>
        <v>133229.33999999991</v>
      </c>
      <c r="EM33" s="94" t="s">
        <v>24</v>
      </c>
      <c r="EN33" s="1">
        <v>669161.04999999993</v>
      </c>
      <c r="EO33" s="37">
        <f>EN33-SUM(DY33,ED33,DY32,ED32)</f>
        <v>0</v>
      </c>
      <c r="EP33" s="21"/>
      <c r="EQ33" s="53"/>
      <c r="ER33" s="85"/>
      <c r="ES33" s="85"/>
    </row>
    <row r="34" spans="1:149" s="16" customFormat="1" x14ac:dyDescent="0.35">
      <c r="A34">
        <v>41</v>
      </c>
      <c r="B34"/>
      <c r="C34" s="32" t="s">
        <v>41</v>
      </c>
      <c r="D34" s="36">
        <v>1548</v>
      </c>
      <c r="E34" s="92"/>
      <c r="F34" s="93"/>
      <c r="G34" s="93"/>
      <c r="H34" s="93">
        <f>449396+24654</f>
        <v>474050</v>
      </c>
      <c r="I34" s="93">
        <f t="shared" si="0"/>
        <v>474050</v>
      </c>
      <c r="J34" s="93"/>
      <c r="K34" s="93"/>
      <c r="L34" s="93"/>
      <c r="M34" s="93">
        <f>12746+702</f>
        <v>13448</v>
      </c>
      <c r="N34" s="94">
        <f t="shared" si="1"/>
        <v>13448</v>
      </c>
      <c r="O34" s="92">
        <f t="shared" si="2"/>
        <v>474050</v>
      </c>
      <c r="P34" s="93">
        <v>120331.49</v>
      </c>
      <c r="Q34" s="93"/>
      <c r="R34" s="93"/>
      <c r="S34" s="93">
        <f>O34+P34-Q34+R34</f>
        <v>594381.49</v>
      </c>
      <c r="T34" s="93">
        <f t="shared" si="38"/>
        <v>13448</v>
      </c>
      <c r="U34" s="93">
        <v>7721.98</v>
      </c>
      <c r="V34" s="93"/>
      <c r="W34" s="93"/>
      <c r="X34" s="94">
        <f>T34+U34-V34+W34</f>
        <v>21169.98</v>
      </c>
      <c r="Y34" s="92">
        <f t="shared" si="39"/>
        <v>594381.49</v>
      </c>
      <c r="Z34" s="93">
        <v>122849.47</v>
      </c>
      <c r="AA34" s="93">
        <f>449396+24654</f>
        <v>474050</v>
      </c>
      <c r="AB34" s="93"/>
      <c r="AC34" s="93">
        <f>Y34+Z34-AA34+AB34</f>
        <v>243180.95999999996</v>
      </c>
      <c r="AD34" s="93">
        <f t="shared" si="40"/>
        <v>21169.98</v>
      </c>
      <c r="AE34" s="93">
        <f>4882.1-0.75</f>
        <v>4881.3500000000004</v>
      </c>
      <c r="AF34" s="93">
        <f>9291+13448</f>
        <v>22739</v>
      </c>
      <c r="AG34" s="93"/>
      <c r="AH34" s="94">
        <f>AD34+AE34-AF34+AG34</f>
        <v>3312.3300000000017</v>
      </c>
      <c r="AI34" s="92">
        <f t="shared" si="41"/>
        <v>243180.95999999996</v>
      </c>
      <c r="AJ34" s="93">
        <v>136380.81</v>
      </c>
      <c r="AK34" s="93"/>
      <c r="AL34" s="93"/>
      <c r="AM34" s="93">
        <f>AI34+AJ34-AK34+AL34</f>
        <v>379561.76999999996</v>
      </c>
      <c r="AN34" s="93">
        <f t="shared" si="42"/>
        <v>3312.3300000000017</v>
      </c>
      <c r="AO34" s="93">
        <f>3612.47-0.75</f>
        <v>3611.72</v>
      </c>
      <c r="AP34" s="93"/>
      <c r="AQ34" s="93"/>
      <c r="AR34" s="94">
        <f>AN34+AO34-AP34+AQ34</f>
        <v>6924.0500000000011</v>
      </c>
      <c r="AS34" s="92">
        <f t="shared" si="43"/>
        <v>379561.76999999996</v>
      </c>
      <c r="AT34" s="93">
        <v>147954.44</v>
      </c>
      <c r="AU34" s="93"/>
      <c r="AV34" s="93"/>
      <c r="AW34" s="93">
        <f>AS34+AT34-AU34+AV34</f>
        <v>527516.21</v>
      </c>
      <c r="AX34" s="93">
        <f t="shared" si="44"/>
        <v>6924.0500000000011</v>
      </c>
      <c r="AY34" s="93">
        <v>4904.74</v>
      </c>
      <c r="AZ34" s="93"/>
      <c r="BA34" s="93"/>
      <c r="BB34" s="94">
        <f>AX34+AY34-AZ34+BA34</f>
        <v>11828.79</v>
      </c>
      <c r="BC34" s="92">
        <f t="shared" si="45"/>
        <v>527516.21</v>
      </c>
      <c r="BD34" s="93">
        <v>153318.26999999999</v>
      </c>
      <c r="BE34" s="93"/>
      <c r="BF34" s="93"/>
      <c r="BG34" s="93">
        <f>BC34+BD34-BE34+BF34</f>
        <v>680834.48</v>
      </c>
      <c r="BH34" s="93">
        <f t="shared" si="46"/>
        <v>11828.79</v>
      </c>
      <c r="BI34" s="93">
        <f>7225.5+1.75</f>
        <v>7227.25</v>
      </c>
      <c r="BJ34" s="93"/>
      <c r="BK34" s="93"/>
      <c r="BL34" s="94">
        <f>BH34+BI34-BJ34+BK34</f>
        <v>19056.04</v>
      </c>
      <c r="BM34" s="92">
        <f t="shared" si="47"/>
        <v>680834.48</v>
      </c>
      <c r="BN34" s="93">
        <f>157536.85-65.6</f>
        <v>157471.25</v>
      </c>
      <c r="BO34" s="93"/>
      <c r="BP34" s="93"/>
      <c r="BQ34" s="93">
        <f>BM34+BN34-BO34+BP34</f>
        <v>838305.73</v>
      </c>
      <c r="BR34" s="93">
        <f t="shared" si="48"/>
        <v>19056.04</v>
      </c>
      <c r="BS34" s="93">
        <f>14175.77+45.32</f>
        <v>14221.09</v>
      </c>
      <c r="BT34" s="93"/>
      <c r="BU34" s="93"/>
      <c r="BV34" s="94">
        <f>BR34+BS34-BT34+BU34</f>
        <v>33277.130000000005</v>
      </c>
      <c r="BW34" s="92">
        <f>BQ34</f>
        <v>838305.73</v>
      </c>
      <c r="BX34" s="93">
        <v>155891.69</v>
      </c>
      <c r="BY34" s="93"/>
      <c r="BZ34" s="93"/>
      <c r="CA34" s="93">
        <f t="shared" si="14"/>
        <v>994197.41999999993</v>
      </c>
      <c r="CB34" s="93">
        <f>BV34</f>
        <v>33277.130000000005</v>
      </c>
      <c r="CC34" s="93">
        <v>20425.419999999998</v>
      </c>
      <c r="CD34" s="93"/>
      <c r="CE34" s="93"/>
      <c r="CF34" s="94">
        <f>CB34+CC34-CD34+CE34</f>
        <v>53702.55</v>
      </c>
      <c r="CG34" s="92">
        <f>CA34</f>
        <v>994197.41999999993</v>
      </c>
      <c r="CH34" s="93">
        <v>83924.31</v>
      </c>
      <c r="CI34" s="93"/>
      <c r="CJ34" s="93"/>
      <c r="CK34" s="93">
        <f t="shared" si="18"/>
        <v>1078121.73</v>
      </c>
      <c r="CL34" s="93">
        <f>CF34</f>
        <v>53702.55</v>
      </c>
      <c r="CM34" s="93">
        <v>14035.03</v>
      </c>
      <c r="CN34" s="93"/>
      <c r="CO34" s="93"/>
      <c r="CP34" s="94">
        <f>CL34+CM34-CN34+CO34</f>
        <v>67737.58</v>
      </c>
      <c r="CQ34" s="92">
        <f>CK34</f>
        <v>1078121.73</v>
      </c>
      <c r="CR34" s="93">
        <v>-993492.43</v>
      </c>
      <c r="CS34" s="93"/>
      <c r="CT34" s="93"/>
      <c r="CU34" s="93">
        <f>CQ34+CR34-CS34+SUM(CT34:CT34)</f>
        <v>84629.29999999993</v>
      </c>
      <c r="CV34" s="93">
        <f>CP34</f>
        <v>67737.58</v>
      </c>
      <c r="CW34" s="93">
        <v>6172.52</v>
      </c>
      <c r="CX34" s="93"/>
      <c r="CY34" s="93"/>
      <c r="CZ34" s="94">
        <f t="shared" si="24"/>
        <v>73910.100000000006</v>
      </c>
      <c r="DA34" s="92">
        <f>CU34</f>
        <v>84629.29999999993</v>
      </c>
      <c r="DB34" s="93">
        <v>-939.25</v>
      </c>
      <c r="DC34" s="93"/>
      <c r="DD34" s="93"/>
      <c r="DE34" s="93">
        <f t="shared" si="26"/>
        <v>83690.04999999993</v>
      </c>
      <c r="DF34" s="93">
        <f>CZ34</f>
        <v>73910.100000000006</v>
      </c>
      <c r="DG34" s="93">
        <v>-66585.460000000006</v>
      </c>
      <c r="DH34" s="93"/>
      <c r="DI34" s="93"/>
      <c r="DJ34" s="94">
        <f t="shared" si="49"/>
        <v>7324.6399999999994</v>
      </c>
      <c r="DK34" s="92">
        <f>DE34</f>
        <v>83690.04999999993</v>
      </c>
      <c r="DL34" s="93">
        <v>-1355.11</v>
      </c>
      <c r="DM34" s="93"/>
      <c r="DN34" s="93"/>
      <c r="DO34" s="93">
        <f t="shared" si="233"/>
        <v>82334.93999999993</v>
      </c>
      <c r="DP34" s="93">
        <f t="shared" si="128"/>
        <v>7324.6399999999994</v>
      </c>
      <c r="DQ34" s="93">
        <v>4186.6899999999996</v>
      </c>
      <c r="DR34" s="93"/>
      <c r="DS34" s="93"/>
      <c r="DT34" s="94">
        <f t="shared" si="31"/>
        <v>11511.329999999998</v>
      </c>
      <c r="DU34" s="92">
        <f>DO34</f>
        <v>82334.93999999993</v>
      </c>
      <c r="DV34" s="93">
        <v>-1089.81</v>
      </c>
      <c r="DW34" s="93"/>
      <c r="DX34" s="93"/>
      <c r="DY34" s="93">
        <f t="shared" si="234"/>
        <v>81245.129999999932</v>
      </c>
      <c r="DZ34" s="93">
        <f t="shared" si="130"/>
        <v>11511.329999999998</v>
      </c>
      <c r="EA34" s="93">
        <v>4202.8999999999996</v>
      </c>
      <c r="EB34" s="93"/>
      <c r="EC34" s="93"/>
      <c r="ED34" s="94">
        <f t="shared" si="35"/>
        <v>15714.229999999998</v>
      </c>
      <c r="EE34" s="92"/>
      <c r="EF34" s="93"/>
      <c r="EG34" s="93">
        <f t="shared" si="50"/>
        <v>81245.129999999932</v>
      </c>
      <c r="EH34" s="94">
        <f t="shared" si="51"/>
        <v>15714.229999999998</v>
      </c>
      <c r="EI34" s="92"/>
      <c r="EJ34" s="153">
        <v>2563.29</v>
      </c>
      <c r="EK34" s="93">
        <f t="shared" si="36"/>
        <v>18277.519999999997</v>
      </c>
      <c r="EL34" s="94">
        <f t="shared" si="131"/>
        <v>99522.649999999921</v>
      </c>
      <c r="EM34" s="94" t="s">
        <v>24</v>
      </c>
      <c r="EN34" s="140"/>
      <c r="EO34" s="37"/>
      <c r="EP34" s="21"/>
      <c r="EQ34" s="53"/>
      <c r="ER34" s="85"/>
      <c r="ES34" s="85"/>
    </row>
    <row r="35" spans="1:149" s="16" customFormat="1" x14ac:dyDescent="0.35">
      <c r="A35">
        <v>42</v>
      </c>
      <c r="B35"/>
      <c r="C35" s="32" t="s">
        <v>42</v>
      </c>
      <c r="D35" s="36">
        <v>1548</v>
      </c>
      <c r="E35" s="92"/>
      <c r="F35" s="93"/>
      <c r="G35" s="93"/>
      <c r="H35" s="93"/>
      <c r="I35" s="93">
        <f t="shared" si="0"/>
        <v>0</v>
      </c>
      <c r="J35" s="93"/>
      <c r="K35" s="93"/>
      <c r="L35" s="93"/>
      <c r="M35" s="93"/>
      <c r="N35" s="94">
        <f t="shared" si="1"/>
        <v>0</v>
      </c>
      <c r="O35" s="92">
        <f t="shared" si="2"/>
        <v>0</v>
      </c>
      <c r="P35" s="93"/>
      <c r="Q35" s="93"/>
      <c r="R35" s="93"/>
      <c r="S35" s="93">
        <f>O35+P35-Q35+R35</f>
        <v>0</v>
      </c>
      <c r="T35" s="93">
        <f t="shared" si="38"/>
        <v>0</v>
      </c>
      <c r="U35" s="93"/>
      <c r="V35" s="93"/>
      <c r="W35" s="93"/>
      <c r="X35" s="94">
        <f>T35+U35-V35+W35</f>
        <v>0</v>
      </c>
      <c r="Y35" s="92">
        <f t="shared" si="39"/>
        <v>0</v>
      </c>
      <c r="Z35" s="93"/>
      <c r="AA35" s="93"/>
      <c r="AB35" s="93"/>
      <c r="AC35" s="93">
        <f>Y35+Z35-AA35+AB35</f>
        <v>0</v>
      </c>
      <c r="AD35" s="93">
        <f t="shared" si="40"/>
        <v>0</v>
      </c>
      <c r="AE35" s="93"/>
      <c r="AF35" s="93"/>
      <c r="AG35" s="93"/>
      <c r="AH35" s="94">
        <f>AD35+AE35-AF35+AG35</f>
        <v>0</v>
      </c>
      <c r="AI35" s="92">
        <f t="shared" si="41"/>
        <v>0</v>
      </c>
      <c r="AJ35" s="93"/>
      <c r="AK35" s="93"/>
      <c r="AL35" s="93"/>
      <c r="AM35" s="93">
        <f>AI35+AJ35-AK35+AL35</f>
        <v>0</v>
      </c>
      <c r="AN35" s="93">
        <f t="shared" si="42"/>
        <v>0</v>
      </c>
      <c r="AO35" s="93"/>
      <c r="AP35" s="93"/>
      <c r="AQ35" s="93"/>
      <c r="AR35" s="94">
        <f>AN35+AO35-AP35+AQ35</f>
        <v>0</v>
      </c>
      <c r="AS35" s="92">
        <f t="shared" si="43"/>
        <v>0</v>
      </c>
      <c r="AT35" s="93"/>
      <c r="AU35" s="93"/>
      <c r="AV35" s="95">
        <v>40631.64</v>
      </c>
      <c r="AW35" s="93">
        <f>AS35+AT35-AU35+AV35</f>
        <v>40631.64</v>
      </c>
      <c r="AX35" s="93">
        <f t="shared" si="44"/>
        <v>0</v>
      </c>
      <c r="AY35" s="93"/>
      <c r="AZ35" s="93"/>
      <c r="BA35" s="95">
        <v>1293</v>
      </c>
      <c r="BB35" s="94">
        <f>AX35+AY35-AZ35+BA35</f>
        <v>1293</v>
      </c>
      <c r="BC35" s="92">
        <f t="shared" si="45"/>
        <v>40631.64</v>
      </c>
      <c r="BD35" s="93">
        <f>6877.36</f>
        <v>6877.36</v>
      </c>
      <c r="BE35" s="93"/>
      <c r="BF35" s="93"/>
      <c r="BG35" s="93">
        <f>BC35+BD35-BE35+BF35</f>
        <v>47509</v>
      </c>
      <c r="BH35" s="93">
        <f t="shared" si="46"/>
        <v>1293</v>
      </c>
      <c r="BI35" s="93">
        <f>34+486</f>
        <v>520</v>
      </c>
      <c r="BJ35" s="93"/>
      <c r="BK35" s="93"/>
      <c r="BL35" s="94">
        <f>BH35+BI35-BJ35+BK35</f>
        <v>1813</v>
      </c>
      <c r="BM35" s="92">
        <f t="shared" si="47"/>
        <v>47509</v>
      </c>
      <c r="BN35" s="93">
        <v>7148.76</v>
      </c>
      <c r="BO35" s="95">
        <v>40631.64</v>
      </c>
      <c r="BP35" s="93"/>
      <c r="BQ35" s="93">
        <f>BM35+BN35-BO35+BP35</f>
        <v>14026.120000000003</v>
      </c>
      <c r="BR35" s="93">
        <f t="shared" si="48"/>
        <v>1813</v>
      </c>
      <c r="BS35" s="93">
        <f>186-42</f>
        <v>144</v>
      </c>
      <c r="BT35" s="95">
        <v>1737</v>
      </c>
      <c r="BU35" s="93"/>
      <c r="BV35" s="94">
        <f>BR35+BS35-BT35+BU35</f>
        <v>220</v>
      </c>
      <c r="BW35" s="92">
        <f t="shared" si="126"/>
        <v>14026.120000000003</v>
      </c>
      <c r="BX35" s="93">
        <v>6568.63</v>
      </c>
      <c r="BY35" s="93"/>
      <c r="BZ35" s="93"/>
      <c r="CA35" s="93">
        <f t="shared" si="14"/>
        <v>20594.750000000004</v>
      </c>
      <c r="CB35" s="93">
        <f t="shared" si="15"/>
        <v>220</v>
      </c>
      <c r="CC35" s="93">
        <v>374</v>
      </c>
      <c r="CD35" s="93"/>
      <c r="CE35" s="93"/>
      <c r="CF35" s="94">
        <f>CB35+CC35-CD35+CE35</f>
        <v>594</v>
      </c>
      <c r="CG35" s="92">
        <f t="shared" si="17"/>
        <v>20594.750000000004</v>
      </c>
      <c r="CH35" s="93">
        <v>3283.41</v>
      </c>
      <c r="CI35" s="93"/>
      <c r="CJ35" s="93"/>
      <c r="CK35" s="93">
        <f t="shared" si="18"/>
        <v>23878.160000000003</v>
      </c>
      <c r="CL35" s="93">
        <f t="shared" si="19"/>
        <v>594</v>
      </c>
      <c r="CM35" s="93">
        <v>290</v>
      </c>
      <c r="CN35" s="93"/>
      <c r="CO35" s="93"/>
      <c r="CP35" s="94">
        <f t="shared" si="20"/>
        <v>884</v>
      </c>
      <c r="CQ35" s="92">
        <f t="shared" si="21"/>
        <v>23878.160000000003</v>
      </c>
      <c r="CR35" s="93">
        <v>1399.55</v>
      </c>
      <c r="CS35" s="93"/>
      <c r="CT35" s="93"/>
      <c r="CU35" s="93">
        <f t="shared" si="22"/>
        <v>25277.710000000003</v>
      </c>
      <c r="CV35" s="93">
        <f t="shared" si="23"/>
        <v>884</v>
      </c>
      <c r="CW35" s="93">
        <v>133</v>
      </c>
      <c r="CX35" s="93"/>
      <c r="CY35" s="93"/>
      <c r="CZ35" s="94">
        <f t="shared" si="24"/>
        <v>1017</v>
      </c>
      <c r="DA35" s="92">
        <f t="shared" si="25"/>
        <v>25277.710000000003</v>
      </c>
      <c r="DB35" s="93">
        <v>-196.98</v>
      </c>
      <c r="DC35" s="93"/>
      <c r="DD35" s="93"/>
      <c r="DE35" s="93">
        <f t="shared" si="26"/>
        <v>25080.730000000003</v>
      </c>
      <c r="DF35" s="93">
        <f t="shared" si="27"/>
        <v>1017</v>
      </c>
      <c r="DG35" s="93">
        <v>483</v>
      </c>
      <c r="DH35" s="93"/>
      <c r="DI35" s="93"/>
      <c r="DJ35" s="94">
        <f t="shared" si="49"/>
        <v>1500</v>
      </c>
      <c r="DK35" s="92">
        <f t="shared" si="28"/>
        <v>25080.730000000003</v>
      </c>
      <c r="DL35" s="93">
        <v>-279.88</v>
      </c>
      <c r="DM35" s="93"/>
      <c r="DN35" s="93"/>
      <c r="DO35" s="93">
        <f t="shared" si="233"/>
        <v>24800.850000000002</v>
      </c>
      <c r="DP35" s="93">
        <f t="shared" si="128"/>
        <v>1500</v>
      </c>
      <c r="DQ35" s="93">
        <v>1266</v>
      </c>
      <c r="DR35" s="93"/>
      <c r="DS35" s="93"/>
      <c r="DT35" s="94">
        <f t="shared" si="31"/>
        <v>2766</v>
      </c>
      <c r="DU35" s="92">
        <f t="shared" ref="DU35" si="235">DO35</f>
        <v>24800.850000000002</v>
      </c>
      <c r="DV35" s="93">
        <v>-229.36</v>
      </c>
      <c r="DW35" s="93"/>
      <c r="DX35" s="93"/>
      <c r="DY35" s="93">
        <f t="shared" si="234"/>
        <v>24571.49</v>
      </c>
      <c r="DZ35" s="93">
        <f t="shared" si="130"/>
        <v>2766</v>
      </c>
      <c r="EA35" s="93">
        <v>1272</v>
      </c>
      <c r="EB35" s="93"/>
      <c r="EC35" s="93"/>
      <c r="ED35" s="94">
        <f t="shared" si="35"/>
        <v>4038</v>
      </c>
      <c r="EE35" s="92"/>
      <c r="EF35" s="93"/>
      <c r="EG35" s="93">
        <f t="shared" si="50"/>
        <v>24571.49</v>
      </c>
      <c r="EH35" s="94">
        <f t="shared" si="51"/>
        <v>4038</v>
      </c>
      <c r="EI35" s="92"/>
      <c r="EJ35" s="93">
        <v>775.23</v>
      </c>
      <c r="EK35" s="93">
        <f t="shared" si="36"/>
        <v>4813.2299999999996</v>
      </c>
      <c r="EL35" s="94">
        <f t="shared" si="131"/>
        <v>29384.720000000001</v>
      </c>
      <c r="EM35" s="94" t="s">
        <v>24</v>
      </c>
      <c r="EN35" s="1">
        <v>125568.6</v>
      </c>
      <c r="EO35" s="37">
        <f>EN35-SUM(DY35,ED35,DY34,ED34)</f>
        <v>-0.24999999992724042</v>
      </c>
      <c r="EP35" s="21"/>
      <c r="EQ35" s="53"/>
      <c r="ER35" s="85"/>
      <c r="ES35" s="85"/>
    </row>
    <row r="36" spans="1:149" s="16" customFormat="1" x14ac:dyDescent="0.35">
      <c r="A36">
        <v>43</v>
      </c>
      <c r="B36"/>
      <c r="C36" s="32" t="s">
        <v>43</v>
      </c>
      <c r="D36" s="36">
        <v>1555</v>
      </c>
      <c r="E36" s="92"/>
      <c r="F36" s="93"/>
      <c r="G36" s="93"/>
      <c r="H36" s="93">
        <v>4579787.8099999996</v>
      </c>
      <c r="I36" s="93">
        <f t="shared" si="0"/>
        <v>4579787.8099999996</v>
      </c>
      <c r="J36" s="93"/>
      <c r="K36" s="93"/>
      <c r="L36" s="93"/>
      <c r="M36" s="93"/>
      <c r="N36" s="94">
        <f t="shared" si="1"/>
        <v>0</v>
      </c>
      <c r="O36" s="92">
        <f t="shared" si="2"/>
        <v>4579787.8099999996</v>
      </c>
      <c r="P36" s="93">
        <v>-254992</v>
      </c>
      <c r="Q36" s="93"/>
      <c r="R36" s="93">
        <v>-165</v>
      </c>
      <c r="S36" s="93">
        <f t="shared" ref="S36:S40" si="236">O36+P36-Q36+R36</f>
        <v>4324630.8099999996</v>
      </c>
      <c r="T36" s="93">
        <f t="shared" si="38"/>
        <v>0</v>
      </c>
      <c r="U36" s="93"/>
      <c r="V36" s="93"/>
      <c r="W36" s="93">
        <v>165</v>
      </c>
      <c r="X36" s="94">
        <f t="shared" ref="X36:X40" si="237">T36+U36-V36+W36</f>
        <v>165</v>
      </c>
      <c r="Y36" s="92">
        <f t="shared" si="39"/>
        <v>4324630.8099999996</v>
      </c>
      <c r="Z36" s="93">
        <f>1494142.6-4324795.81-64127.91</f>
        <v>-2894781.1199999996</v>
      </c>
      <c r="AA36" s="93"/>
      <c r="AB36" s="93"/>
      <c r="AC36" s="93">
        <f t="shared" ref="AC36:AC40" si="238">Y36+Z36-AA36+AB36</f>
        <v>1429849.69</v>
      </c>
      <c r="AD36" s="93">
        <f t="shared" si="40"/>
        <v>165</v>
      </c>
      <c r="AE36" s="93">
        <v>26942.57</v>
      </c>
      <c r="AF36" s="93"/>
      <c r="AG36" s="93"/>
      <c r="AH36" s="94">
        <f t="shared" ref="AH36:AH40" si="239">AD36+AE36-AF36+AG36</f>
        <v>27107.57</v>
      </c>
      <c r="AI36" s="92">
        <f t="shared" si="41"/>
        <v>1429849.69</v>
      </c>
      <c r="AJ36" s="93">
        <f>15206.86-1494142.6</f>
        <v>-1478935.74</v>
      </c>
      <c r="AK36" s="93"/>
      <c r="AL36" s="93"/>
      <c r="AM36" s="93">
        <f t="shared" ref="AM36:AM40" si="240">AI36+AJ36-AK36+AL36</f>
        <v>-49086.050000000047</v>
      </c>
      <c r="AN36" s="93">
        <f t="shared" si="42"/>
        <v>27107.57</v>
      </c>
      <c r="AO36" s="93">
        <f>31020.8-26942.57</f>
        <v>4078.2299999999996</v>
      </c>
      <c r="AP36" s="93"/>
      <c r="AQ36" s="93"/>
      <c r="AR36" s="94">
        <f t="shared" ref="AR36:AR40" si="241">AN36+AO36-AP36+AQ36</f>
        <v>31185.8</v>
      </c>
      <c r="AS36" s="92">
        <f t="shared" si="43"/>
        <v>-49086.050000000047</v>
      </c>
      <c r="AT36" s="93"/>
      <c r="AU36" s="93"/>
      <c r="AV36" s="93"/>
      <c r="AW36" s="93">
        <f t="shared" ref="AW36:AW40" si="242">AS36+AT36-AU36+AV36</f>
        <v>-49086.050000000047</v>
      </c>
      <c r="AX36" s="93">
        <f t="shared" si="44"/>
        <v>31185.8</v>
      </c>
      <c r="AY36" s="93">
        <f>30482.72-31020.8</f>
        <v>-538.07999999999811</v>
      </c>
      <c r="AZ36" s="93"/>
      <c r="BA36" s="93"/>
      <c r="BB36" s="94">
        <f t="shared" ref="BB36:BB40" si="243">AX36+AY36-AZ36+BA36</f>
        <v>30647.72</v>
      </c>
      <c r="BC36" s="92">
        <f t="shared" si="45"/>
        <v>-49086.050000000047</v>
      </c>
      <c r="BD36" s="93"/>
      <c r="BE36" s="93"/>
      <c r="BF36" s="93"/>
      <c r="BG36" s="93">
        <f t="shared" ref="BG36:BG40" si="244">BC36+BD36-BE36+BF36</f>
        <v>-49086.050000000047</v>
      </c>
      <c r="BH36" s="93">
        <f t="shared" si="46"/>
        <v>30647.72</v>
      </c>
      <c r="BI36" s="93">
        <f>29895.71-30482.72</f>
        <v>-587.01000000000204</v>
      </c>
      <c r="BJ36" s="93"/>
      <c r="BK36" s="93"/>
      <c r="BL36" s="94">
        <f t="shared" ref="BL36:BL40" si="245">BH36+BI36-BJ36+BK36</f>
        <v>30060.71</v>
      </c>
      <c r="BM36" s="92">
        <f t="shared" si="47"/>
        <v>-49086.050000000047</v>
      </c>
      <c r="BN36" s="93"/>
      <c r="BO36" s="93"/>
      <c r="BP36" s="93"/>
      <c r="BQ36" s="93">
        <f>BM36+BN36-BO36+BP36</f>
        <v>-49086.050000000047</v>
      </c>
      <c r="BR36" s="93">
        <f t="shared" si="48"/>
        <v>30060.71</v>
      </c>
      <c r="BS36" s="93">
        <f>28984.55-29895.71-0.5</f>
        <v>-911.65999999999985</v>
      </c>
      <c r="BT36" s="93"/>
      <c r="BU36" s="93"/>
      <c r="BV36" s="94">
        <f>BR36+BS36-BT36+BU36</f>
        <v>29149.05</v>
      </c>
      <c r="BW36" s="92">
        <f>BQ36</f>
        <v>-49086.050000000047</v>
      </c>
      <c r="BX36" s="93"/>
      <c r="BY36" s="93"/>
      <c r="BZ36" s="93"/>
      <c r="CA36" s="93">
        <f t="shared" si="14"/>
        <v>-49086.050000000047</v>
      </c>
      <c r="CB36" s="93">
        <f t="shared" si="15"/>
        <v>29149.05</v>
      </c>
      <c r="CC36" s="93">
        <f>27885.08-28984.55</f>
        <v>-1099.4699999999975</v>
      </c>
      <c r="CD36" s="93"/>
      <c r="CE36" s="93"/>
      <c r="CF36" s="94">
        <f t="shared" si="16"/>
        <v>28049.58</v>
      </c>
      <c r="CG36" s="92">
        <f t="shared" si="17"/>
        <v>-49086.050000000047</v>
      </c>
      <c r="CH36" s="93"/>
      <c r="CI36" s="93"/>
      <c r="CJ36" s="93"/>
      <c r="CK36" s="93">
        <f t="shared" si="18"/>
        <v>-49086.050000000047</v>
      </c>
      <c r="CL36" s="93">
        <f t="shared" si="19"/>
        <v>28049.58</v>
      </c>
      <c r="CM36" s="93">
        <v>-672.66</v>
      </c>
      <c r="CN36" s="93"/>
      <c r="CO36" s="93"/>
      <c r="CP36" s="94">
        <f t="shared" si="20"/>
        <v>27376.920000000002</v>
      </c>
      <c r="CQ36" s="92">
        <f>CK36</f>
        <v>-49086.050000000047</v>
      </c>
      <c r="CR36" s="93"/>
      <c r="CS36" s="93"/>
      <c r="CT36" s="93"/>
      <c r="CU36" s="93">
        <f t="shared" si="22"/>
        <v>-49086.050000000047</v>
      </c>
      <c r="CV36" s="93">
        <f t="shared" si="23"/>
        <v>27376.920000000002</v>
      </c>
      <c r="CW36" s="93">
        <v>-278.88</v>
      </c>
      <c r="CX36" s="93"/>
      <c r="CY36" s="93"/>
      <c r="CZ36" s="94">
        <f t="shared" si="24"/>
        <v>27098.04</v>
      </c>
      <c r="DA36" s="92">
        <f>CU36</f>
        <v>-49086.050000000047</v>
      </c>
      <c r="DB36" s="93"/>
      <c r="DC36" s="93"/>
      <c r="DD36" s="93"/>
      <c r="DE36" s="93">
        <f t="shared" si="26"/>
        <v>-49086.050000000047</v>
      </c>
      <c r="DF36" s="93">
        <f t="shared" si="27"/>
        <v>27098.04</v>
      </c>
      <c r="DG36" s="93">
        <v>-936.84</v>
      </c>
      <c r="DH36" s="93"/>
      <c r="DI36" s="93"/>
      <c r="DJ36" s="94">
        <f t="shared" si="49"/>
        <v>26161.200000000001</v>
      </c>
      <c r="DK36" s="92">
        <f>DE36</f>
        <v>-49086.050000000047</v>
      </c>
      <c r="DL36" s="93"/>
      <c r="DM36" s="93"/>
      <c r="DN36" s="93"/>
      <c r="DO36" s="93">
        <f t="shared" si="233"/>
        <v>-49086.050000000047</v>
      </c>
      <c r="DP36" s="93">
        <f t="shared" si="128"/>
        <v>26161.200000000001</v>
      </c>
      <c r="DQ36" s="93">
        <v>-2468.04</v>
      </c>
      <c r="DR36" s="93"/>
      <c r="DS36" s="93"/>
      <c r="DT36" s="94">
        <f t="shared" si="31"/>
        <v>23693.16</v>
      </c>
      <c r="DU36" s="92">
        <f>DO36</f>
        <v>-49086.050000000047</v>
      </c>
      <c r="DV36" s="93"/>
      <c r="DW36" s="93"/>
      <c r="DX36" s="93"/>
      <c r="DY36" s="93">
        <f t="shared" si="234"/>
        <v>-49086.050000000047</v>
      </c>
      <c r="DZ36" s="93">
        <f t="shared" si="130"/>
        <v>23693.16</v>
      </c>
      <c r="EA36" s="93">
        <v>-2516.9699999999998</v>
      </c>
      <c r="EB36" s="93"/>
      <c r="EC36" s="93"/>
      <c r="ED36" s="94">
        <f t="shared" si="35"/>
        <v>21176.19</v>
      </c>
      <c r="EE36" s="92"/>
      <c r="EF36" s="93"/>
      <c r="EG36" s="93">
        <f t="shared" si="50"/>
        <v>-49086.050000000047</v>
      </c>
      <c r="EH36" s="94">
        <f t="shared" si="51"/>
        <v>21176.19</v>
      </c>
      <c r="EI36" s="92"/>
      <c r="EJ36" s="153">
        <v>-1548.63</v>
      </c>
      <c r="EK36" s="93">
        <f>EH36+EI36+EJ36</f>
        <v>19627.559999999998</v>
      </c>
      <c r="EL36" s="94">
        <f t="shared" si="131"/>
        <v>-29458.490000000049</v>
      </c>
      <c r="EM36" s="94" t="s">
        <v>24</v>
      </c>
      <c r="EN36" s="140"/>
      <c r="EO36" s="37"/>
      <c r="EP36" s="21"/>
      <c r="EQ36" s="53"/>
      <c r="ER36" s="85"/>
      <c r="ES36" s="85"/>
    </row>
    <row r="37" spans="1:149" s="54" customFormat="1" x14ac:dyDescent="0.35">
      <c r="A37" s="54">
        <v>44</v>
      </c>
      <c r="C37" s="32" t="s">
        <v>44</v>
      </c>
      <c r="D37" s="36">
        <v>1555</v>
      </c>
      <c r="E37" s="92"/>
      <c r="F37" s="93"/>
      <c r="G37" s="93"/>
      <c r="H37" s="93"/>
      <c r="I37" s="93">
        <f t="shared" si="0"/>
        <v>0</v>
      </c>
      <c r="J37" s="93"/>
      <c r="K37" s="93"/>
      <c r="L37" s="93"/>
      <c r="M37" s="93"/>
      <c r="N37" s="94">
        <f t="shared" si="1"/>
        <v>0</v>
      </c>
      <c r="O37" s="92">
        <f t="shared" si="2"/>
        <v>0</v>
      </c>
      <c r="P37" s="93"/>
      <c r="Q37" s="93"/>
      <c r="R37" s="93"/>
      <c r="S37" s="93">
        <f t="shared" si="236"/>
        <v>0</v>
      </c>
      <c r="T37" s="93">
        <f t="shared" si="38"/>
        <v>0</v>
      </c>
      <c r="U37" s="93"/>
      <c r="V37" s="93"/>
      <c r="W37" s="93"/>
      <c r="X37" s="94">
        <f t="shared" si="237"/>
        <v>0</v>
      </c>
      <c r="Y37" s="92">
        <f t="shared" si="39"/>
        <v>0</v>
      </c>
      <c r="Z37" s="93"/>
      <c r="AA37" s="93"/>
      <c r="AB37" s="93"/>
      <c r="AC37" s="93">
        <f t="shared" si="238"/>
        <v>0</v>
      </c>
      <c r="AD37" s="93">
        <f t="shared" si="40"/>
        <v>0</v>
      </c>
      <c r="AE37" s="93"/>
      <c r="AF37" s="93"/>
      <c r="AG37" s="93"/>
      <c r="AH37" s="94">
        <f t="shared" si="239"/>
        <v>0</v>
      </c>
      <c r="AI37" s="92">
        <f t="shared" si="41"/>
        <v>0</v>
      </c>
      <c r="AJ37" s="93"/>
      <c r="AK37" s="93"/>
      <c r="AL37" s="93"/>
      <c r="AM37" s="93">
        <f t="shared" si="240"/>
        <v>0</v>
      </c>
      <c r="AN37" s="93">
        <f t="shared" si="42"/>
        <v>0</v>
      </c>
      <c r="AO37" s="93"/>
      <c r="AP37" s="93"/>
      <c r="AQ37" s="93"/>
      <c r="AR37" s="94">
        <f t="shared" si="241"/>
        <v>0</v>
      </c>
      <c r="AS37" s="92">
        <f t="shared" si="43"/>
        <v>0</v>
      </c>
      <c r="AT37" s="93"/>
      <c r="AU37" s="93"/>
      <c r="AV37" s="93">
        <v>876922</v>
      </c>
      <c r="AW37" s="93">
        <f t="shared" si="242"/>
        <v>876922</v>
      </c>
      <c r="AX37" s="93">
        <f t="shared" si="44"/>
        <v>0</v>
      </c>
      <c r="AY37" s="93"/>
      <c r="AZ37" s="93"/>
      <c r="BA37" s="93"/>
      <c r="BB37" s="94">
        <f t="shared" si="243"/>
        <v>0</v>
      </c>
      <c r="BC37" s="92">
        <f t="shared" si="45"/>
        <v>876922</v>
      </c>
      <c r="BD37" s="93">
        <v>-96401</v>
      </c>
      <c r="BE37" s="93"/>
      <c r="BF37" s="93"/>
      <c r="BG37" s="93">
        <f t="shared" si="244"/>
        <v>780521</v>
      </c>
      <c r="BH37" s="93">
        <f t="shared" si="46"/>
        <v>0</v>
      </c>
      <c r="BI37" s="93"/>
      <c r="BJ37" s="93"/>
      <c r="BK37" s="93"/>
      <c r="BL37" s="94">
        <f t="shared" si="245"/>
        <v>0</v>
      </c>
      <c r="BM37" s="92">
        <f t="shared" si="47"/>
        <v>780521</v>
      </c>
      <c r="BN37" s="93">
        <v>-396138.39</v>
      </c>
      <c r="BO37" s="93"/>
      <c r="BP37" s="93"/>
      <c r="BQ37" s="93">
        <f>BM37+BN37-BO37+BP37</f>
        <v>384382.61</v>
      </c>
      <c r="BR37" s="93">
        <f t="shared" si="48"/>
        <v>0</v>
      </c>
      <c r="BS37" s="93">
        <v>10944</v>
      </c>
      <c r="BT37" s="93"/>
      <c r="BU37" s="93"/>
      <c r="BV37" s="94">
        <f>BR37+BS37-BT37+BU37</f>
        <v>10944</v>
      </c>
      <c r="BW37" s="92">
        <f>BQ37</f>
        <v>384382.61</v>
      </c>
      <c r="BX37" s="93">
        <v>-403168.12</v>
      </c>
      <c r="BY37" s="93"/>
      <c r="BZ37" s="93"/>
      <c r="CA37" s="93">
        <f t="shared" si="14"/>
        <v>-18785.510000000009</v>
      </c>
      <c r="CB37" s="93">
        <f t="shared" si="15"/>
        <v>10944</v>
      </c>
      <c r="CC37" s="93">
        <v>4618</v>
      </c>
      <c r="CD37" s="93"/>
      <c r="CE37" s="93"/>
      <c r="CF37" s="94">
        <f t="shared" si="16"/>
        <v>15562</v>
      </c>
      <c r="CG37" s="92">
        <f t="shared" si="17"/>
        <v>-18785.510000000009</v>
      </c>
      <c r="CH37" s="93">
        <v>-1140.1099999999999</v>
      </c>
      <c r="CI37" s="93"/>
      <c r="CJ37" s="93"/>
      <c r="CK37" s="93">
        <f t="shared" si="18"/>
        <v>-19925.62000000001</v>
      </c>
      <c r="CL37" s="93">
        <f t="shared" si="19"/>
        <v>15562</v>
      </c>
      <c r="CM37" s="93">
        <v>-259</v>
      </c>
      <c r="CN37" s="93"/>
      <c r="CO37" s="93"/>
      <c r="CP37" s="94">
        <f t="shared" si="20"/>
        <v>15303</v>
      </c>
      <c r="CQ37" s="92">
        <f>CK37</f>
        <v>-19925.62000000001</v>
      </c>
      <c r="CR37" s="93">
        <v>-15.92</v>
      </c>
      <c r="CS37" s="93"/>
      <c r="CT37" s="93"/>
      <c r="CU37" s="93">
        <f t="shared" si="22"/>
        <v>-19941.540000000008</v>
      </c>
      <c r="CV37" s="93">
        <f t="shared" si="23"/>
        <v>15303</v>
      </c>
      <c r="CW37" s="93">
        <v>-108</v>
      </c>
      <c r="CX37" s="93"/>
      <c r="CY37" s="93"/>
      <c r="CZ37" s="94">
        <f t="shared" si="24"/>
        <v>15195</v>
      </c>
      <c r="DA37" s="92">
        <f>CU37</f>
        <v>-19941.540000000008</v>
      </c>
      <c r="DB37" s="93">
        <v>-1.9</v>
      </c>
      <c r="DC37" s="93"/>
      <c r="DD37" s="93"/>
      <c r="DE37" s="93">
        <f t="shared" si="26"/>
        <v>-19943.44000000001</v>
      </c>
      <c r="DF37" s="93">
        <f t="shared" si="27"/>
        <v>15195</v>
      </c>
      <c r="DG37" s="93">
        <v>-381</v>
      </c>
      <c r="DH37" s="93"/>
      <c r="DI37" s="93"/>
      <c r="DJ37" s="94">
        <f t="shared" si="49"/>
        <v>14814</v>
      </c>
      <c r="DK37" s="92">
        <f>DE37</f>
        <v>-19943.44000000001</v>
      </c>
      <c r="DL37" s="93">
        <v>-97.82</v>
      </c>
      <c r="DM37" s="93"/>
      <c r="DN37" s="93"/>
      <c r="DO37" s="93">
        <f t="shared" si="233"/>
        <v>-20041.260000000009</v>
      </c>
      <c r="DP37" s="93">
        <f t="shared" si="128"/>
        <v>14814</v>
      </c>
      <c r="DQ37" s="93">
        <v>-1011</v>
      </c>
      <c r="DR37" s="93"/>
      <c r="DS37" s="93"/>
      <c r="DT37" s="94">
        <f t="shared" si="31"/>
        <v>13803</v>
      </c>
      <c r="DU37" s="92">
        <f>DO37</f>
        <v>-20041.260000000009</v>
      </c>
      <c r="DV37" s="93">
        <v>0</v>
      </c>
      <c r="DW37" s="93"/>
      <c r="DX37" s="93"/>
      <c r="DY37" s="93">
        <f t="shared" si="234"/>
        <v>-20041.260000000009</v>
      </c>
      <c r="DZ37" s="93">
        <f t="shared" si="130"/>
        <v>13803</v>
      </c>
      <c r="EA37" s="93">
        <v>-1032</v>
      </c>
      <c r="EB37" s="93"/>
      <c r="EC37" s="93"/>
      <c r="ED37" s="94">
        <f t="shared" si="35"/>
        <v>12771</v>
      </c>
      <c r="EE37" s="92"/>
      <c r="EF37" s="93"/>
      <c r="EG37" s="93">
        <f t="shared" si="50"/>
        <v>-20041.260000000009</v>
      </c>
      <c r="EH37" s="94">
        <f t="shared" si="51"/>
        <v>12771</v>
      </c>
      <c r="EI37" s="92"/>
      <c r="EJ37" s="93">
        <v>-632.30999999999995</v>
      </c>
      <c r="EK37" s="93">
        <f t="shared" si="36"/>
        <v>12138.69</v>
      </c>
      <c r="EL37" s="94">
        <f t="shared" si="131"/>
        <v>-7902.5700000000088</v>
      </c>
      <c r="EM37" s="94" t="s">
        <v>24</v>
      </c>
      <c r="EN37" s="140">
        <v>-35179.86</v>
      </c>
      <c r="EO37" s="37">
        <f>EN37-SUM(DY37,ED37,DY36,ED36)</f>
        <v>0.26000000005296897</v>
      </c>
      <c r="EP37" s="55"/>
      <c r="EQ37" s="53"/>
      <c r="ER37" s="89"/>
      <c r="ES37" s="89"/>
    </row>
    <row r="38" spans="1:149" s="16" customFormat="1" x14ac:dyDescent="0.35">
      <c r="A38">
        <v>45</v>
      </c>
      <c r="B38"/>
      <c r="C38" s="32" t="s">
        <v>45</v>
      </c>
      <c r="D38" s="36">
        <v>1575</v>
      </c>
      <c r="E38" s="92"/>
      <c r="F38" s="93"/>
      <c r="G38" s="93"/>
      <c r="H38" s="93"/>
      <c r="I38" s="93">
        <f t="shared" si="0"/>
        <v>0</v>
      </c>
      <c r="J38" s="93"/>
      <c r="K38" s="93"/>
      <c r="L38" s="93"/>
      <c r="M38" s="93"/>
      <c r="N38" s="94">
        <f t="shared" si="1"/>
        <v>0</v>
      </c>
      <c r="O38" s="92">
        <f t="shared" si="2"/>
        <v>0</v>
      </c>
      <c r="P38" s="93"/>
      <c r="Q38" s="93"/>
      <c r="R38" s="93"/>
      <c r="S38" s="93">
        <f t="shared" si="236"/>
        <v>0</v>
      </c>
      <c r="T38" s="93">
        <f t="shared" si="38"/>
        <v>0</v>
      </c>
      <c r="U38" s="93"/>
      <c r="V38" s="93"/>
      <c r="W38" s="93"/>
      <c r="X38" s="94">
        <f t="shared" si="237"/>
        <v>0</v>
      </c>
      <c r="Y38" s="92">
        <f t="shared" si="39"/>
        <v>0</v>
      </c>
      <c r="Z38" s="93"/>
      <c r="AA38" s="93"/>
      <c r="AB38" s="93"/>
      <c r="AC38" s="93">
        <f t="shared" si="238"/>
        <v>0</v>
      </c>
      <c r="AD38" s="93">
        <f t="shared" si="40"/>
        <v>0</v>
      </c>
      <c r="AE38" s="93"/>
      <c r="AF38" s="93"/>
      <c r="AG38" s="93"/>
      <c r="AH38" s="94">
        <f t="shared" si="239"/>
        <v>0</v>
      </c>
      <c r="AI38" s="92">
        <f t="shared" si="41"/>
        <v>0</v>
      </c>
      <c r="AJ38" s="93">
        <f>-78494.96+406054.97-66009</f>
        <v>261551.00999999995</v>
      </c>
      <c r="AK38" s="93"/>
      <c r="AL38" s="93">
        <f>560126.88+30391.3</f>
        <v>590518.18000000005</v>
      </c>
      <c r="AM38" s="93">
        <f t="shared" si="240"/>
        <v>852069.19</v>
      </c>
      <c r="AN38" s="93">
        <f t="shared" si="42"/>
        <v>0</v>
      </c>
      <c r="AO38" s="93"/>
      <c r="AP38" s="93"/>
      <c r="AQ38" s="93"/>
      <c r="AR38" s="94">
        <f t="shared" si="241"/>
        <v>0</v>
      </c>
      <c r="AS38" s="92">
        <f t="shared" si="43"/>
        <v>852069.19</v>
      </c>
      <c r="AT38" s="93">
        <f>-79733.61+377528.86</f>
        <v>297795.25</v>
      </c>
      <c r="AU38" s="93"/>
      <c r="AV38" s="93">
        <v>-30391.3</v>
      </c>
      <c r="AW38" s="93">
        <f t="shared" si="242"/>
        <v>1119473.1399999999</v>
      </c>
      <c r="AX38" s="93">
        <f t="shared" si="44"/>
        <v>0</v>
      </c>
      <c r="AY38" s="93"/>
      <c r="AZ38" s="93"/>
      <c r="BA38" s="93"/>
      <c r="BB38" s="94">
        <f t="shared" si="243"/>
        <v>0</v>
      </c>
      <c r="BC38" s="92">
        <f t="shared" si="45"/>
        <v>1119473.1399999999</v>
      </c>
      <c r="BD38" s="93">
        <f>-75599.02+231115.95</f>
        <v>155516.93</v>
      </c>
      <c r="BE38" s="93"/>
      <c r="BF38" s="93"/>
      <c r="BG38" s="93">
        <f t="shared" si="244"/>
        <v>1274990.0699999998</v>
      </c>
      <c r="BH38" s="93">
        <f t="shared" si="46"/>
        <v>0</v>
      </c>
      <c r="BI38" s="93"/>
      <c r="BJ38" s="93"/>
      <c r="BK38" s="93"/>
      <c r="BL38" s="94">
        <f t="shared" si="245"/>
        <v>0</v>
      </c>
      <c r="BM38" s="92">
        <f t="shared" si="47"/>
        <v>1274990.0699999998</v>
      </c>
      <c r="BN38" s="93">
        <f>-65557.62+316821.78</f>
        <v>251264.16000000003</v>
      </c>
      <c r="BO38" s="93"/>
      <c r="BP38" s="93"/>
      <c r="BQ38" s="93">
        <f t="shared" si="12"/>
        <v>1526254.23</v>
      </c>
      <c r="BR38" s="93">
        <f t="shared" si="48"/>
        <v>0</v>
      </c>
      <c r="BS38" s="93"/>
      <c r="BT38" s="93"/>
      <c r="BU38" s="93"/>
      <c r="BV38" s="94">
        <f t="shared" si="13"/>
        <v>0</v>
      </c>
      <c r="BW38" s="92">
        <f>BQ38</f>
        <v>1526254.23</v>
      </c>
      <c r="BX38" s="93">
        <f>-75147.01+1010280.95</f>
        <v>935133.94</v>
      </c>
      <c r="BY38" s="93"/>
      <c r="BZ38" s="93"/>
      <c r="CA38" s="93">
        <f t="shared" si="14"/>
        <v>2461388.17</v>
      </c>
      <c r="CB38" s="93">
        <f t="shared" si="15"/>
        <v>0</v>
      </c>
      <c r="CC38" s="93"/>
      <c r="CD38" s="93"/>
      <c r="CE38" s="93"/>
      <c r="CF38" s="94">
        <f t="shared" si="16"/>
        <v>0</v>
      </c>
      <c r="CG38" s="92">
        <f t="shared" si="17"/>
        <v>2461388.17</v>
      </c>
      <c r="CH38" s="93">
        <f>-153849.56+668588.8</f>
        <v>514739.24000000005</v>
      </c>
      <c r="CI38" s="93"/>
      <c r="CJ38" s="93"/>
      <c r="CK38" s="93">
        <f t="shared" si="18"/>
        <v>2976127.41</v>
      </c>
      <c r="CL38" s="93">
        <f t="shared" si="19"/>
        <v>0</v>
      </c>
      <c r="CM38" s="93"/>
      <c r="CN38" s="93"/>
      <c r="CO38" s="93"/>
      <c r="CP38" s="94">
        <f t="shared" si="20"/>
        <v>0</v>
      </c>
      <c r="CQ38" s="92">
        <f>CK38</f>
        <v>2976127.41</v>
      </c>
      <c r="CR38" s="93">
        <f>-184729.22+404700.32</f>
        <v>219971.1</v>
      </c>
      <c r="CS38" s="93"/>
      <c r="CT38" s="93"/>
      <c r="CU38" s="93">
        <f t="shared" si="22"/>
        <v>3196098.5100000002</v>
      </c>
      <c r="CV38" s="93">
        <f t="shared" si="23"/>
        <v>0</v>
      </c>
      <c r="CW38" s="93"/>
      <c r="CX38" s="93"/>
      <c r="CY38" s="93"/>
      <c r="CZ38" s="94">
        <f t="shared" si="24"/>
        <v>0</v>
      </c>
      <c r="DA38" s="92">
        <f>CU38</f>
        <v>3196098.5100000002</v>
      </c>
      <c r="DB38" s="93">
        <f>-12636.14+844342.33</f>
        <v>831706.19</v>
      </c>
      <c r="DC38" s="93"/>
      <c r="DD38" s="93"/>
      <c r="DE38" s="93">
        <f t="shared" si="26"/>
        <v>4027804.7</v>
      </c>
      <c r="DF38" s="93">
        <f t="shared" si="27"/>
        <v>0</v>
      </c>
      <c r="DG38" s="93"/>
      <c r="DH38" s="93"/>
      <c r="DI38" s="93"/>
      <c r="DJ38" s="94">
        <f t="shared" si="49"/>
        <v>0</v>
      </c>
      <c r="DK38" s="92">
        <f>DE38</f>
        <v>4027804.7</v>
      </c>
      <c r="DL38" s="93">
        <f>47302.12+931286.38</f>
        <v>978588.5</v>
      </c>
      <c r="DM38" s="93"/>
      <c r="DN38" s="93"/>
      <c r="DO38" s="93">
        <f t="shared" si="233"/>
        <v>5006393.2</v>
      </c>
      <c r="DP38" s="93">
        <f t="shared" si="128"/>
        <v>0</v>
      </c>
      <c r="DQ38" s="93"/>
      <c r="DR38" s="93"/>
      <c r="DS38" s="93"/>
      <c r="DT38" s="94">
        <f t="shared" si="31"/>
        <v>0</v>
      </c>
      <c r="DU38" s="92">
        <f>DO38</f>
        <v>5006393.2</v>
      </c>
      <c r="DV38" s="93">
        <f>41593.45+985131.78</f>
        <v>1026725.23</v>
      </c>
      <c r="DW38" s="93"/>
      <c r="DX38" s="93">
        <v>-1017819.05</v>
      </c>
      <c r="DY38" s="93">
        <f t="shared" si="234"/>
        <v>5015299.38</v>
      </c>
      <c r="DZ38" s="93">
        <f t="shared" si="130"/>
        <v>0</v>
      </c>
      <c r="EA38" s="93"/>
      <c r="EB38" s="93"/>
      <c r="EC38" s="93"/>
      <c r="ED38" s="94">
        <f t="shared" si="35"/>
        <v>0</v>
      </c>
      <c r="EE38" s="92"/>
      <c r="EF38" s="93"/>
      <c r="EG38" s="93">
        <f t="shared" si="50"/>
        <v>5015299.38</v>
      </c>
      <c r="EH38" s="94">
        <f t="shared" si="51"/>
        <v>0</v>
      </c>
      <c r="EI38" s="92"/>
      <c r="EJ38" s="93"/>
      <c r="EK38" s="93">
        <f t="shared" si="36"/>
        <v>0</v>
      </c>
      <c r="EL38" s="94">
        <f t="shared" si="131"/>
        <v>0</v>
      </c>
      <c r="EM38" s="94" t="s">
        <v>27</v>
      </c>
      <c r="EN38" s="1">
        <v>6033118.4400000004</v>
      </c>
      <c r="EO38" s="37">
        <f t="shared" si="232"/>
        <v>1017819.0600000005</v>
      </c>
      <c r="EP38" s="21" t="s">
        <v>46</v>
      </c>
      <c r="EQ38" s="53"/>
      <c r="ER38" s="85"/>
      <c r="ES38" s="85"/>
    </row>
    <row r="39" spans="1:149" s="16" customFormat="1" x14ac:dyDescent="0.35">
      <c r="A39">
        <v>46</v>
      </c>
      <c r="B39"/>
      <c r="C39" s="32" t="s">
        <v>47</v>
      </c>
      <c r="D39" s="36">
        <v>1592</v>
      </c>
      <c r="E39" s="92"/>
      <c r="F39" s="93"/>
      <c r="G39" s="93"/>
      <c r="H39" s="93"/>
      <c r="I39" s="93">
        <f t="shared" si="0"/>
        <v>0</v>
      </c>
      <c r="J39" s="93"/>
      <c r="K39" s="93"/>
      <c r="L39" s="93"/>
      <c r="M39" s="93"/>
      <c r="N39" s="94">
        <f t="shared" si="1"/>
        <v>0</v>
      </c>
      <c r="O39" s="92">
        <f t="shared" si="2"/>
        <v>0</v>
      </c>
      <c r="P39" s="93"/>
      <c r="Q39" s="93"/>
      <c r="R39" s="93"/>
      <c r="S39" s="93">
        <f t="shared" si="236"/>
        <v>0</v>
      </c>
      <c r="T39" s="93">
        <f t="shared" si="38"/>
        <v>0</v>
      </c>
      <c r="U39" s="93"/>
      <c r="V39" s="93"/>
      <c r="W39" s="93"/>
      <c r="X39" s="94">
        <f t="shared" si="237"/>
        <v>0</v>
      </c>
      <c r="Y39" s="92">
        <f t="shared" si="39"/>
        <v>0</v>
      </c>
      <c r="Z39" s="93"/>
      <c r="AA39" s="93"/>
      <c r="AB39" s="93"/>
      <c r="AC39" s="93">
        <f t="shared" si="238"/>
        <v>0</v>
      </c>
      <c r="AD39" s="93">
        <f t="shared" si="40"/>
        <v>0</v>
      </c>
      <c r="AE39" s="93"/>
      <c r="AF39" s="93"/>
      <c r="AG39" s="93"/>
      <c r="AH39" s="94">
        <f t="shared" si="239"/>
        <v>0</v>
      </c>
      <c r="AI39" s="92">
        <f t="shared" si="41"/>
        <v>0</v>
      </c>
      <c r="AJ39" s="93"/>
      <c r="AK39" s="93"/>
      <c r="AL39" s="93"/>
      <c r="AM39" s="93">
        <f t="shared" si="240"/>
        <v>0</v>
      </c>
      <c r="AN39" s="93">
        <f t="shared" si="42"/>
        <v>0</v>
      </c>
      <c r="AO39" s="93"/>
      <c r="AP39" s="93"/>
      <c r="AQ39" s="93"/>
      <c r="AR39" s="94">
        <f t="shared" si="241"/>
        <v>0</v>
      </c>
      <c r="AS39" s="92">
        <f t="shared" si="43"/>
        <v>0</v>
      </c>
      <c r="AT39" s="93"/>
      <c r="AU39" s="93"/>
      <c r="AV39" s="93"/>
      <c r="AW39" s="93">
        <f t="shared" si="242"/>
        <v>0</v>
      </c>
      <c r="AX39" s="93">
        <f t="shared" si="44"/>
        <v>0</v>
      </c>
      <c r="AY39" s="93"/>
      <c r="AZ39" s="93"/>
      <c r="BA39" s="93"/>
      <c r="BB39" s="94">
        <f t="shared" si="243"/>
        <v>0</v>
      </c>
      <c r="BC39" s="92">
        <f t="shared" si="45"/>
        <v>0</v>
      </c>
      <c r="BD39" s="93"/>
      <c r="BE39" s="93"/>
      <c r="BF39" s="93"/>
      <c r="BG39" s="93">
        <f t="shared" si="244"/>
        <v>0</v>
      </c>
      <c r="BH39" s="93">
        <f t="shared" si="46"/>
        <v>0</v>
      </c>
      <c r="BI39" s="93"/>
      <c r="BJ39" s="93"/>
      <c r="BK39" s="93"/>
      <c r="BL39" s="94">
        <f t="shared" si="245"/>
        <v>0</v>
      </c>
      <c r="BM39" s="92">
        <f t="shared" si="47"/>
        <v>0</v>
      </c>
      <c r="BN39" s="93">
        <v>-112328.32000000001</v>
      </c>
      <c r="BO39" s="93"/>
      <c r="BP39" s="93">
        <v>112328.32000000001</v>
      </c>
      <c r="BQ39" s="93">
        <f t="shared" si="12"/>
        <v>0</v>
      </c>
      <c r="BR39" s="93">
        <f t="shared" si="48"/>
        <v>0</v>
      </c>
      <c r="BS39" s="93"/>
      <c r="BT39" s="93"/>
      <c r="BU39" s="93"/>
      <c r="BV39" s="94">
        <f t="shared" si="13"/>
        <v>0</v>
      </c>
      <c r="BW39" s="92">
        <f>BQ39</f>
        <v>0</v>
      </c>
      <c r="BX39" s="93">
        <f>-11012.22-832254.46</f>
        <v>-843266.67999999993</v>
      </c>
      <c r="BY39" s="93"/>
      <c r="BZ39" s="93">
        <v>-112328.32000000001</v>
      </c>
      <c r="CA39" s="93">
        <f t="shared" si="14"/>
        <v>-955595</v>
      </c>
      <c r="CB39" s="93">
        <f t="shared" si="15"/>
        <v>0</v>
      </c>
      <c r="CC39" s="93"/>
      <c r="CD39" s="93"/>
      <c r="CE39" s="93"/>
      <c r="CF39" s="94">
        <f t="shared" si="16"/>
        <v>0</v>
      </c>
      <c r="CG39" s="92">
        <f t="shared" si="17"/>
        <v>-955595</v>
      </c>
      <c r="CH39" s="93">
        <v>-1014263</v>
      </c>
      <c r="CI39" s="93"/>
      <c r="CJ39" s="93"/>
      <c r="CK39" s="93">
        <f t="shared" si="18"/>
        <v>-1969858</v>
      </c>
      <c r="CL39" s="93">
        <f t="shared" si="19"/>
        <v>0</v>
      </c>
      <c r="CM39" s="93">
        <v>-13139.46</v>
      </c>
      <c r="CN39" s="93"/>
      <c r="CO39" s="93"/>
      <c r="CP39" s="94">
        <f t="shared" si="20"/>
        <v>-13139.46</v>
      </c>
      <c r="CQ39" s="92">
        <f>CK39</f>
        <v>-1969858</v>
      </c>
      <c r="CR39" s="93">
        <v>-925560</v>
      </c>
      <c r="CS39" s="93"/>
      <c r="CT39" s="93"/>
      <c r="CU39" s="93">
        <f t="shared" si="22"/>
        <v>-2895418</v>
      </c>
      <c r="CV39" s="93">
        <f t="shared" si="23"/>
        <v>-13139.46</v>
      </c>
      <c r="CW39" s="93">
        <v>-11228.16</v>
      </c>
      <c r="CX39" s="93"/>
      <c r="CY39" s="93"/>
      <c r="CZ39" s="94">
        <f t="shared" si="24"/>
        <v>-24367.62</v>
      </c>
      <c r="DA39" s="92">
        <f>CU39</f>
        <v>-2895418</v>
      </c>
      <c r="DB39" s="93">
        <v>-1548809</v>
      </c>
      <c r="DC39" s="93"/>
      <c r="DD39" s="93"/>
      <c r="DE39" s="93">
        <f t="shared" si="26"/>
        <v>-4444227</v>
      </c>
      <c r="DF39" s="93">
        <f t="shared" si="27"/>
        <v>-24367.62</v>
      </c>
      <c r="DG39" s="93">
        <v>-55923.21</v>
      </c>
      <c r="DH39" s="93"/>
      <c r="DI39" s="93"/>
      <c r="DJ39" s="94">
        <f t="shared" si="49"/>
        <v>-80290.83</v>
      </c>
      <c r="DK39" s="92">
        <f>DE39</f>
        <v>-4444227</v>
      </c>
      <c r="DL39" s="93">
        <v>-764569</v>
      </c>
      <c r="DM39" s="93"/>
      <c r="DN39" s="93"/>
      <c r="DO39" s="93">
        <f t="shared" si="233"/>
        <v>-5208796</v>
      </c>
      <c r="DP39" s="93">
        <f t="shared" si="128"/>
        <v>-80290.83</v>
      </c>
      <c r="DQ39" s="93">
        <v>-226772.56</v>
      </c>
      <c r="DR39" s="93"/>
      <c r="DS39" s="93"/>
      <c r="DT39" s="94">
        <f t="shared" si="31"/>
        <v>-307063.39</v>
      </c>
      <c r="DU39" s="92">
        <f>DO39</f>
        <v>-5208796</v>
      </c>
      <c r="DV39" s="93">
        <v>-179343</v>
      </c>
      <c r="DW39" s="93"/>
      <c r="DX39" s="93"/>
      <c r="DY39" s="93">
        <f t="shared" si="234"/>
        <v>-5388139</v>
      </c>
      <c r="DZ39" s="93">
        <f t="shared" si="130"/>
        <v>-307063.39</v>
      </c>
      <c r="EA39" s="93">
        <v>-270352.37</v>
      </c>
      <c r="EB39" s="93"/>
      <c r="EC39" s="93"/>
      <c r="ED39" s="94">
        <f>DZ39+EA39-EB39+EC39</f>
        <v>-577415.76</v>
      </c>
      <c r="EE39" s="92"/>
      <c r="EF39" s="93"/>
      <c r="EG39" s="93">
        <f t="shared" si="50"/>
        <v>-5388139</v>
      </c>
      <c r="EH39" s="94">
        <f t="shared" si="51"/>
        <v>-577415.76</v>
      </c>
      <c r="EI39" s="92"/>
      <c r="EJ39" s="93"/>
      <c r="EK39" s="93">
        <f t="shared" si="36"/>
        <v>-577415.76</v>
      </c>
      <c r="EL39" s="94">
        <f t="shared" si="131"/>
        <v>0</v>
      </c>
      <c r="EM39" s="94" t="s">
        <v>27</v>
      </c>
      <c r="EN39" s="140"/>
      <c r="EO39" s="37"/>
      <c r="EP39" s="21"/>
      <c r="EQ39" s="53"/>
      <c r="ER39" s="85"/>
      <c r="ES39" s="85"/>
    </row>
    <row r="40" spans="1:149" s="16" customFormat="1" x14ac:dyDescent="0.35">
      <c r="A40"/>
      <c r="B40"/>
      <c r="C40" s="32" t="s">
        <v>48</v>
      </c>
      <c r="D40" s="36">
        <v>1592</v>
      </c>
      <c r="E40" s="92"/>
      <c r="F40" s="93"/>
      <c r="G40" s="93"/>
      <c r="H40" s="93"/>
      <c r="I40" s="93">
        <f t="shared" si="0"/>
        <v>0</v>
      </c>
      <c r="J40" s="93"/>
      <c r="K40" s="93"/>
      <c r="L40" s="93"/>
      <c r="M40" s="93"/>
      <c r="N40" s="94">
        <f t="shared" si="1"/>
        <v>0</v>
      </c>
      <c r="O40" s="92">
        <f t="shared" si="2"/>
        <v>0</v>
      </c>
      <c r="P40" s="93"/>
      <c r="Q40" s="93"/>
      <c r="R40" s="93"/>
      <c r="S40" s="93">
        <f t="shared" si="236"/>
        <v>0</v>
      </c>
      <c r="T40" s="93">
        <f t="shared" si="38"/>
        <v>0</v>
      </c>
      <c r="U40" s="93"/>
      <c r="V40" s="93"/>
      <c r="W40" s="93"/>
      <c r="X40" s="94">
        <f t="shared" si="237"/>
        <v>0</v>
      </c>
      <c r="Y40" s="92">
        <f t="shared" si="39"/>
        <v>0</v>
      </c>
      <c r="Z40" s="93"/>
      <c r="AA40" s="93"/>
      <c r="AB40" s="93"/>
      <c r="AC40" s="93">
        <f t="shared" si="238"/>
        <v>0</v>
      </c>
      <c r="AD40" s="93">
        <f t="shared" si="40"/>
        <v>0</v>
      </c>
      <c r="AE40" s="93"/>
      <c r="AF40" s="93"/>
      <c r="AG40" s="93"/>
      <c r="AH40" s="94">
        <f t="shared" si="239"/>
        <v>0</v>
      </c>
      <c r="AI40" s="92">
        <f t="shared" si="41"/>
        <v>0</v>
      </c>
      <c r="AJ40" s="93"/>
      <c r="AK40" s="93"/>
      <c r="AL40" s="93"/>
      <c r="AM40" s="93">
        <f t="shared" si="240"/>
        <v>0</v>
      </c>
      <c r="AN40" s="93">
        <f t="shared" si="42"/>
        <v>0</v>
      </c>
      <c r="AO40" s="93"/>
      <c r="AP40" s="93"/>
      <c r="AQ40" s="93"/>
      <c r="AR40" s="94">
        <f t="shared" si="241"/>
        <v>0</v>
      </c>
      <c r="AS40" s="92">
        <f t="shared" si="43"/>
        <v>0</v>
      </c>
      <c r="AT40" s="93"/>
      <c r="AU40" s="93"/>
      <c r="AV40" s="93"/>
      <c r="AW40" s="93">
        <f t="shared" si="242"/>
        <v>0</v>
      </c>
      <c r="AX40" s="93">
        <f t="shared" si="44"/>
        <v>0</v>
      </c>
      <c r="AY40" s="93"/>
      <c r="AZ40" s="93"/>
      <c r="BA40" s="93"/>
      <c r="BB40" s="94">
        <f t="shared" si="243"/>
        <v>0</v>
      </c>
      <c r="BC40" s="92">
        <f t="shared" si="45"/>
        <v>0</v>
      </c>
      <c r="BD40" s="93"/>
      <c r="BE40" s="93"/>
      <c r="BF40" s="93"/>
      <c r="BG40" s="93">
        <f t="shared" si="244"/>
        <v>0</v>
      </c>
      <c r="BH40" s="93">
        <f t="shared" si="46"/>
        <v>0</v>
      </c>
      <c r="BI40" s="93"/>
      <c r="BJ40" s="93"/>
      <c r="BK40" s="93"/>
      <c r="BL40" s="94">
        <f t="shared" si="245"/>
        <v>0</v>
      </c>
      <c r="BM40" s="92">
        <f t="shared" si="47"/>
        <v>0</v>
      </c>
      <c r="BN40" s="93">
        <v>-49111</v>
      </c>
      <c r="BO40" s="93"/>
      <c r="BP40" s="93">
        <v>49111</v>
      </c>
      <c r="BQ40" s="93">
        <f t="shared" si="12"/>
        <v>0</v>
      </c>
      <c r="BR40" s="93">
        <f t="shared" si="48"/>
        <v>0</v>
      </c>
      <c r="BS40" s="93"/>
      <c r="BT40" s="93"/>
      <c r="BU40" s="93"/>
      <c r="BV40" s="94">
        <f t="shared" si="13"/>
        <v>0</v>
      </c>
      <c r="BW40" s="92">
        <f>BQ40</f>
        <v>0</v>
      </c>
      <c r="BX40" s="93">
        <f>-8301-224316</f>
        <v>-232617</v>
      </c>
      <c r="BY40" s="93"/>
      <c r="BZ40" s="93">
        <v>-49111</v>
      </c>
      <c r="CA40" s="93">
        <f t="shared" si="14"/>
        <v>-281728</v>
      </c>
      <c r="CB40" s="93">
        <f t="shared" si="15"/>
        <v>0</v>
      </c>
      <c r="CC40" s="93"/>
      <c r="CD40" s="93"/>
      <c r="CE40" s="93"/>
      <c r="CF40" s="94">
        <f t="shared" si="16"/>
        <v>0</v>
      </c>
      <c r="CG40" s="92">
        <f t="shared" si="17"/>
        <v>-281728</v>
      </c>
      <c r="CH40" s="93">
        <v>-194580</v>
      </c>
      <c r="CI40" s="93"/>
      <c r="CJ40" s="93"/>
      <c r="CK40" s="93">
        <f t="shared" ref="CK40" si="246">CG40+CH40-CI40+CJ40</f>
        <v>-476308</v>
      </c>
      <c r="CL40" s="93">
        <f t="shared" ref="CL40" si="247">CF40</f>
        <v>0</v>
      </c>
      <c r="CM40" s="93">
        <v>-3876</v>
      </c>
      <c r="CN40" s="93"/>
      <c r="CO40" s="93"/>
      <c r="CP40" s="94">
        <f t="shared" ref="CP40" si="248">CL40+CM40-CN40+CO40</f>
        <v>-3876</v>
      </c>
      <c r="CQ40" s="92">
        <f>CK40</f>
        <v>-476308</v>
      </c>
      <c r="CR40" s="93">
        <v>-354526</v>
      </c>
      <c r="CS40" s="93"/>
      <c r="CT40" s="93"/>
      <c r="CU40" s="93">
        <f t="shared" ref="CU40" si="249">CQ40+CR40-CS40+SUM(CT40:CT40)</f>
        <v>-830834</v>
      </c>
      <c r="CV40" s="93">
        <f t="shared" ref="CV40" si="250">CP40</f>
        <v>-3876</v>
      </c>
      <c r="CW40" s="93">
        <v>-2712</v>
      </c>
      <c r="CX40" s="93"/>
      <c r="CY40" s="93"/>
      <c r="CZ40" s="94">
        <f t="shared" ref="CZ40" si="251">CV40+CW40-CX40+CY40</f>
        <v>-6588</v>
      </c>
      <c r="DA40" s="92">
        <f>CU40</f>
        <v>-830834</v>
      </c>
      <c r="DB40" s="93">
        <v>-578699</v>
      </c>
      <c r="DC40" s="93"/>
      <c r="DD40" s="93"/>
      <c r="DE40" s="93">
        <f t="shared" ref="DE40" si="252">DA40+DB40-DC40+DD40</f>
        <v>-1409533</v>
      </c>
      <c r="DF40" s="93">
        <f t="shared" ref="DF40" si="253">CZ40</f>
        <v>-6588</v>
      </c>
      <c r="DG40" s="93">
        <v>-16027</v>
      </c>
      <c r="DH40" s="93"/>
      <c r="DI40" s="93"/>
      <c r="DJ40" s="94">
        <f t="shared" ref="DJ40" si="254">DF40+DG40-DH40+DI40</f>
        <v>-22615</v>
      </c>
      <c r="DK40" s="92">
        <f>DE40</f>
        <v>-1409533</v>
      </c>
      <c r="DL40" s="93">
        <v>-292749</v>
      </c>
      <c r="DM40" s="93"/>
      <c r="DN40" s="93"/>
      <c r="DO40" s="93">
        <f t="shared" ref="DO40" si="255">DK40+DL40-DM40+SUM(DN40:DN40)</f>
        <v>-1702282</v>
      </c>
      <c r="DP40" s="93">
        <f t="shared" ref="DP40" si="256">DJ40</f>
        <v>-22615</v>
      </c>
      <c r="DQ40" s="93">
        <v>-71680</v>
      </c>
      <c r="DR40" s="93"/>
      <c r="DS40" s="93"/>
      <c r="DT40" s="94">
        <f t="shared" ref="DT40" si="257">DP40+DQ40-DR40+DS40</f>
        <v>-94295</v>
      </c>
      <c r="DU40" s="92">
        <f>DO40</f>
        <v>-1702282</v>
      </c>
      <c r="DV40" s="93">
        <v>-190059</v>
      </c>
      <c r="DW40" s="93"/>
      <c r="DX40" s="93"/>
      <c r="DY40" s="93">
        <f t="shared" si="234"/>
        <v>-1892341</v>
      </c>
      <c r="DZ40" s="93">
        <f t="shared" si="130"/>
        <v>-94295</v>
      </c>
      <c r="EA40" s="93">
        <v>-89533</v>
      </c>
      <c r="EB40" s="93"/>
      <c r="EC40" s="93"/>
      <c r="ED40" s="94">
        <f>DZ40+EA40-EB40+EC40</f>
        <v>-183828</v>
      </c>
      <c r="EE40" s="92"/>
      <c r="EF40" s="93"/>
      <c r="EG40" s="93">
        <f t="shared" si="50"/>
        <v>-1892341</v>
      </c>
      <c r="EH40" s="94">
        <f t="shared" si="51"/>
        <v>-183828</v>
      </c>
      <c r="EI40" s="92"/>
      <c r="EJ40" s="93"/>
      <c r="EK40" s="93">
        <f t="shared" si="36"/>
        <v>-183828</v>
      </c>
      <c r="EL40" s="94">
        <f t="shared" si="131"/>
        <v>0</v>
      </c>
      <c r="EM40" s="94" t="s">
        <v>27</v>
      </c>
      <c r="EN40" s="1">
        <v>-8041723.7599999998</v>
      </c>
      <c r="EO40" s="37">
        <f>EN40-SUM(DY40,ED40,DY39,ED39)</f>
        <v>0</v>
      </c>
      <c r="EP40" s="21"/>
      <c r="EQ40" s="53"/>
      <c r="ER40" s="85"/>
      <c r="ES40" s="85"/>
    </row>
    <row r="41" spans="1:149" s="16" customFormat="1" x14ac:dyDescent="0.35">
      <c r="A41"/>
      <c r="B41"/>
      <c r="C41" s="20"/>
      <c r="D41" s="33"/>
      <c r="E41" s="99"/>
      <c r="N41" s="100"/>
      <c r="O41" s="99"/>
      <c r="X41" s="100"/>
      <c r="Y41" s="99"/>
      <c r="AH41" s="100"/>
      <c r="AI41" s="99"/>
      <c r="AR41" s="100"/>
      <c r="AS41" s="99"/>
      <c r="BB41" s="100"/>
      <c r="BC41" s="99"/>
      <c r="BL41" s="100"/>
      <c r="BM41" s="99"/>
      <c r="BV41" s="100"/>
      <c r="BW41" s="99"/>
      <c r="CF41" s="100"/>
      <c r="CG41" s="99"/>
      <c r="CP41" s="100"/>
      <c r="CQ41" s="99"/>
      <c r="CZ41" s="100"/>
      <c r="DA41" s="99"/>
      <c r="DJ41" s="100"/>
      <c r="DK41" s="99"/>
      <c r="DT41" s="100"/>
      <c r="DU41" s="99"/>
      <c r="ED41" s="100"/>
      <c r="EE41" s="99"/>
      <c r="EH41" s="100"/>
      <c r="EI41" s="99"/>
      <c r="EL41" s="100"/>
      <c r="EM41" s="100"/>
      <c r="EN41" s="17"/>
      <c r="EO41" s="18"/>
      <c r="EP41" s="21"/>
      <c r="EQ41" s="53"/>
      <c r="ER41" s="85"/>
      <c r="ES41" s="85"/>
    </row>
    <row r="42" spans="1:149" s="16" customFormat="1" x14ac:dyDescent="0.35">
      <c r="A42"/>
      <c r="B42"/>
      <c r="C42" s="20"/>
      <c r="D42" s="33"/>
      <c r="E42" s="99"/>
      <c r="N42" s="100"/>
      <c r="O42" s="99"/>
      <c r="X42" s="100"/>
      <c r="Y42" s="99"/>
      <c r="AH42" s="100"/>
      <c r="AI42" s="99"/>
      <c r="AR42" s="100"/>
      <c r="AS42" s="99"/>
      <c r="BB42" s="100"/>
      <c r="BC42" s="99"/>
      <c r="BL42" s="100"/>
      <c r="BM42" s="99"/>
      <c r="BV42" s="100"/>
      <c r="BW42" s="99"/>
      <c r="CF42" s="100"/>
      <c r="CG42" s="99"/>
      <c r="CP42" s="100"/>
      <c r="CQ42" s="99"/>
      <c r="CZ42" s="100"/>
      <c r="DA42" s="99"/>
      <c r="DJ42" s="100"/>
      <c r="DK42" s="99"/>
      <c r="DT42" s="100"/>
      <c r="DU42" s="99"/>
      <c r="ED42" s="100"/>
      <c r="EE42" s="99"/>
      <c r="EH42" s="100"/>
      <c r="EI42" s="99"/>
      <c r="EL42" s="100"/>
      <c r="EM42" s="100"/>
      <c r="EN42" s="17"/>
      <c r="EO42" s="29"/>
      <c r="EP42" s="21"/>
      <c r="EQ42" s="53"/>
      <c r="ER42" s="85"/>
      <c r="ES42" s="85"/>
    </row>
    <row r="43" spans="1:149" s="40" customFormat="1" ht="13" x14ac:dyDescent="0.3">
      <c r="A43" s="38"/>
      <c r="B43" s="38"/>
      <c r="C43" s="41" t="s">
        <v>49</v>
      </c>
      <c r="D43" s="42"/>
      <c r="E43" s="101">
        <f t="shared" ref="E43:AJ43" si="258">SUM(E18:E40)</f>
        <v>0</v>
      </c>
      <c r="F43" s="40">
        <f t="shared" si="258"/>
        <v>0</v>
      </c>
      <c r="G43" s="40">
        <f t="shared" si="258"/>
        <v>0</v>
      </c>
      <c r="H43" s="40">
        <f t="shared" si="258"/>
        <v>5111986.3</v>
      </c>
      <c r="I43" s="40">
        <f t="shared" si="258"/>
        <v>5111986.3</v>
      </c>
      <c r="J43" s="40">
        <f t="shared" si="258"/>
        <v>0</v>
      </c>
      <c r="K43" s="40">
        <f t="shared" si="258"/>
        <v>0</v>
      </c>
      <c r="L43" s="40">
        <f t="shared" si="258"/>
        <v>0</v>
      </c>
      <c r="M43" s="40">
        <f t="shared" si="258"/>
        <v>648.05999999999949</v>
      </c>
      <c r="N43" s="49">
        <f t="shared" si="258"/>
        <v>648.05999999999949</v>
      </c>
      <c r="O43" s="101">
        <f t="shared" si="258"/>
        <v>5111986.3</v>
      </c>
      <c r="P43" s="40">
        <f t="shared" si="258"/>
        <v>-194850.83000000002</v>
      </c>
      <c r="Q43" s="40">
        <f t="shared" si="258"/>
        <v>0</v>
      </c>
      <c r="R43" s="40">
        <f t="shared" si="258"/>
        <v>-206165</v>
      </c>
      <c r="S43" s="40">
        <f t="shared" si="258"/>
        <v>4710970.47</v>
      </c>
      <c r="T43" s="40">
        <f t="shared" si="258"/>
        <v>648.05999999999949</v>
      </c>
      <c r="U43" s="40">
        <f t="shared" si="258"/>
        <v>5178.3600000000006</v>
      </c>
      <c r="V43" s="40">
        <f t="shared" si="258"/>
        <v>0</v>
      </c>
      <c r="W43" s="40">
        <f t="shared" si="258"/>
        <v>165</v>
      </c>
      <c r="X43" s="49">
        <f t="shared" si="258"/>
        <v>5991.4199999999983</v>
      </c>
      <c r="Y43" s="101">
        <f t="shared" si="258"/>
        <v>4710970.47</v>
      </c>
      <c r="Z43" s="40">
        <f t="shared" si="258"/>
        <v>-2804184.3999999994</v>
      </c>
      <c r="AA43" s="40">
        <f t="shared" si="258"/>
        <v>-50865</v>
      </c>
      <c r="AB43" s="40">
        <f t="shared" si="258"/>
        <v>0</v>
      </c>
      <c r="AC43" s="40">
        <f t="shared" si="258"/>
        <v>1957651.0699999998</v>
      </c>
      <c r="AD43" s="40">
        <f t="shared" si="258"/>
        <v>5991.4199999999983</v>
      </c>
      <c r="AE43" s="40">
        <f t="shared" si="258"/>
        <v>33414.85</v>
      </c>
      <c r="AF43" s="40">
        <f t="shared" si="258"/>
        <v>-11449</v>
      </c>
      <c r="AG43" s="40">
        <f t="shared" si="258"/>
        <v>0</v>
      </c>
      <c r="AH43" s="49">
        <f t="shared" si="258"/>
        <v>50855.270000000004</v>
      </c>
      <c r="AI43" s="101">
        <f t="shared" si="258"/>
        <v>1957651.0699999998</v>
      </c>
      <c r="AJ43" s="40">
        <f t="shared" si="258"/>
        <v>-1155666.3699999999</v>
      </c>
      <c r="AK43" s="40">
        <f t="shared" ref="AK43:BP43" si="259">SUM(AK18:AK40)</f>
        <v>0</v>
      </c>
      <c r="AL43" s="40">
        <f t="shared" si="259"/>
        <v>590518.18000000005</v>
      </c>
      <c r="AM43" s="40">
        <f t="shared" si="259"/>
        <v>1392502.88</v>
      </c>
      <c r="AN43" s="40">
        <f t="shared" si="259"/>
        <v>50855.270000000004</v>
      </c>
      <c r="AO43" s="40">
        <f t="shared" si="259"/>
        <v>10680.849999999999</v>
      </c>
      <c r="AP43" s="40">
        <f t="shared" si="259"/>
        <v>0</v>
      </c>
      <c r="AQ43" s="40">
        <f t="shared" si="259"/>
        <v>0</v>
      </c>
      <c r="AR43" s="49">
        <f t="shared" si="259"/>
        <v>61536.119999999995</v>
      </c>
      <c r="AS43" s="101">
        <f t="shared" si="259"/>
        <v>1392502.88</v>
      </c>
      <c r="AT43" s="40">
        <f t="shared" si="259"/>
        <v>546230.31000000006</v>
      </c>
      <c r="AU43" s="40">
        <f t="shared" si="259"/>
        <v>0</v>
      </c>
      <c r="AV43" s="40">
        <f t="shared" si="259"/>
        <v>1651194.84</v>
      </c>
      <c r="AW43" s="40">
        <f t="shared" si="259"/>
        <v>3589928.0299999993</v>
      </c>
      <c r="AX43" s="40">
        <f t="shared" si="259"/>
        <v>61536.119999999995</v>
      </c>
      <c r="AY43" s="40">
        <f t="shared" si="259"/>
        <v>6639.3400000000038</v>
      </c>
      <c r="AZ43" s="40">
        <f t="shared" si="259"/>
        <v>0</v>
      </c>
      <c r="BA43" s="40">
        <f t="shared" si="259"/>
        <v>42318.32</v>
      </c>
      <c r="BB43" s="49">
        <f t="shared" si="259"/>
        <v>110493.78</v>
      </c>
      <c r="BC43" s="101">
        <f t="shared" si="259"/>
        <v>3589928.0299999993</v>
      </c>
      <c r="BD43" s="40">
        <f t="shared" si="259"/>
        <v>446298.11</v>
      </c>
      <c r="BE43" s="40">
        <f t="shared" si="259"/>
        <v>0</v>
      </c>
      <c r="BF43" s="40">
        <f t="shared" si="259"/>
        <v>0</v>
      </c>
      <c r="BG43" s="40">
        <f t="shared" si="259"/>
        <v>4036226.14</v>
      </c>
      <c r="BH43" s="40">
        <f t="shared" si="259"/>
        <v>110493.78</v>
      </c>
      <c r="BI43" s="40">
        <f t="shared" si="259"/>
        <v>21229.659999999996</v>
      </c>
      <c r="BJ43" s="40">
        <f t="shared" si="259"/>
        <v>0</v>
      </c>
      <c r="BK43" s="40">
        <f t="shared" si="259"/>
        <v>0</v>
      </c>
      <c r="BL43" s="49">
        <f t="shared" si="259"/>
        <v>131723.44</v>
      </c>
      <c r="BM43" s="101">
        <f t="shared" si="259"/>
        <v>4036226.14</v>
      </c>
      <c r="BN43" s="40">
        <f t="shared" si="259"/>
        <v>24415.770000000019</v>
      </c>
      <c r="BO43" s="40">
        <f t="shared" si="259"/>
        <v>804664.14</v>
      </c>
      <c r="BP43" s="40">
        <f t="shared" si="259"/>
        <v>161439.32</v>
      </c>
      <c r="BQ43" s="40">
        <f t="shared" ref="BQ43:CV43" si="260">SUM(BQ18:BQ40)</f>
        <v>3417417.09</v>
      </c>
      <c r="BR43" s="40">
        <f t="shared" si="260"/>
        <v>131723.44</v>
      </c>
      <c r="BS43" s="40">
        <f t="shared" si="260"/>
        <v>35532.57</v>
      </c>
      <c r="BT43" s="40">
        <f t="shared" si="260"/>
        <v>51174.32</v>
      </c>
      <c r="BU43" s="40">
        <f t="shared" si="260"/>
        <v>0</v>
      </c>
      <c r="BV43" s="49">
        <f t="shared" si="260"/>
        <v>116081.69</v>
      </c>
      <c r="BW43" s="101">
        <f t="shared" si="260"/>
        <v>3417417.09</v>
      </c>
      <c r="BX43" s="40">
        <f t="shared" si="260"/>
        <v>626688.90999999992</v>
      </c>
      <c r="BY43" s="40">
        <f t="shared" si="260"/>
        <v>0</v>
      </c>
      <c r="BZ43" s="40">
        <f t="shared" si="260"/>
        <v>-161439.32</v>
      </c>
      <c r="CA43" s="40">
        <f t="shared" si="260"/>
        <v>3882666.6800000006</v>
      </c>
      <c r="CB43" s="40">
        <f t="shared" si="260"/>
        <v>116081.69</v>
      </c>
      <c r="CC43" s="40">
        <f t="shared" si="260"/>
        <v>35718.090000000011</v>
      </c>
      <c r="CD43" s="40">
        <f t="shared" si="260"/>
        <v>0</v>
      </c>
      <c r="CE43" s="40">
        <f t="shared" si="260"/>
        <v>0</v>
      </c>
      <c r="CF43" s="49">
        <f t="shared" si="260"/>
        <v>151799.78000000003</v>
      </c>
      <c r="CG43" s="101">
        <f t="shared" si="260"/>
        <v>3882666.6800000006</v>
      </c>
      <c r="CH43" s="40">
        <f t="shared" si="260"/>
        <v>-266375.17999999993</v>
      </c>
      <c r="CI43" s="40">
        <f t="shared" si="260"/>
        <v>0</v>
      </c>
      <c r="CJ43" s="40">
        <f t="shared" si="260"/>
        <v>0</v>
      </c>
      <c r="CK43" s="40">
        <f t="shared" si="260"/>
        <v>3616291.5</v>
      </c>
      <c r="CL43" s="40">
        <f t="shared" si="260"/>
        <v>151799.78000000003</v>
      </c>
      <c r="CM43" s="40">
        <f t="shared" si="260"/>
        <v>18812.330000000002</v>
      </c>
      <c r="CN43" s="40">
        <f t="shared" si="260"/>
        <v>0</v>
      </c>
      <c r="CO43" s="40">
        <f t="shared" si="260"/>
        <v>0</v>
      </c>
      <c r="CP43" s="49">
        <f t="shared" si="260"/>
        <v>170612.11000000004</v>
      </c>
      <c r="CQ43" s="101">
        <f t="shared" si="260"/>
        <v>3616291.5</v>
      </c>
      <c r="CR43" s="40">
        <f t="shared" si="260"/>
        <v>-456565.29000000015</v>
      </c>
      <c r="CS43" s="40">
        <f t="shared" si="260"/>
        <v>0</v>
      </c>
      <c r="CT43" s="40">
        <f t="shared" si="260"/>
        <v>0</v>
      </c>
      <c r="CU43" s="40">
        <f t="shared" si="260"/>
        <v>3159726.2100000009</v>
      </c>
      <c r="CV43" s="40">
        <f t="shared" si="260"/>
        <v>170612.11000000004</v>
      </c>
      <c r="CW43" s="40">
        <f t="shared" ref="CW43:EB43" si="261">SUM(CW18:CW40)</f>
        <v>-4571.1000000000004</v>
      </c>
      <c r="CX43" s="40">
        <f t="shared" si="261"/>
        <v>0</v>
      </c>
      <c r="CY43" s="40">
        <f t="shared" si="261"/>
        <v>-5478</v>
      </c>
      <c r="CZ43" s="49">
        <f t="shared" si="261"/>
        <v>160563.01000000004</v>
      </c>
      <c r="DA43" s="101">
        <f t="shared" si="261"/>
        <v>3159726.2100000009</v>
      </c>
      <c r="DB43" s="40">
        <f t="shared" si="261"/>
        <v>136890.18999999994</v>
      </c>
      <c r="DC43" s="40">
        <f t="shared" si="261"/>
        <v>0</v>
      </c>
      <c r="DD43" s="40">
        <f t="shared" si="261"/>
        <v>0</v>
      </c>
      <c r="DE43" s="40">
        <f t="shared" si="261"/>
        <v>3296616.4000000004</v>
      </c>
      <c r="DF43" s="40">
        <f t="shared" si="261"/>
        <v>160563.01000000004</v>
      </c>
      <c r="DG43" s="40">
        <f t="shared" si="261"/>
        <v>22583.620000000003</v>
      </c>
      <c r="DH43" s="40">
        <f t="shared" si="261"/>
        <v>0</v>
      </c>
      <c r="DI43" s="40">
        <f t="shared" si="261"/>
        <v>0</v>
      </c>
      <c r="DJ43" s="49">
        <f t="shared" si="261"/>
        <v>183146.63</v>
      </c>
      <c r="DK43" s="101">
        <f t="shared" si="261"/>
        <v>3296616.4000000004</v>
      </c>
      <c r="DL43" s="40">
        <f t="shared" si="261"/>
        <v>1773492.96</v>
      </c>
      <c r="DM43" s="40">
        <f t="shared" si="261"/>
        <v>0</v>
      </c>
      <c r="DN43" s="40">
        <f t="shared" si="261"/>
        <v>0</v>
      </c>
      <c r="DO43" s="40">
        <f t="shared" si="261"/>
        <v>5070109.3599999994</v>
      </c>
      <c r="DP43" s="40">
        <f t="shared" si="261"/>
        <v>183146.63</v>
      </c>
      <c r="DQ43" s="40">
        <f t="shared" si="261"/>
        <v>-35057.619999999995</v>
      </c>
      <c r="DR43" s="40">
        <f t="shared" si="261"/>
        <v>0</v>
      </c>
      <c r="DS43" s="40">
        <f t="shared" si="261"/>
        <v>0</v>
      </c>
      <c r="DT43" s="49">
        <f t="shared" si="261"/>
        <v>148089.01</v>
      </c>
      <c r="DU43" s="101">
        <f t="shared" si="261"/>
        <v>5070109.3599999994</v>
      </c>
      <c r="DV43" s="40">
        <f t="shared" si="261"/>
        <v>3543178.75</v>
      </c>
      <c r="DW43" s="40">
        <f t="shared" si="261"/>
        <v>0</v>
      </c>
      <c r="DX43" s="40">
        <f t="shared" si="261"/>
        <v>-1472718.3</v>
      </c>
      <c r="DY43" s="40">
        <f t="shared" si="261"/>
        <v>7140569.8099999987</v>
      </c>
      <c r="DZ43" s="40">
        <f t="shared" si="261"/>
        <v>148089.01</v>
      </c>
      <c r="EA43" s="40">
        <f t="shared" si="261"/>
        <v>-488.1799999998766</v>
      </c>
      <c r="EB43" s="40">
        <f t="shared" si="261"/>
        <v>0</v>
      </c>
      <c r="EC43" s="40">
        <f t="shared" ref="EC43:EL43" si="262">SUM(EC18:EC40)</f>
        <v>-41125</v>
      </c>
      <c r="ED43" s="49">
        <f t="shared" si="262"/>
        <v>106475.82999999984</v>
      </c>
      <c r="EE43" s="101">
        <f t="shared" si="262"/>
        <v>0</v>
      </c>
      <c r="EF43" s="40">
        <f t="shared" si="262"/>
        <v>0</v>
      </c>
      <c r="EG43" s="40">
        <f t="shared" si="262"/>
        <v>7140569.8099999987</v>
      </c>
      <c r="EH43" s="49">
        <f t="shared" si="262"/>
        <v>106475.82999999984</v>
      </c>
      <c r="EI43" s="101">
        <f t="shared" si="262"/>
        <v>0</v>
      </c>
      <c r="EJ43" s="40">
        <f t="shared" si="262"/>
        <v>218959.09</v>
      </c>
      <c r="EK43" s="40">
        <f t="shared" si="262"/>
        <v>325434.91999999993</v>
      </c>
      <c r="EL43" s="49">
        <f t="shared" si="262"/>
        <v>7995194.9000000013</v>
      </c>
      <c r="EM43" s="49"/>
      <c r="EN43" s="141">
        <f>SUM(EN18:EN40)</f>
        <v>52263375.459999993</v>
      </c>
      <c r="EO43" s="49">
        <f>SUM(EO18:EO40)</f>
        <v>45016329.82</v>
      </c>
      <c r="EP43" s="39" t="s">
        <v>140</v>
      </c>
      <c r="EQ43" s="86"/>
      <c r="ER43" s="87"/>
      <c r="ES43" s="87"/>
    </row>
    <row r="44" spans="1:149" s="16" customFormat="1" ht="15.5" x14ac:dyDescent="0.35">
      <c r="A44"/>
      <c r="B44"/>
      <c r="C44" s="20"/>
      <c r="D44" s="33"/>
      <c r="E44" s="23"/>
      <c r="F44" s="5"/>
      <c r="G44" s="5"/>
      <c r="H44" s="5"/>
      <c r="I44" s="5"/>
      <c r="J44" s="5"/>
      <c r="K44" s="5"/>
      <c r="L44" s="5"/>
      <c r="M44" s="5"/>
      <c r="N44" s="24"/>
      <c r="O44" s="23"/>
      <c r="P44" s="5"/>
      <c r="Q44" s="5"/>
      <c r="R44" s="5"/>
      <c r="S44" s="5"/>
      <c r="T44" s="5"/>
      <c r="U44" s="5"/>
      <c r="V44" s="5"/>
      <c r="W44" s="5"/>
      <c r="X44" s="24"/>
      <c r="Y44" s="23"/>
      <c r="Z44" s="5"/>
      <c r="AA44" s="5"/>
      <c r="AB44" s="5"/>
      <c r="AC44" s="5"/>
      <c r="AD44" s="5"/>
      <c r="AE44" s="5"/>
      <c r="AF44" s="5"/>
      <c r="AG44" s="5"/>
      <c r="AH44" s="24"/>
      <c r="AI44" s="23"/>
      <c r="AJ44" s="5"/>
      <c r="AK44" s="5"/>
      <c r="AL44" s="5"/>
      <c r="AM44" s="5"/>
      <c r="AN44" s="5"/>
      <c r="AO44" s="5"/>
      <c r="AP44" s="5"/>
      <c r="AQ44" s="5"/>
      <c r="AR44" s="24"/>
      <c r="AS44" s="23"/>
      <c r="AT44" s="5"/>
      <c r="AU44" s="5"/>
      <c r="AV44" s="5"/>
      <c r="AW44" s="5"/>
      <c r="AX44" s="5"/>
      <c r="AY44" s="5"/>
      <c r="AZ44" s="5"/>
      <c r="BA44" s="5"/>
      <c r="BB44" s="24"/>
      <c r="BC44" s="23"/>
      <c r="BD44" s="5"/>
      <c r="BE44" s="5"/>
      <c r="BF44" s="5"/>
      <c r="BG44" s="5"/>
      <c r="BH44" s="5"/>
      <c r="BI44" s="5"/>
      <c r="BJ44" s="5"/>
      <c r="BK44" s="5"/>
      <c r="BL44" s="24"/>
      <c r="BM44" s="23"/>
      <c r="BN44" s="5"/>
      <c r="BO44" s="5"/>
      <c r="BP44" s="5"/>
      <c r="BQ44" s="5"/>
      <c r="BR44" s="5"/>
      <c r="BS44" s="5"/>
      <c r="BT44" s="5"/>
      <c r="BU44" s="5"/>
      <c r="BV44" s="24"/>
      <c r="BW44" s="23"/>
      <c r="BX44" s="5"/>
      <c r="BY44" s="5"/>
      <c r="BZ44" s="5"/>
      <c r="CA44" s="5"/>
      <c r="CB44" s="5"/>
      <c r="CC44" s="5"/>
      <c r="CD44" s="5"/>
      <c r="CE44" s="5"/>
      <c r="CF44" s="24"/>
      <c r="CG44" s="23"/>
      <c r="CH44" s="5"/>
      <c r="CI44" s="5"/>
      <c r="CJ44" s="5"/>
      <c r="CK44" s="5"/>
      <c r="CL44" s="5"/>
      <c r="CM44" s="5"/>
      <c r="CN44" s="5"/>
      <c r="CO44" s="5"/>
      <c r="CP44" s="24"/>
      <c r="CQ44" s="23"/>
      <c r="CR44" s="5"/>
      <c r="CS44" s="5"/>
      <c r="CT44" s="5"/>
      <c r="CU44" s="5"/>
      <c r="CV44" s="5"/>
      <c r="CW44" s="5"/>
      <c r="CX44" s="5"/>
      <c r="CY44" s="5"/>
      <c r="CZ44" s="24"/>
      <c r="DA44" s="23"/>
      <c r="DB44" s="5"/>
      <c r="DC44" s="5"/>
      <c r="DD44" s="5"/>
      <c r="DE44" s="5"/>
      <c r="DF44" s="5"/>
      <c r="DG44" s="5"/>
      <c r="DH44" s="5"/>
      <c r="DI44" s="5"/>
      <c r="DJ44" s="24"/>
      <c r="DK44" s="23"/>
      <c r="DL44" s="5"/>
      <c r="DM44" s="5"/>
      <c r="DN44" s="5"/>
      <c r="DO44" s="5"/>
      <c r="DP44" s="5"/>
      <c r="DQ44" s="5"/>
      <c r="DR44" s="5"/>
      <c r="DS44" s="5"/>
      <c r="DT44" s="24"/>
      <c r="DU44" s="23"/>
      <c r="DV44" s="5"/>
      <c r="DW44" s="5"/>
      <c r="DX44" s="5"/>
      <c r="DY44" s="5"/>
      <c r="DZ44" s="5"/>
      <c r="EA44" s="5"/>
      <c r="EB44" s="5"/>
      <c r="EC44" s="5"/>
      <c r="ED44" s="24"/>
      <c r="EE44" s="23"/>
      <c r="EF44" s="5"/>
      <c r="EG44" s="5"/>
      <c r="EH44" s="24"/>
      <c r="EI44" s="23"/>
      <c r="EJ44" s="5"/>
      <c r="EK44" s="5"/>
      <c r="EL44" s="17"/>
      <c r="EM44" s="17"/>
      <c r="EN44" s="17"/>
      <c r="EO44" s="18"/>
      <c r="EP44" s="21"/>
      <c r="EQ44" s="53"/>
      <c r="ER44" s="85"/>
      <c r="ES44" s="85"/>
    </row>
    <row r="45" spans="1:149" s="16" customFormat="1" ht="16" thickBot="1" x14ac:dyDescent="0.4">
      <c r="A45"/>
      <c r="B45"/>
      <c r="C45" s="34"/>
      <c r="D45" s="35"/>
      <c r="E45" s="25"/>
      <c r="F45" s="26"/>
      <c r="G45" s="26"/>
      <c r="H45" s="26"/>
      <c r="I45" s="26"/>
      <c r="J45" s="26"/>
      <c r="K45" s="26"/>
      <c r="L45" s="26"/>
      <c r="M45" s="26"/>
      <c r="N45" s="27"/>
      <c r="O45" s="25"/>
      <c r="P45" s="26"/>
      <c r="Q45" s="26"/>
      <c r="R45" s="26"/>
      <c r="S45" s="26"/>
      <c r="T45" s="26"/>
      <c r="U45" s="26"/>
      <c r="V45" s="26"/>
      <c r="W45" s="26"/>
      <c r="X45" s="27"/>
      <c r="Y45" s="25"/>
      <c r="Z45" s="26"/>
      <c r="AA45" s="26"/>
      <c r="AB45" s="26"/>
      <c r="AC45" s="26"/>
      <c r="AD45" s="26"/>
      <c r="AE45" s="26"/>
      <c r="AF45" s="26"/>
      <c r="AG45" s="26"/>
      <c r="AH45" s="27"/>
      <c r="AI45" s="25"/>
      <c r="AJ45" s="26"/>
      <c r="AK45" s="26"/>
      <c r="AL45" s="26"/>
      <c r="AM45" s="26"/>
      <c r="AN45" s="26"/>
      <c r="AO45" s="26"/>
      <c r="AP45" s="26"/>
      <c r="AQ45" s="26"/>
      <c r="AR45" s="27"/>
      <c r="AS45" s="25"/>
      <c r="AT45" s="26"/>
      <c r="AU45" s="26"/>
      <c r="AV45" s="26"/>
      <c r="AW45" s="26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6"/>
      <c r="BI45" s="26"/>
      <c r="BJ45" s="26"/>
      <c r="BK45" s="26"/>
      <c r="BL45" s="27"/>
      <c r="BM45" s="25"/>
      <c r="BN45" s="26"/>
      <c r="BO45" s="26"/>
      <c r="BP45" s="26"/>
      <c r="BQ45" s="26"/>
      <c r="BR45" s="26"/>
      <c r="BS45" s="26"/>
      <c r="BT45" s="26"/>
      <c r="BU45" s="26"/>
      <c r="BV45" s="27"/>
      <c r="BW45" s="25"/>
      <c r="BX45" s="26"/>
      <c r="BY45" s="26"/>
      <c r="BZ45" s="26"/>
      <c r="CA45" s="26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6"/>
      <c r="CM45" s="26"/>
      <c r="CN45" s="26"/>
      <c r="CO45" s="26"/>
      <c r="CP45" s="27"/>
      <c r="CQ45" s="25"/>
      <c r="CR45" s="26"/>
      <c r="CS45" s="26"/>
      <c r="CT45" s="26"/>
      <c r="CU45" s="26"/>
      <c r="CV45" s="26"/>
      <c r="CW45" s="26"/>
      <c r="CX45" s="26"/>
      <c r="CY45" s="26"/>
      <c r="CZ45" s="27"/>
      <c r="DA45" s="25"/>
      <c r="DB45" s="26"/>
      <c r="DC45" s="26"/>
      <c r="DD45" s="26"/>
      <c r="DE45" s="26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6"/>
      <c r="DQ45" s="26"/>
      <c r="DR45" s="26"/>
      <c r="DS45" s="26"/>
      <c r="DT45" s="27"/>
      <c r="DU45" s="25"/>
      <c r="DV45" s="26"/>
      <c r="DW45" s="26"/>
      <c r="DX45" s="26"/>
      <c r="DY45" s="26"/>
      <c r="DZ45" s="26"/>
      <c r="EA45" s="26"/>
      <c r="EB45" s="26"/>
      <c r="EC45" s="26"/>
      <c r="ED45" s="27"/>
      <c r="EE45" s="25"/>
      <c r="EF45" s="26"/>
      <c r="EG45" s="26"/>
      <c r="EH45" s="27"/>
      <c r="EI45" s="25"/>
      <c r="EJ45" s="26"/>
      <c r="EK45" s="26"/>
      <c r="EL45" s="22"/>
      <c r="EM45" s="22"/>
      <c r="EN45" s="22"/>
      <c r="EO45" s="30"/>
      <c r="EP45" s="19"/>
      <c r="EQ45" s="53"/>
      <c r="ER45" s="85"/>
      <c r="ES45" s="85"/>
    </row>
    <row r="46" spans="1:149" x14ac:dyDescent="0.35">
      <c r="EL46" s="1" t="s">
        <v>0</v>
      </c>
      <c r="EN46" s="1" t="s">
        <v>0</v>
      </c>
      <c r="EO46" s="1" t="s">
        <v>0</v>
      </c>
    </row>
    <row r="47" spans="1:149" x14ac:dyDescent="0.35">
      <c r="AB47" s="16"/>
      <c r="AC47" s="16"/>
      <c r="BG47" s="1"/>
      <c r="BH47" s="1" t="s">
        <v>0</v>
      </c>
      <c r="BJ47" s="1"/>
      <c r="BL47" s="1"/>
    </row>
    <row r="48" spans="1:149" x14ac:dyDescent="0.35">
      <c r="I48" s="1"/>
      <c r="K48" s="1"/>
      <c r="S48" s="1"/>
      <c r="U48" s="1"/>
      <c r="AB48" s="16"/>
      <c r="AC48" s="16"/>
      <c r="AE48" s="1"/>
      <c r="AM48" s="1"/>
      <c r="AO48" s="1"/>
      <c r="AW48" s="1"/>
      <c r="AY48" s="1"/>
      <c r="BG48" s="1"/>
      <c r="BI48" s="1"/>
      <c r="BJ48" s="1"/>
      <c r="BL48" s="1"/>
      <c r="BR48"/>
      <c r="EF48" s="201"/>
      <c r="EG48" s="202"/>
      <c r="EH48" s="202"/>
      <c r="EI48" s="201"/>
      <c r="EJ48" s="202"/>
      <c r="EK48" s="202"/>
      <c r="EL48" s="203">
        <f>+EL18+EL19+EL23+EL24+EL26+EL32+EL34+EL36</f>
        <v>8103986.5900000017</v>
      </c>
      <c r="EN48" s="50"/>
      <c r="EO48" s="16"/>
    </row>
    <row r="49" spans="5:149" s="16" customFormat="1" x14ac:dyDescent="0.35">
      <c r="EF49" s="203"/>
      <c r="EG49" s="203"/>
      <c r="EH49" s="203"/>
      <c r="EI49" s="203"/>
      <c r="EJ49" s="203"/>
      <c r="EK49" s="203"/>
      <c r="EL49" s="16">
        <f>+EL25+EL27+EL33+EL35+EL37</f>
        <v>-108791.69000000003</v>
      </c>
      <c r="EP49" s="19"/>
      <c r="EQ49" s="85"/>
      <c r="ER49" s="85"/>
      <c r="ES49" s="85"/>
    </row>
    <row r="50" spans="5:149" s="16" customFormat="1" x14ac:dyDescent="0.35">
      <c r="EF50" s="203"/>
      <c r="EG50" s="203"/>
      <c r="EH50" s="203"/>
      <c r="EI50" s="203"/>
      <c r="EJ50" s="203"/>
      <c r="EK50" s="203"/>
      <c r="EL50" s="204">
        <f>SUM(EL48:EL49)</f>
        <v>7995194.9000000013</v>
      </c>
      <c r="EO50" s="117"/>
      <c r="EP50" s="19"/>
      <c r="EQ50" s="85"/>
      <c r="ER50" s="85"/>
      <c r="ES50" s="85"/>
    </row>
    <row r="51" spans="5:149" s="16" customFormat="1" x14ac:dyDescent="0.35">
      <c r="EF51" s="203"/>
      <c r="EG51" s="203"/>
      <c r="EH51" s="203"/>
      <c r="EI51" s="203"/>
      <c r="EJ51" s="203"/>
      <c r="EK51" s="203"/>
      <c r="EL51" s="203"/>
      <c r="EP51" s="19"/>
      <c r="EQ51" s="85"/>
      <c r="ER51" s="85"/>
      <c r="ES51" s="85"/>
    </row>
    <row r="52" spans="5:149" s="16" customFormat="1" x14ac:dyDescent="0.35">
      <c r="EF52" s="203"/>
      <c r="EG52" s="203"/>
      <c r="EH52" s="203"/>
      <c r="EI52" s="203"/>
      <c r="EJ52" s="203"/>
      <c r="EK52" s="203"/>
      <c r="EL52" s="203"/>
      <c r="EO52" s="151"/>
      <c r="EP52" s="19"/>
      <c r="EQ52" s="85"/>
      <c r="ER52" s="85"/>
      <c r="ES52" s="85"/>
    </row>
    <row r="53" spans="5:149" s="16" customFormat="1" x14ac:dyDescent="0.35">
      <c r="T53" s="104"/>
      <c r="U53" s="104"/>
      <c r="AD53" s="104"/>
      <c r="AE53" s="104"/>
      <c r="AN53" s="104"/>
      <c r="AO53" s="104"/>
      <c r="AX53" s="104"/>
      <c r="AY53" s="104"/>
      <c r="BR53" s="104"/>
      <c r="BS53" s="104"/>
      <c r="EP53" s="19"/>
      <c r="EQ53" s="85"/>
      <c r="ER53" s="85"/>
      <c r="ES53" s="85"/>
    </row>
    <row r="54" spans="5:149" s="16" customFormat="1" x14ac:dyDescent="0.35">
      <c r="T54" s="104"/>
      <c r="U54" s="104"/>
      <c r="AD54" s="104"/>
      <c r="AE54" s="104"/>
      <c r="AN54" s="104"/>
      <c r="AO54" s="104"/>
      <c r="AX54" s="104"/>
      <c r="AY54" s="104"/>
      <c r="BR54" s="104"/>
      <c r="BS54" s="104"/>
      <c r="EL54" s="85"/>
      <c r="EP54" s="19"/>
      <c r="EQ54" s="85"/>
      <c r="ER54" s="85"/>
      <c r="ES54" s="85"/>
    </row>
    <row r="55" spans="5:149" s="16" customFormat="1" x14ac:dyDescent="0.35">
      <c r="T55" s="104"/>
      <c r="U55" s="104"/>
      <c r="AD55" s="104"/>
      <c r="AE55" s="104"/>
      <c r="AN55" s="104"/>
      <c r="AO55" s="104"/>
      <c r="AX55" s="104"/>
      <c r="AY55" s="104"/>
      <c r="BR55" s="104"/>
      <c r="BS55" s="104"/>
      <c r="EK55" s="102"/>
      <c r="EP55" s="19"/>
      <c r="EQ55" s="85"/>
      <c r="ER55" s="85"/>
      <c r="ES55" s="85"/>
    </row>
    <row r="56" spans="5:149" s="16" customFormat="1" x14ac:dyDescent="0.35">
      <c r="EK56" s="102"/>
      <c r="EP56" s="19"/>
      <c r="EQ56" s="85"/>
      <c r="ER56" s="85"/>
      <c r="ES56" s="85"/>
    </row>
    <row r="57" spans="5:149" s="16" customFormat="1" x14ac:dyDescent="0.35">
      <c r="EP57" s="19"/>
      <c r="EQ57" s="85"/>
      <c r="ER57" s="85"/>
      <c r="ES57" s="85"/>
    </row>
    <row r="59" spans="5:149" x14ac:dyDescent="0.35">
      <c r="E59" s="50"/>
      <c r="F59" s="50"/>
      <c r="G59" s="50"/>
      <c r="H59" s="50"/>
      <c r="I59" s="50" t="s">
        <v>3</v>
      </c>
      <c r="J59" s="50"/>
      <c r="K59" s="50"/>
      <c r="L59" s="50"/>
      <c r="M59" s="50"/>
      <c r="N59" s="50" t="s">
        <v>3</v>
      </c>
      <c r="O59" s="50"/>
      <c r="P59" s="50"/>
      <c r="Q59" s="50"/>
      <c r="R59" s="50"/>
      <c r="S59" s="50" t="s">
        <v>3</v>
      </c>
      <c r="T59" s="50"/>
      <c r="U59" s="50"/>
      <c r="V59" s="50"/>
      <c r="W59" s="50"/>
      <c r="X59" s="50" t="s">
        <v>3</v>
      </c>
      <c r="Y59" s="50"/>
      <c r="Z59" s="50"/>
      <c r="AA59" s="50"/>
      <c r="AB59" s="50"/>
      <c r="AC59" s="50" t="s">
        <v>3</v>
      </c>
      <c r="AD59" s="50"/>
      <c r="AE59" s="50"/>
      <c r="AF59" s="50"/>
      <c r="AG59" s="50"/>
      <c r="AH59" s="50" t="s">
        <v>3</v>
      </c>
      <c r="AI59" s="50"/>
      <c r="AJ59" s="50"/>
      <c r="AK59" s="50"/>
      <c r="AL59" s="50"/>
      <c r="AM59" s="50" t="s">
        <v>3</v>
      </c>
      <c r="AN59" s="50"/>
      <c r="AO59" s="50"/>
      <c r="AP59" s="50"/>
      <c r="AQ59" s="50"/>
      <c r="AR59" s="50" t="s">
        <v>3</v>
      </c>
      <c r="AS59" s="50"/>
      <c r="AT59" s="50"/>
      <c r="AU59" s="50"/>
      <c r="AV59" s="50"/>
      <c r="AW59" s="50" t="s">
        <v>3</v>
      </c>
      <c r="AX59" s="50"/>
      <c r="AY59" s="50"/>
      <c r="AZ59" s="50"/>
      <c r="BA59" s="50"/>
      <c r="BB59" s="50" t="s">
        <v>3</v>
      </c>
      <c r="BC59" s="50"/>
      <c r="BD59" s="50"/>
      <c r="BE59" s="50"/>
      <c r="BF59" s="50"/>
      <c r="BG59" s="50" t="s">
        <v>3</v>
      </c>
      <c r="BH59" s="50"/>
      <c r="BI59" s="50"/>
      <c r="BJ59" s="50"/>
      <c r="BK59" s="50"/>
      <c r="BL59" s="50" t="s">
        <v>3</v>
      </c>
      <c r="BM59" s="50"/>
      <c r="BN59" s="50"/>
      <c r="BO59" s="50"/>
      <c r="BP59" s="50"/>
      <c r="BQ59" s="50" t="s">
        <v>3</v>
      </c>
      <c r="BR59" s="50"/>
      <c r="BS59" s="50"/>
      <c r="BT59" s="50"/>
      <c r="BU59" s="50"/>
      <c r="BV59" s="50" t="s">
        <v>3</v>
      </c>
      <c r="BW59" s="50"/>
      <c r="BX59" s="50"/>
      <c r="BY59" s="50"/>
      <c r="BZ59" s="50"/>
      <c r="CA59" s="50" t="s">
        <v>3</v>
      </c>
      <c r="CB59" s="50"/>
      <c r="CC59" s="50"/>
      <c r="CD59" s="50"/>
      <c r="CE59" s="50"/>
      <c r="CF59" s="50" t="s">
        <v>3</v>
      </c>
      <c r="CG59" s="50"/>
      <c r="CH59" s="50"/>
      <c r="CI59" s="50"/>
      <c r="CJ59" s="50"/>
      <c r="CK59" s="50" t="s">
        <v>3</v>
      </c>
      <c r="CL59" s="50"/>
      <c r="CM59" s="50"/>
      <c r="CN59" s="50"/>
      <c r="CO59" s="50"/>
      <c r="CP59" s="50" t="s">
        <v>3</v>
      </c>
      <c r="CQ59" s="50"/>
      <c r="CR59" s="50"/>
      <c r="CS59" s="50"/>
      <c r="CT59" s="50"/>
      <c r="CU59" s="50" t="s">
        <v>3</v>
      </c>
      <c r="CV59" s="50"/>
      <c r="CW59" s="50"/>
      <c r="CX59" s="50"/>
      <c r="CY59" s="50"/>
      <c r="CZ59" s="50" t="s">
        <v>3</v>
      </c>
      <c r="DA59" s="50"/>
      <c r="DB59" s="50"/>
      <c r="DC59" s="50"/>
      <c r="DD59" s="50"/>
      <c r="DE59" s="50" t="s">
        <v>3</v>
      </c>
      <c r="DF59" s="50"/>
      <c r="DG59" s="50"/>
      <c r="DH59" s="50"/>
      <c r="DI59" s="50"/>
      <c r="DJ59" s="50" t="s">
        <v>3</v>
      </c>
      <c r="DK59" s="50"/>
      <c r="DL59" s="50"/>
      <c r="DM59" s="50"/>
      <c r="DN59" s="50"/>
      <c r="DO59" s="50" t="s">
        <v>3</v>
      </c>
      <c r="DP59" s="50"/>
      <c r="DQ59" s="50"/>
      <c r="DR59" s="50"/>
      <c r="DS59" s="50"/>
      <c r="DT59" s="50" t="s">
        <v>3</v>
      </c>
      <c r="DU59" s="50"/>
      <c r="DV59" s="50"/>
      <c r="DW59" s="50"/>
      <c r="DX59" s="50"/>
      <c r="DY59" s="50" t="s">
        <v>3</v>
      </c>
      <c r="DZ59" s="50"/>
      <c r="EA59" s="50"/>
      <c r="EB59" s="50"/>
      <c r="EC59" s="50"/>
      <c r="ED59" s="50" t="s">
        <v>3</v>
      </c>
      <c r="EE59" s="50"/>
      <c r="EF59" s="50"/>
      <c r="EG59" s="50" t="s">
        <v>3</v>
      </c>
      <c r="EH59" s="50" t="s">
        <v>3</v>
      </c>
      <c r="EJ59" s="50" t="s">
        <v>3</v>
      </c>
      <c r="EK59" s="50"/>
      <c r="EL59" s="50" t="s">
        <v>3</v>
      </c>
    </row>
    <row r="60" spans="5:149" x14ac:dyDescent="0.35">
      <c r="E60" s="16"/>
      <c r="F60" s="16"/>
      <c r="G60" s="16"/>
      <c r="H60" s="16"/>
      <c r="I60" s="16">
        <f>+I18+I19+I22+I23+I24+I25+I26+I27+I28+I20+I21+I29+I30</f>
        <v>583063.49</v>
      </c>
      <c r="J60" s="16"/>
      <c r="K60" s="16"/>
      <c r="L60" s="16"/>
      <c r="M60" s="16"/>
      <c r="N60" s="16">
        <f>+N18+N19+N22+N23+N24+N25+N26+N27+N28+N20+N21+N29+N30</f>
        <v>11100.06</v>
      </c>
      <c r="O60" s="16"/>
      <c r="P60" s="16"/>
      <c r="Q60" s="16"/>
      <c r="R60" s="16"/>
      <c r="S60" s="16">
        <f>+S18+S19+S22+S23+S24+S25+S26+S27+S28+S20+S21+S29+S30</f>
        <v>398308.69</v>
      </c>
      <c r="T60" s="16"/>
      <c r="U60" s="16"/>
      <c r="V60" s="16"/>
      <c r="W60" s="16"/>
      <c r="X60" s="16">
        <f>+X18+X19+X22+X23+X24+X25+X26+X27+X28+X20+X21+X29+X30</f>
        <v>16780.95</v>
      </c>
      <c r="Y60" s="16"/>
      <c r="Z60" s="16"/>
      <c r="AA60" s="16"/>
      <c r="AB60" s="16"/>
      <c r="AC60" s="16">
        <f>+AC18+AC19+AC22+AC23+AC24+AC25+AC26+AC27+AC28+AC20+AC21+AC29+AC30</f>
        <v>446949.87</v>
      </c>
      <c r="AD60" s="16"/>
      <c r="AE60" s="16"/>
      <c r="AF60" s="16"/>
      <c r="AG60" s="16"/>
      <c r="AH60" s="16">
        <f>+AH18+AH19+AH22+AH23+AH24+AH25+AH26+AH27+AH28+AH20+AH21+AH29+AH30</f>
        <v>22654.38</v>
      </c>
      <c r="AI60" s="16"/>
      <c r="AJ60" s="16"/>
      <c r="AK60" s="16"/>
      <c r="AL60" s="16"/>
      <c r="AM60" s="16">
        <f>+AM18+AM19+AM22+AM23+AM24+AM25+AM26+AM27+AM28+AM20+AM21+AM29+AM30</f>
        <v>445597.39</v>
      </c>
      <c r="AN60" s="16"/>
      <c r="AO60" s="16"/>
      <c r="AP60" s="16"/>
      <c r="AQ60" s="16"/>
      <c r="AR60" s="16">
        <f>+AR18+AR19+AR22+AR23+AR24+AR25+AR26+AR27+AR28+AR20+AR21+AR29+AR30</f>
        <v>27962.97</v>
      </c>
      <c r="AS60" s="16"/>
      <c r="AT60" s="16"/>
      <c r="AU60" s="16"/>
      <c r="AV60" s="16"/>
      <c r="AW60" s="16">
        <f>+AW18+AW19+AW22+AW23+AW24+AW25+AW26+AW27+AW28+AW20+AW21+AW29+AW30</f>
        <v>847038.01</v>
      </c>
      <c r="AX60" s="16"/>
      <c r="AY60" s="16"/>
      <c r="AZ60" s="16"/>
      <c r="BA60" s="16"/>
      <c r="BB60" s="16">
        <f>+BB18+BB19+BB22+BB23+BB24+BB25+BB26+BB27+BB28+BB20+BB21+BB29+BB30</f>
        <v>47083.450000000004</v>
      </c>
      <c r="BC60" s="16"/>
      <c r="BD60" s="16"/>
      <c r="BE60" s="16"/>
      <c r="BF60" s="16"/>
      <c r="BG60" s="16">
        <f>+BG18+BG19+BG22+BG23+BG24+BG25+BG26+BG27+BG28+BG20+BG21+BG29+BG30</f>
        <v>1075560.9500000002</v>
      </c>
      <c r="BH60" s="16"/>
      <c r="BI60" s="16"/>
      <c r="BJ60" s="16"/>
      <c r="BK60" s="16"/>
      <c r="BL60" s="16">
        <f>+BL18+BL19+BL22+BL23+BL24+BL25+BL26+BL27+BL28+BL20+BL21+BL29+BL30</f>
        <v>58444.1</v>
      </c>
      <c r="BM60" s="16"/>
      <c r="BN60" s="16"/>
      <c r="BO60" s="16"/>
      <c r="BP60" s="16"/>
      <c r="BQ60" s="16">
        <f>+BQ18+BQ19+BQ22+BQ23+BQ24+BQ25+BQ26+BQ27+BQ28+BQ20+BQ21+BQ29+BQ30</f>
        <v>1013507.72</v>
      </c>
      <c r="BR60" s="16"/>
      <c r="BS60" s="16"/>
      <c r="BT60" s="16"/>
      <c r="BU60" s="16"/>
      <c r="BV60" s="16">
        <f>+BV18+BV19+BV22+BV23+BV24+BV25+BV26+BV27+BV28+BV20+BV21+BV29+BV30</f>
        <v>59168.53</v>
      </c>
      <c r="BW60" s="16"/>
      <c r="BX60" s="16"/>
      <c r="BY60" s="16"/>
      <c r="BZ60" s="16"/>
      <c r="CA60" s="16">
        <f>+CA18+CA19+CA22+CA23+CA24+CA25+CA26+CA27+CA28+CA20+CA21+CA29+CA30</f>
        <v>2068937.23</v>
      </c>
      <c r="CB60" s="16"/>
      <c r="CC60" s="16"/>
      <c r="CD60" s="16"/>
      <c r="CE60" s="16"/>
      <c r="CF60" s="16">
        <f>+CF18+CF19+CF22+CF23+CF24+CF25+CF26+CF27+CF28+CF20+CF21+CF29+CF30</f>
        <v>77856.77</v>
      </c>
      <c r="CG60" s="16"/>
      <c r="CH60" s="16"/>
      <c r="CI60" s="16"/>
      <c r="CJ60" s="16"/>
      <c r="CK60" s="16">
        <f>+CK18+CK19+CK22+CK23+CK24+CK25+CK26+CK27+CK28+CK20+CK21+CK29+CK30</f>
        <v>2482851.6399999997</v>
      </c>
      <c r="CL60" s="16"/>
      <c r="CM60" s="16"/>
      <c r="CN60" s="16"/>
      <c r="CO60" s="16"/>
      <c r="CP60" s="16">
        <f>+CP18+CP19+CP22+CP23+CP24+CP25+CP26+CP27+CP28+CP20+CP21+CP29+CP30</f>
        <v>105538.74</v>
      </c>
      <c r="CQ60" s="16"/>
      <c r="CR60" s="16"/>
      <c r="CS60" s="16"/>
      <c r="CT60" s="16"/>
      <c r="CU60" s="16">
        <f>+CU18+CU19+CU22+CU23+CU24+CU25+CU26+CU27+CU28+CU20+CU21+CU29+CU30</f>
        <v>3078704.12</v>
      </c>
      <c r="CV60" s="16"/>
      <c r="CW60" s="16"/>
      <c r="CX60" s="16"/>
      <c r="CY60" s="16"/>
      <c r="CZ60" s="16">
        <f>+CZ18+CZ19+CZ22+CZ23+CZ24+CZ25+CZ26+CZ27+CZ28+CZ20+CZ21+CZ29+CZ30</f>
        <v>105978.01000000001</v>
      </c>
      <c r="DA60" s="16"/>
      <c r="DB60" s="16"/>
      <c r="DC60" s="16"/>
      <c r="DD60" s="16"/>
      <c r="DE60" s="16">
        <f>+DE18+DE19+DE22+DE23+DE24+DE25+DE26+DE27+DE28+DE20+DE21+DE29+DE30</f>
        <v>4521846.8100000005</v>
      </c>
      <c r="DF60" s="16"/>
      <c r="DG60" s="16"/>
      <c r="DH60" s="16"/>
      <c r="DI60" s="16"/>
      <c r="DJ60" s="16">
        <f>+DJ18+DJ19+DJ22+DJ23+DJ24+DJ25+DJ26+DJ27+DJ28+DJ20+DJ21+DJ29+DJ30</f>
        <v>188958.24</v>
      </c>
      <c r="DK60" s="16"/>
      <c r="DL60" s="16"/>
      <c r="DM60" s="16"/>
      <c r="DN60" s="16"/>
      <c r="DO60" s="16">
        <f>+DO18+DO19+DO22+DO23+DO24+DO25+DO26+DO27+DO28+DO20+DO21+DO29+DO30</f>
        <v>6382013.8900000006</v>
      </c>
      <c r="DP60" s="16"/>
      <c r="DQ60" s="16"/>
      <c r="DR60" s="16"/>
      <c r="DS60" s="16"/>
      <c r="DT60" s="16">
        <f>+DT18+DT19+DT22+DT23+DT24+DT25+DT26+DT27+DT28+DT20+DT21+DT29+DT30</f>
        <v>422333.61</v>
      </c>
      <c r="DU60" s="16"/>
      <c r="DV60" s="16"/>
      <c r="DW60" s="16"/>
      <c r="DX60" s="16"/>
      <c r="DY60" s="16">
        <f>+DY18+DY19+DY22+DY23+DY24+DY25+DY26+DY27+DY28+DY20+DY21+DY29+DY30</f>
        <v>8177728.0499999998</v>
      </c>
      <c r="DZ60" s="16"/>
      <c r="EA60" s="16"/>
      <c r="EB60" s="16"/>
      <c r="EC60" s="16"/>
      <c r="ED60" s="16">
        <f>+ED18+ED19+ED22+ED23+ED24+ED25+ED26+ED27+ED28+ED20+ED21+ED29+ED30</f>
        <v>704026.36</v>
      </c>
      <c r="EE60" s="16"/>
      <c r="EF60" s="16"/>
      <c r="EG60" s="16">
        <f>+EG18+EG19+EG22+EG23+EG24+EG25+EG26+EG27+EG28+EG20+EG21+EG29+EG30</f>
        <v>8177728.0499999998</v>
      </c>
      <c r="EH60" s="16">
        <f>+EH18+EH19+EH22+EH23+EH24+EH25+EH26+EH27+EH28+EH20+EH21+EH29+EH30</f>
        <v>704026.36</v>
      </c>
      <c r="EI60" s="16"/>
      <c r="EJ60" s="16">
        <f>+EJ18+EJ19+EJ22+EJ23+EJ24+EJ25+EJ26+EJ27+EJ28+EJ20+EJ21+EJ29+EJ30</f>
        <v>199973.4</v>
      </c>
      <c r="EK60" s="51">
        <v>1508</v>
      </c>
      <c r="EL60" s="16">
        <f>+EL18+EL19+EL22+EL23+EL24+EL25+EL26+EL27+EL28+EL20+EL21+EL29+EL30</f>
        <v>7216659.4300000016</v>
      </c>
      <c r="EM60" s="51"/>
    </row>
    <row r="61" spans="5:149" x14ac:dyDescent="0.35">
      <c r="E61" s="16"/>
      <c r="F61" s="16"/>
      <c r="G61" s="16"/>
      <c r="H61" s="16"/>
      <c r="I61" s="16">
        <f>+I31</f>
        <v>0</v>
      </c>
      <c r="J61" s="16"/>
      <c r="K61" s="16"/>
      <c r="L61" s="16"/>
      <c r="M61" s="16"/>
      <c r="N61" s="16">
        <f>+N31</f>
        <v>0</v>
      </c>
      <c r="O61" s="16"/>
      <c r="P61" s="16"/>
      <c r="Q61" s="16"/>
      <c r="R61" s="16"/>
      <c r="S61" s="16">
        <f>+S31</f>
        <v>0</v>
      </c>
      <c r="T61" s="16"/>
      <c r="U61" s="16"/>
      <c r="V61" s="16"/>
      <c r="W61" s="16"/>
      <c r="X61" s="16">
        <f>+X31</f>
        <v>0</v>
      </c>
      <c r="Y61" s="16"/>
      <c r="Z61" s="16"/>
      <c r="AA61" s="16"/>
      <c r="AB61" s="16"/>
      <c r="AC61" s="16">
        <f>+AC31</f>
        <v>0</v>
      </c>
      <c r="AD61" s="16"/>
      <c r="AE61" s="16"/>
      <c r="AF61" s="16"/>
      <c r="AG61" s="16"/>
      <c r="AH61" s="16">
        <f>+AH31</f>
        <v>0</v>
      </c>
      <c r="AI61" s="16"/>
      <c r="AJ61" s="16"/>
      <c r="AK61" s="16"/>
      <c r="AL61" s="16"/>
      <c r="AM61" s="16">
        <f>+AM31</f>
        <v>0</v>
      </c>
      <c r="AN61" s="16"/>
      <c r="AO61" s="16"/>
      <c r="AP61" s="16"/>
      <c r="AQ61" s="16"/>
      <c r="AR61" s="16">
        <f>+AR31</f>
        <v>0</v>
      </c>
      <c r="AS61" s="16"/>
      <c r="AT61" s="16"/>
      <c r="AU61" s="16"/>
      <c r="AV61" s="16"/>
      <c r="AW61" s="16">
        <f>+AW31</f>
        <v>0</v>
      </c>
      <c r="AX61" s="16"/>
      <c r="AY61" s="16"/>
      <c r="AZ61" s="16"/>
      <c r="BA61" s="16"/>
      <c r="BB61" s="16">
        <f>+BB31</f>
        <v>0</v>
      </c>
      <c r="BC61" s="16"/>
      <c r="BD61" s="16"/>
      <c r="BE61" s="16"/>
      <c r="BF61" s="16"/>
      <c r="BG61" s="16">
        <f>+BG31</f>
        <v>0</v>
      </c>
      <c r="BH61" s="16"/>
      <c r="BI61" s="16"/>
      <c r="BJ61" s="16"/>
      <c r="BK61" s="16"/>
      <c r="BL61" s="16">
        <f>+BL31</f>
        <v>0</v>
      </c>
      <c r="BM61" s="16"/>
      <c r="BN61" s="16"/>
      <c r="BO61" s="16"/>
      <c r="BP61" s="16"/>
      <c r="BQ61" s="16">
        <f>+BQ31</f>
        <v>0</v>
      </c>
      <c r="BR61" s="16"/>
      <c r="BS61" s="16"/>
      <c r="BT61" s="16"/>
      <c r="BU61" s="16"/>
      <c r="BV61" s="16">
        <f>+BV31</f>
        <v>0</v>
      </c>
      <c r="BW61" s="16"/>
      <c r="BX61" s="16"/>
      <c r="BY61" s="16"/>
      <c r="BZ61" s="16"/>
      <c r="CA61" s="16">
        <f>+CA31</f>
        <v>0</v>
      </c>
      <c r="CB61" s="16"/>
      <c r="CC61" s="16"/>
      <c r="CD61" s="16"/>
      <c r="CE61" s="16"/>
      <c r="CF61" s="16">
        <f>+CF31</f>
        <v>0</v>
      </c>
      <c r="CG61" s="16"/>
      <c r="CH61" s="16"/>
      <c r="CI61" s="16"/>
      <c r="CJ61" s="16"/>
      <c r="CK61" s="16">
        <f>+CK31</f>
        <v>0</v>
      </c>
      <c r="CL61" s="16"/>
      <c r="CM61" s="16"/>
      <c r="CN61" s="16"/>
      <c r="CO61" s="16"/>
      <c r="CP61" s="16">
        <f>+CP31</f>
        <v>0</v>
      </c>
      <c r="CQ61" s="16"/>
      <c r="CR61" s="16"/>
      <c r="CS61" s="16"/>
      <c r="CT61" s="16"/>
      <c r="CU61" s="16">
        <f>+CU31</f>
        <v>0</v>
      </c>
      <c r="CV61" s="16"/>
      <c r="CW61" s="16"/>
      <c r="CX61" s="16"/>
      <c r="CY61" s="16"/>
      <c r="CZ61" s="16">
        <f>+CZ31</f>
        <v>0</v>
      </c>
      <c r="DA61" s="16"/>
      <c r="DB61" s="16"/>
      <c r="DC61" s="16"/>
      <c r="DD61" s="16"/>
      <c r="DE61" s="16">
        <f>+DE31</f>
        <v>0</v>
      </c>
      <c r="DF61" s="16"/>
      <c r="DG61" s="16"/>
      <c r="DH61" s="16"/>
      <c r="DI61" s="16"/>
      <c r="DJ61" s="16">
        <f>+DJ31</f>
        <v>0</v>
      </c>
      <c r="DK61" s="16"/>
      <c r="DL61" s="16"/>
      <c r="DM61" s="16"/>
      <c r="DN61" s="16"/>
      <c r="DO61" s="16">
        <f>+DO31</f>
        <v>0</v>
      </c>
      <c r="DP61" s="16"/>
      <c r="DQ61" s="16"/>
      <c r="DR61" s="16"/>
      <c r="DS61" s="16"/>
      <c r="DT61" s="16">
        <f>+DT31</f>
        <v>0</v>
      </c>
      <c r="DU61" s="16"/>
      <c r="DV61" s="16"/>
      <c r="DW61" s="16"/>
      <c r="DX61" s="16"/>
      <c r="DY61" s="16">
        <f>+DY31</f>
        <v>626259.47</v>
      </c>
      <c r="DZ61" s="16"/>
      <c r="EA61" s="16"/>
      <c r="EB61" s="16"/>
      <c r="EC61" s="16"/>
      <c r="ED61" s="16">
        <f>+ED31</f>
        <v>5906.36</v>
      </c>
      <c r="EE61" s="16"/>
      <c r="EF61" s="16"/>
      <c r="EG61" s="16">
        <f>+EG31</f>
        <v>626259.47</v>
      </c>
      <c r="EH61" s="16">
        <f>+EH31</f>
        <v>5906.36</v>
      </c>
      <c r="EI61" s="16"/>
      <c r="EJ61" s="16">
        <f>+EJ31</f>
        <v>0</v>
      </c>
      <c r="EK61" s="51">
        <v>1511</v>
      </c>
      <c r="EL61" s="16">
        <f>+EL31</f>
        <v>0</v>
      </c>
      <c r="EM61" s="51"/>
    </row>
    <row r="62" spans="5:149" x14ac:dyDescent="0.35">
      <c r="E62" s="16"/>
      <c r="F62" s="16"/>
      <c r="G62" s="16"/>
      <c r="H62" s="16"/>
      <c r="I62" s="16">
        <f>+I32+I33</f>
        <v>-524915</v>
      </c>
      <c r="J62" s="16"/>
      <c r="K62" s="16"/>
      <c r="L62" s="16"/>
      <c r="M62" s="16"/>
      <c r="N62" s="16">
        <f>+N32+N33</f>
        <v>-23900</v>
      </c>
      <c r="O62" s="16"/>
      <c r="P62" s="16"/>
      <c r="Q62" s="16"/>
      <c r="R62" s="16"/>
      <c r="S62" s="16">
        <f>+S32+S33</f>
        <v>-606350.52</v>
      </c>
      <c r="T62" s="16"/>
      <c r="U62" s="16"/>
      <c r="V62" s="16"/>
      <c r="W62" s="16"/>
      <c r="X62" s="16">
        <f>+X32+X33</f>
        <v>-32124.510000000002</v>
      </c>
      <c r="Y62" s="16"/>
      <c r="Z62" s="16"/>
      <c r="AA62" s="16"/>
      <c r="AB62" s="16"/>
      <c r="AC62" s="16">
        <f>+AC32+AC33</f>
        <v>-162329.44999999995</v>
      </c>
      <c r="AD62" s="16"/>
      <c r="AE62" s="16"/>
      <c r="AF62" s="16"/>
      <c r="AG62" s="16"/>
      <c r="AH62" s="16">
        <f>+AH32+AH33</f>
        <v>-2219.010000000002</v>
      </c>
      <c r="AI62" s="16"/>
      <c r="AJ62" s="16"/>
      <c r="AK62" s="16"/>
      <c r="AL62" s="16"/>
      <c r="AM62" s="16">
        <f>+AM32+AM33</f>
        <v>-235639.41999999995</v>
      </c>
      <c r="AN62" s="16"/>
      <c r="AO62" s="16"/>
      <c r="AP62" s="16"/>
      <c r="AQ62" s="16"/>
      <c r="AR62" s="16">
        <f>+AR32+AR33</f>
        <v>-4536.7000000000025</v>
      </c>
      <c r="AS62" s="16"/>
      <c r="AT62" s="16"/>
      <c r="AU62" s="16"/>
      <c r="AV62" s="16"/>
      <c r="AW62" s="16">
        <f>+AW32+AW33</f>
        <v>227433.08000000007</v>
      </c>
      <c r="AX62" s="16"/>
      <c r="AY62" s="16"/>
      <c r="AZ62" s="16"/>
      <c r="BA62" s="16"/>
      <c r="BB62" s="16">
        <f>+BB32+BB33</f>
        <v>19640.82</v>
      </c>
      <c r="BC62" s="16"/>
      <c r="BD62" s="16"/>
      <c r="BE62" s="16"/>
      <c r="BF62" s="16"/>
      <c r="BG62" s="16">
        <f>+BG32+BG33</f>
        <v>225896.69000000006</v>
      </c>
      <c r="BH62" s="16"/>
      <c r="BI62" s="16"/>
      <c r="BJ62" s="16"/>
      <c r="BK62" s="16"/>
      <c r="BL62" s="16">
        <f>+BL32+BL33</f>
        <v>22349.589999999997</v>
      </c>
      <c r="BM62" s="16"/>
      <c r="BN62" s="16"/>
      <c r="BO62" s="16"/>
      <c r="BP62" s="16"/>
      <c r="BQ62" s="16">
        <f>+BQ32+BQ33</f>
        <v>-309973.27</v>
      </c>
      <c r="BR62" s="16"/>
      <c r="BS62" s="16"/>
      <c r="BT62" s="16"/>
      <c r="BU62" s="16"/>
      <c r="BV62" s="16">
        <f>+BV32+BV33</f>
        <v>-16677.02</v>
      </c>
      <c r="BW62" s="16"/>
      <c r="BX62" s="16"/>
      <c r="BY62" s="16"/>
      <c r="BZ62" s="16"/>
      <c r="CA62" s="16">
        <f>+CA32+CA33</f>
        <v>-357256.33</v>
      </c>
      <c r="CB62" s="16"/>
      <c r="CC62" s="16"/>
      <c r="CD62" s="16"/>
      <c r="CE62" s="16"/>
      <c r="CF62" s="16">
        <f>+CF32+CF33</f>
        <v>-23965.120000000003</v>
      </c>
      <c r="CG62" s="16"/>
      <c r="CH62" s="16"/>
      <c r="CI62" s="16"/>
      <c r="CJ62" s="16"/>
      <c r="CK62" s="16">
        <f>+CK32+CK33</f>
        <v>-429509.76999999996</v>
      </c>
      <c r="CL62" s="16"/>
      <c r="CM62" s="16"/>
      <c r="CN62" s="16"/>
      <c r="CO62" s="16"/>
      <c r="CP62" s="16">
        <f>+CP32+CP33</f>
        <v>-29212.670000000006</v>
      </c>
      <c r="CQ62" s="16"/>
      <c r="CR62" s="16"/>
      <c r="CS62" s="16"/>
      <c r="CT62" s="16"/>
      <c r="CU62" s="16">
        <f>+CU32+CU33</f>
        <v>570296.16</v>
      </c>
      <c r="CV62" s="16"/>
      <c r="CW62" s="16"/>
      <c r="CX62" s="16"/>
      <c r="CY62" s="16"/>
      <c r="CZ62" s="16">
        <f>+CZ32+CZ33</f>
        <v>-31679.520000000004</v>
      </c>
      <c r="DA62" s="16"/>
      <c r="DB62" s="16"/>
      <c r="DC62" s="16"/>
      <c r="DD62" s="16"/>
      <c r="DE62" s="16">
        <f>+DE32+DE33</f>
        <v>560983.60000000009</v>
      </c>
      <c r="DF62" s="16"/>
      <c r="DG62" s="16"/>
      <c r="DH62" s="16"/>
      <c r="DI62" s="16"/>
      <c r="DJ62" s="16">
        <f>+DJ32+DJ33</f>
        <v>47294.37999999999</v>
      </c>
      <c r="DK62" s="16"/>
      <c r="DL62" s="16"/>
      <c r="DM62" s="16"/>
      <c r="DN62" s="16"/>
      <c r="DO62" s="16">
        <f>+DO32+DO33</f>
        <v>554771.79</v>
      </c>
      <c r="DP62" s="16"/>
      <c r="DQ62" s="16"/>
      <c r="DR62" s="16"/>
      <c r="DS62" s="16"/>
      <c r="DT62" s="16">
        <f>+DT32+DT33</f>
        <v>75340.299999999988</v>
      </c>
      <c r="DU62" s="16"/>
      <c r="DV62" s="16"/>
      <c r="DW62" s="16"/>
      <c r="DX62" s="16"/>
      <c r="DY62" s="16">
        <f>+DY32+DY33</f>
        <v>565073.60000000009</v>
      </c>
      <c r="DZ62" s="16"/>
      <c r="EA62" s="16"/>
      <c r="EB62" s="16"/>
      <c r="EC62" s="16"/>
      <c r="ED62" s="16">
        <f>+ED32+ED33</f>
        <v>104087.44999999998</v>
      </c>
      <c r="EE62" s="16"/>
      <c r="EF62" s="16"/>
      <c r="EG62" s="16">
        <f>+EG32+EG33</f>
        <v>565073.60000000009</v>
      </c>
      <c r="EH62" s="16">
        <f>+EH32+EH33</f>
        <v>104087.44999999998</v>
      </c>
      <c r="EI62" s="16"/>
      <c r="EJ62" s="16">
        <f>+EJ32+EJ33</f>
        <v>17828.11</v>
      </c>
      <c r="EK62" s="51">
        <v>1518</v>
      </c>
      <c r="EL62" s="16">
        <f>+EL32+EL33</f>
        <v>686989.16000000015</v>
      </c>
      <c r="EM62" s="51"/>
    </row>
    <row r="63" spans="5:149" x14ac:dyDescent="0.35">
      <c r="E63" s="16"/>
      <c r="F63" s="16"/>
      <c r="G63" s="16"/>
      <c r="H63" s="16"/>
      <c r="I63" s="16">
        <f>+I34+I35</f>
        <v>474050</v>
      </c>
      <c r="J63" s="16"/>
      <c r="K63" s="16"/>
      <c r="L63" s="16"/>
      <c r="M63" s="16"/>
      <c r="N63" s="16">
        <f>+N34+N35</f>
        <v>13448</v>
      </c>
      <c r="O63" s="16"/>
      <c r="P63" s="16"/>
      <c r="Q63" s="16"/>
      <c r="R63" s="16"/>
      <c r="S63" s="16">
        <f>+S34+S35</f>
        <v>594381.49</v>
      </c>
      <c r="T63" s="16"/>
      <c r="U63" s="16"/>
      <c r="V63" s="16"/>
      <c r="W63" s="16"/>
      <c r="X63" s="16">
        <f>+X34+X35</f>
        <v>21169.98</v>
      </c>
      <c r="Y63" s="16"/>
      <c r="Z63" s="16"/>
      <c r="AA63" s="16"/>
      <c r="AB63" s="16"/>
      <c r="AC63" s="16">
        <f>+AC34+AC35</f>
        <v>243180.95999999996</v>
      </c>
      <c r="AD63" s="16"/>
      <c r="AE63" s="16"/>
      <c r="AF63" s="16"/>
      <c r="AG63" s="16"/>
      <c r="AH63" s="16">
        <f>+AH34+AH35</f>
        <v>3312.3300000000017</v>
      </c>
      <c r="AI63" s="16"/>
      <c r="AJ63" s="16"/>
      <c r="AK63" s="16"/>
      <c r="AL63" s="16"/>
      <c r="AM63" s="16">
        <f>+AM34+AM35</f>
        <v>379561.76999999996</v>
      </c>
      <c r="AN63" s="16"/>
      <c r="AO63" s="16"/>
      <c r="AP63" s="16"/>
      <c r="AQ63" s="16"/>
      <c r="AR63" s="16">
        <f>+AR34+AR35</f>
        <v>6924.0500000000011</v>
      </c>
      <c r="AS63" s="16"/>
      <c r="AT63" s="16"/>
      <c r="AU63" s="16"/>
      <c r="AV63" s="16"/>
      <c r="AW63" s="16">
        <f>+AW34+AW35</f>
        <v>568147.85</v>
      </c>
      <c r="AX63" s="16"/>
      <c r="AY63" s="16"/>
      <c r="AZ63" s="16"/>
      <c r="BA63" s="16"/>
      <c r="BB63" s="16">
        <f>+BB34+BB35</f>
        <v>13121.79</v>
      </c>
      <c r="BC63" s="16"/>
      <c r="BD63" s="16"/>
      <c r="BE63" s="16"/>
      <c r="BF63" s="16"/>
      <c r="BG63" s="16">
        <f>+BG34+BG35</f>
        <v>728343.48</v>
      </c>
      <c r="BH63" s="16"/>
      <c r="BI63" s="16"/>
      <c r="BJ63" s="16"/>
      <c r="BK63" s="16"/>
      <c r="BL63" s="16">
        <f>+BL34+BL35</f>
        <v>20869.04</v>
      </c>
      <c r="BM63" s="16"/>
      <c r="BN63" s="16"/>
      <c r="BO63" s="16"/>
      <c r="BP63" s="16"/>
      <c r="BQ63" s="16">
        <f>+BQ34+BQ35</f>
        <v>852331.85</v>
      </c>
      <c r="BR63" s="16"/>
      <c r="BS63" s="16"/>
      <c r="BT63" s="16"/>
      <c r="BU63" s="16"/>
      <c r="BV63" s="16">
        <f>+BV34+BV35</f>
        <v>33497.130000000005</v>
      </c>
      <c r="BW63" s="16"/>
      <c r="BX63" s="16"/>
      <c r="BY63" s="16"/>
      <c r="BZ63" s="16"/>
      <c r="CA63" s="16">
        <f>+CA34+CA35</f>
        <v>1014792.1699999999</v>
      </c>
      <c r="CB63" s="16"/>
      <c r="CC63" s="16"/>
      <c r="CD63" s="16"/>
      <c r="CE63" s="16"/>
      <c r="CF63" s="16">
        <f>+CF34+CF35</f>
        <v>54296.55</v>
      </c>
      <c r="CG63" s="16"/>
      <c r="CH63" s="16"/>
      <c r="CI63" s="16"/>
      <c r="CJ63" s="16"/>
      <c r="CK63" s="16">
        <f>+CK34+CK35</f>
        <v>1101999.8899999999</v>
      </c>
      <c r="CL63" s="16"/>
      <c r="CM63" s="16"/>
      <c r="CN63" s="16"/>
      <c r="CO63" s="16"/>
      <c r="CP63" s="16">
        <f>+CP34+CP35</f>
        <v>68621.58</v>
      </c>
      <c r="CQ63" s="16"/>
      <c r="CR63" s="16"/>
      <c r="CS63" s="16"/>
      <c r="CT63" s="16"/>
      <c r="CU63" s="16">
        <f>+CU34+CU35</f>
        <v>109907.00999999994</v>
      </c>
      <c r="CV63" s="16"/>
      <c r="CW63" s="16"/>
      <c r="CX63" s="16"/>
      <c r="CY63" s="16"/>
      <c r="CZ63" s="16">
        <f>+CZ34+CZ35</f>
        <v>74927.100000000006</v>
      </c>
      <c r="DA63" s="16"/>
      <c r="DB63" s="16"/>
      <c r="DC63" s="16"/>
      <c r="DD63" s="16"/>
      <c r="DE63" s="16">
        <f>+DE34+DE35</f>
        <v>108770.77999999994</v>
      </c>
      <c r="DF63" s="16"/>
      <c r="DG63" s="16"/>
      <c r="DH63" s="16"/>
      <c r="DI63" s="16"/>
      <c r="DJ63" s="16">
        <f>+DJ34+DJ35</f>
        <v>8824.64</v>
      </c>
      <c r="DK63" s="16"/>
      <c r="DL63" s="16"/>
      <c r="DM63" s="16"/>
      <c r="DN63" s="16"/>
      <c r="DO63" s="16">
        <f>+DO34+DO35</f>
        <v>107135.78999999994</v>
      </c>
      <c r="DP63" s="16"/>
      <c r="DQ63" s="16"/>
      <c r="DR63" s="16"/>
      <c r="DS63" s="16"/>
      <c r="DT63" s="16">
        <f>+DT34+DT35</f>
        <v>14277.329999999998</v>
      </c>
      <c r="DU63" s="16"/>
      <c r="DV63" s="16"/>
      <c r="DW63" s="16"/>
      <c r="DX63" s="16"/>
      <c r="DY63" s="16">
        <f>+DY34+DY35</f>
        <v>105816.61999999994</v>
      </c>
      <c r="DZ63" s="16"/>
      <c r="EA63" s="16"/>
      <c r="EB63" s="16"/>
      <c r="EC63" s="16"/>
      <c r="ED63" s="16">
        <f>+ED34+ED35</f>
        <v>19752.229999999996</v>
      </c>
      <c r="EE63" s="16"/>
      <c r="EF63" s="16"/>
      <c r="EG63" s="16">
        <f>+EG34+EG35</f>
        <v>105816.61999999994</v>
      </c>
      <c r="EH63" s="16">
        <f>+EH34+EH35</f>
        <v>19752.229999999996</v>
      </c>
      <c r="EI63" s="16"/>
      <c r="EJ63" s="16">
        <f>+EJ34+EJ35</f>
        <v>3338.52</v>
      </c>
      <c r="EK63" s="51">
        <v>1548</v>
      </c>
      <c r="EL63" s="16">
        <f>+EL34+EL35</f>
        <v>128907.36999999992</v>
      </c>
      <c r="EM63" s="51"/>
    </row>
    <row r="64" spans="5:149" x14ac:dyDescent="0.35">
      <c r="E64" s="16"/>
      <c r="F64" s="16"/>
      <c r="G64" s="16"/>
      <c r="H64" s="16"/>
      <c r="I64" s="16">
        <f>+I36+I37</f>
        <v>4579787.8099999996</v>
      </c>
      <c r="J64" s="16"/>
      <c r="K64" s="16"/>
      <c r="L64" s="16"/>
      <c r="M64" s="16"/>
      <c r="N64" s="16">
        <f>+N36+N37</f>
        <v>0</v>
      </c>
      <c r="O64" s="16"/>
      <c r="P64" s="16"/>
      <c r="Q64" s="16"/>
      <c r="R64" s="16"/>
      <c r="S64" s="16">
        <f>+S36+S37</f>
        <v>4324630.8099999996</v>
      </c>
      <c r="T64" s="16"/>
      <c r="U64" s="16"/>
      <c r="V64" s="16"/>
      <c r="W64" s="16"/>
      <c r="X64" s="16">
        <f>+X36+X37</f>
        <v>165</v>
      </c>
      <c r="Y64" s="16"/>
      <c r="Z64" s="16"/>
      <c r="AA64" s="16"/>
      <c r="AB64" s="16"/>
      <c r="AC64" s="16">
        <f>+AC36+AC37</f>
        <v>1429849.69</v>
      </c>
      <c r="AD64" s="16"/>
      <c r="AE64" s="16"/>
      <c r="AF64" s="16"/>
      <c r="AG64" s="16"/>
      <c r="AH64" s="16">
        <f>+AH36+AH37</f>
        <v>27107.57</v>
      </c>
      <c r="AI64" s="16"/>
      <c r="AJ64" s="16"/>
      <c r="AK64" s="16"/>
      <c r="AL64" s="16"/>
      <c r="AM64" s="16">
        <f>+AM36+AM37</f>
        <v>-49086.050000000047</v>
      </c>
      <c r="AN64" s="16"/>
      <c r="AO64" s="16"/>
      <c r="AP64" s="16"/>
      <c r="AQ64" s="16"/>
      <c r="AR64" s="16">
        <f>+AR36+AR37</f>
        <v>31185.8</v>
      </c>
      <c r="AS64" s="16"/>
      <c r="AT64" s="16"/>
      <c r="AU64" s="16"/>
      <c r="AV64" s="16"/>
      <c r="AW64" s="16">
        <f>+AW36+AW37</f>
        <v>827835.95</v>
      </c>
      <c r="AX64" s="16"/>
      <c r="AY64" s="16"/>
      <c r="AZ64" s="16"/>
      <c r="BA64" s="16"/>
      <c r="BB64" s="16">
        <f>+BB36+BB37</f>
        <v>30647.72</v>
      </c>
      <c r="BC64" s="16"/>
      <c r="BD64" s="16"/>
      <c r="BE64" s="16"/>
      <c r="BF64" s="16"/>
      <c r="BG64" s="16">
        <f>+BG36+BG37</f>
        <v>731434.95</v>
      </c>
      <c r="BH64" s="16"/>
      <c r="BI64" s="16"/>
      <c r="BJ64" s="16"/>
      <c r="BK64" s="16"/>
      <c r="BL64" s="16">
        <f>+BL36+BL37</f>
        <v>30060.71</v>
      </c>
      <c r="BM64" s="16"/>
      <c r="BN64" s="16"/>
      <c r="BO64" s="16"/>
      <c r="BP64" s="16"/>
      <c r="BQ64" s="16">
        <f>+BQ36+BQ37</f>
        <v>335296.55999999994</v>
      </c>
      <c r="BR64" s="16"/>
      <c r="BS64" s="16"/>
      <c r="BT64" s="16"/>
      <c r="BU64" s="16"/>
      <c r="BV64" s="16">
        <f>+BV36+BV37</f>
        <v>40093.050000000003</v>
      </c>
      <c r="BW64" s="16"/>
      <c r="BX64" s="16"/>
      <c r="BY64" s="16"/>
      <c r="BZ64" s="16"/>
      <c r="CA64" s="16">
        <f>+CA36+CA37</f>
        <v>-67871.560000000056</v>
      </c>
      <c r="CB64" s="16"/>
      <c r="CC64" s="16"/>
      <c r="CD64" s="16"/>
      <c r="CE64" s="16"/>
      <c r="CF64" s="16">
        <f>+CF36+CF37</f>
        <v>43611.58</v>
      </c>
      <c r="CG64" s="16"/>
      <c r="CH64" s="16"/>
      <c r="CI64" s="16"/>
      <c r="CJ64" s="16"/>
      <c r="CK64" s="16">
        <f>+CK36+CK37</f>
        <v>-69011.670000000056</v>
      </c>
      <c r="CL64" s="16"/>
      <c r="CM64" s="16"/>
      <c r="CN64" s="16"/>
      <c r="CO64" s="16"/>
      <c r="CP64" s="16">
        <f>+CP36+CP37</f>
        <v>42679.92</v>
      </c>
      <c r="CQ64" s="16"/>
      <c r="CR64" s="16"/>
      <c r="CS64" s="16"/>
      <c r="CT64" s="16"/>
      <c r="CU64" s="16">
        <f>+CU36+CU37</f>
        <v>-69027.590000000055</v>
      </c>
      <c r="CV64" s="16"/>
      <c r="CW64" s="16"/>
      <c r="CX64" s="16"/>
      <c r="CY64" s="16"/>
      <c r="CZ64" s="16">
        <f>+CZ36+CZ37</f>
        <v>42293.04</v>
      </c>
      <c r="DA64" s="16"/>
      <c r="DB64" s="16"/>
      <c r="DC64" s="16"/>
      <c r="DD64" s="16"/>
      <c r="DE64" s="16">
        <f>+DE36+DE37</f>
        <v>-69029.490000000049</v>
      </c>
      <c r="DF64" s="16"/>
      <c r="DG64" s="16"/>
      <c r="DH64" s="16"/>
      <c r="DI64" s="16"/>
      <c r="DJ64" s="16">
        <f>+DJ36+DJ37</f>
        <v>40975.199999999997</v>
      </c>
      <c r="DK64" s="16"/>
      <c r="DL64" s="16"/>
      <c r="DM64" s="16"/>
      <c r="DN64" s="16"/>
      <c r="DO64" s="16">
        <f>+DO36+DO37</f>
        <v>-69127.310000000056</v>
      </c>
      <c r="DP64" s="16"/>
      <c r="DQ64" s="16"/>
      <c r="DR64" s="16"/>
      <c r="DS64" s="16"/>
      <c r="DT64" s="16">
        <f>+DT36+DT37</f>
        <v>37496.160000000003</v>
      </c>
      <c r="DU64" s="16"/>
      <c r="DV64" s="16"/>
      <c r="DW64" s="16"/>
      <c r="DX64" s="16"/>
      <c r="DY64" s="16">
        <f>+DY36+DY37</f>
        <v>-69127.310000000056</v>
      </c>
      <c r="DZ64" s="16"/>
      <c r="EA64" s="16"/>
      <c r="EB64" s="16"/>
      <c r="EC64" s="16"/>
      <c r="ED64" s="16">
        <f>+ED36+ED37</f>
        <v>33947.19</v>
      </c>
      <c r="EE64" s="16"/>
      <c r="EF64" s="16"/>
      <c r="EG64" s="16">
        <f>+EG36+EG37</f>
        <v>-69127.310000000056</v>
      </c>
      <c r="EH64" s="16">
        <f>+EH36+EH37</f>
        <v>33947.19</v>
      </c>
      <c r="EI64" s="16"/>
      <c r="EJ64" s="16">
        <f>+EJ36+EJ37</f>
        <v>-2180.94</v>
      </c>
      <c r="EK64" s="51">
        <v>1555</v>
      </c>
      <c r="EL64" s="16">
        <f>+EL36+EL37</f>
        <v>-37361.060000000056</v>
      </c>
      <c r="EM64" s="51"/>
    </row>
    <row r="65" spans="5:149" x14ac:dyDescent="0.35">
      <c r="E65" s="16"/>
      <c r="F65" s="16"/>
      <c r="G65" s="16"/>
      <c r="H65" s="16"/>
      <c r="I65" s="16">
        <f>+I38</f>
        <v>0</v>
      </c>
      <c r="J65" s="16"/>
      <c r="K65" s="16"/>
      <c r="L65" s="16"/>
      <c r="M65" s="16"/>
      <c r="N65" s="16">
        <f>+N38</f>
        <v>0</v>
      </c>
      <c r="O65" s="16"/>
      <c r="P65" s="16"/>
      <c r="Q65" s="16"/>
      <c r="R65" s="16"/>
      <c r="S65" s="16">
        <f>+S38</f>
        <v>0</v>
      </c>
      <c r="T65" s="16"/>
      <c r="U65" s="16"/>
      <c r="V65" s="16"/>
      <c r="W65" s="16"/>
      <c r="X65" s="16">
        <f>+X38</f>
        <v>0</v>
      </c>
      <c r="Y65" s="16"/>
      <c r="Z65" s="16"/>
      <c r="AA65" s="16"/>
      <c r="AB65" s="16"/>
      <c r="AC65" s="16">
        <f>+AC38</f>
        <v>0</v>
      </c>
      <c r="AD65" s="16"/>
      <c r="AE65" s="16"/>
      <c r="AF65" s="16"/>
      <c r="AG65" s="16"/>
      <c r="AH65" s="16">
        <f>+AH38</f>
        <v>0</v>
      </c>
      <c r="AI65" s="16"/>
      <c r="AJ65" s="16"/>
      <c r="AK65" s="16"/>
      <c r="AL65" s="16"/>
      <c r="AM65" s="16">
        <f>+AM38</f>
        <v>852069.19</v>
      </c>
      <c r="AN65" s="16"/>
      <c r="AO65" s="16"/>
      <c r="AP65" s="16"/>
      <c r="AQ65" s="16"/>
      <c r="AR65" s="16">
        <f>+AR38</f>
        <v>0</v>
      </c>
      <c r="AS65" s="16"/>
      <c r="AT65" s="16"/>
      <c r="AU65" s="16"/>
      <c r="AV65" s="16"/>
      <c r="AW65" s="16">
        <f>+AW38</f>
        <v>1119473.1399999999</v>
      </c>
      <c r="AX65" s="16"/>
      <c r="AY65" s="16"/>
      <c r="AZ65" s="16"/>
      <c r="BA65" s="16"/>
      <c r="BB65" s="16">
        <f>+BB38</f>
        <v>0</v>
      </c>
      <c r="BC65" s="16"/>
      <c r="BD65" s="16"/>
      <c r="BE65" s="16"/>
      <c r="BF65" s="16"/>
      <c r="BG65" s="16">
        <f>+BG38</f>
        <v>1274990.0699999998</v>
      </c>
      <c r="BH65" s="16"/>
      <c r="BI65" s="16"/>
      <c r="BJ65" s="16"/>
      <c r="BK65" s="16"/>
      <c r="BL65" s="16">
        <f>+BL38</f>
        <v>0</v>
      </c>
      <c r="BM65" s="16"/>
      <c r="BN65" s="16"/>
      <c r="BO65" s="16"/>
      <c r="BP65" s="16"/>
      <c r="BQ65" s="16">
        <f>+BQ38</f>
        <v>1526254.23</v>
      </c>
      <c r="BR65" s="16"/>
      <c r="BS65" s="16"/>
      <c r="BT65" s="16"/>
      <c r="BU65" s="16"/>
      <c r="BV65" s="16">
        <f>+BV38</f>
        <v>0</v>
      </c>
      <c r="BW65" s="16"/>
      <c r="BX65" s="16"/>
      <c r="BY65" s="16"/>
      <c r="BZ65" s="16"/>
      <c r="CA65" s="16">
        <f>+CA38</f>
        <v>2461388.17</v>
      </c>
      <c r="CB65" s="16"/>
      <c r="CC65" s="16"/>
      <c r="CD65" s="16"/>
      <c r="CE65" s="16"/>
      <c r="CF65" s="16">
        <f>+CF38</f>
        <v>0</v>
      </c>
      <c r="CG65" s="16"/>
      <c r="CH65" s="16"/>
      <c r="CI65" s="16"/>
      <c r="CJ65" s="16"/>
      <c r="CK65" s="16">
        <f>+CK38</f>
        <v>2976127.41</v>
      </c>
      <c r="CL65" s="16"/>
      <c r="CM65" s="16"/>
      <c r="CN65" s="16"/>
      <c r="CO65" s="16"/>
      <c r="CP65" s="16">
        <f>+CP38</f>
        <v>0</v>
      </c>
      <c r="CQ65" s="16"/>
      <c r="CR65" s="16"/>
      <c r="CS65" s="16"/>
      <c r="CT65" s="16"/>
      <c r="CU65" s="16">
        <f>+CU38</f>
        <v>3196098.5100000002</v>
      </c>
      <c r="CV65" s="16"/>
      <c r="CW65" s="16"/>
      <c r="CX65" s="16"/>
      <c r="CY65" s="16"/>
      <c r="CZ65" s="16">
        <f>+CZ38</f>
        <v>0</v>
      </c>
      <c r="DA65" s="16"/>
      <c r="DB65" s="16"/>
      <c r="DC65" s="16"/>
      <c r="DD65" s="16"/>
      <c r="DE65" s="16">
        <f>+DE38</f>
        <v>4027804.7</v>
      </c>
      <c r="DF65" s="16"/>
      <c r="DG65" s="16"/>
      <c r="DH65" s="16"/>
      <c r="DI65" s="16"/>
      <c r="DJ65" s="16">
        <f>+DJ38</f>
        <v>0</v>
      </c>
      <c r="DK65" s="16"/>
      <c r="DL65" s="16"/>
      <c r="DM65" s="16"/>
      <c r="DN65" s="16"/>
      <c r="DO65" s="16">
        <f>+DO38</f>
        <v>5006393.2</v>
      </c>
      <c r="DP65" s="16"/>
      <c r="DQ65" s="16"/>
      <c r="DR65" s="16"/>
      <c r="DS65" s="16"/>
      <c r="DT65" s="16">
        <f>+DT38</f>
        <v>0</v>
      </c>
      <c r="DU65" s="16"/>
      <c r="DV65" s="16"/>
      <c r="DW65" s="16"/>
      <c r="DX65" s="16"/>
      <c r="DY65" s="16">
        <f>+DY38</f>
        <v>5015299.38</v>
      </c>
      <c r="DZ65" s="16"/>
      <c r="EA65" s="16"/>
      <c r="EB65" s="16"/>
      <c r="EC65" s="16"/>
      <c r="ED65" s="16">
        <f>+ED38</f>
        <v>0</v>
      </c>
      <c r="EE65" s="16"/>
      <c r="EF65" s="16"/>
      <c r="EG65" s="16">
        <f>+EG38</f>
        <v>5015299.38</v>
      </c>
      <c r="EH65" s="16">
        <f>+EH38</f>
        <v>0</v>
      </c>
      <c r="EI65" s="16"/>
      <c r="EJ65" s="16">
        <f>+EJ38</f>
        <v>0</v>
      </c>
      <c r="EK65" s="51">
        <v>1575</v>
      </c>
      <c r="EL65" s="16">
        <f>+EL38</f>
        <v>0</v>
      </c>
      <c r="EM65" s="51"/>
    </row>
    <row r="66" spans="5:149" x14ac:dyDescent="0.35">
      <c r="E66" s="16"/>
      <c r="F66" s="16"/>
      <c r="G66" s="16"/>
      <c r="H66" s="16"/>
      <c r="I66" s="16">
        <f>+I39+I40</f>
        <v>0</v>
      </c>
      <c r="J66" s="16"/>
      <c r="K66" s="16"/>
      <c r="L66" s="16"/>
      <c r="M66" s="16"/>
      <c r="N66" s="16">
        <f>+N39+N40</f>
        <v>0</v>
      </c>
      <c r="O66" s="16"/>
      <c r="P66" s="16"/>
      <c r="Q66" s="16"/>
      <c r="R66" s="16"/>
      <c r="S66" s="16">
        <f>+S39+S40</f>
        <v>0</v>
      </c>
      <c r="T66" s="16"/>
      <c r="U66" s="16"/>
      <c r="V66" s="16"/>
      <c r="W66" s="16"/>
      <c r="X66" s="16">
        <f>+X39+X40</f>
        <v>0</v>
      </c>
      <c r="Y66" s="16"/>
      <c r="Z66" s="16"/>
      <c r="AA66" s="16"/>
      <c r="AB66" s="16"/>
      <c r="AC66" s="16">
        <f>+AC39+AC40</f>
        <v>0</v>
      </c>
      <c r="AD66" s="16"/>
      <c r="AE66" s="16"/>
      <c r="AF66" s="16"/>
      <c r="AG66" s="16"/>
      <c r="AH66" s="16">
        <f>+AH39+AH40</f>
        <v>0</v>
      </c>
      <c r="AI66" s="16"/>
      <c r="AJ66" s="16"/>
      <c r="AK66" s="16"/>
      <c r="AL66" s="16"/>
      <c r="AM66" s="16">
        <f>+AM39+AM40</f>
        <v>0</v>
      </c>
      <c r="AN66" s="16"/>
      <c r="AO66" s="16"/>
      <c r="AP66" s="16"/>
      <c r="AQ66" s="16"/>
      <c r="AR66" s="16">
        <f>+AR39+AR40</f>
        <v>0</v>
      </c>
      <c r="AS66" s="16"/>
      <c r="AT66" s="16"/>
      <c r="AU66" s="16"/>
      <c r="AV66" s="16"/>
      <c r="AW66" s="16">
        <f>+AW39+AW40</f>
        <v>0</v>
      </c>
      <c r="AX66" s="16"/>
      <c r="AY66" s="16"/>
      <c r="AZ66" s="16"/>
      <c r="BA66" s="16"/>
      <c r="BB66" s="16">
        <f>+BB39+BB40</f>
        <v>0</v>
      </c>
      <c r="BC66" s="16"/>
      <c r="BD66" s="16"/>
      <c r="BE66" s="16"/>
      <c r="BF66" s="16"/>
      <c r="BG66" s="16">
        <f>+BG39+BG40</f>
        <v>0</v>
      </c>
      <c r="BH66" s="16"/>
      <c r="BI66" s="16"/>
      <c r="BJ66" s="16"/>
      <c r="BK66" s="16"/>
      <c r="BL66" s="16">
        <f>+BL39+BL40</f>
        <v>0</v>
      </c>
      <c r="BM66" s="16"/>
      <c r="BN66" s="16"/>
      <c r="BO66" s="16"/>
      <c r="BP66" s="16"/>
      <c r="BQ66" s="16">
        <f>+BQ39+BQ40</f>
        <v>0</v>
      </c>
      <c r="BR66" s="16"/>
      <c r="BS66" s="16"/>
      <c r="BT66" s="16"/>
      <c r="BU66" s="16"/>
      <c r="BV66" s="16">
        <f>+BV39+BV40</f>
        <v>0</v>
      </c>
      <c r="BW66" s="16"/>
      <c r="BX66" s="16"/>
      <c r="BY66" s="16"/>
      <c r="BZ66" s="16"/>
      <c r="CA66" s="16">
        <f>+CA39+CA40</f>
        <v>-1237323</v>
      </c>
      <c r="CB66" s="16"/>
      <c r="CC66" s="16"/>
      <c r="CD66" s="16"/>
      <c r="CE66" s="16"/>
      <c r="CF66" s="16">
        <f>+CF39+CF40</f>
        <v>0</v>
      </c>
      <c r="CG66" s="16"/>
      <c r="CH66" s="16"/>
      <c r="CI66" s="16"/>
      <c r="CJ66" s="16"/>
      <c r="CK66" s="16">
        <f>+CK39+CK40</f>
        <v>-2446166</v>
      </c>
      <c r="CL66" s="16"/>
      <c r="CM66" s="16"/>
      <c r="CN66" s="16"/>
      <c r="CO66" s="16"/>
      <c r="CP66" s="16">
        <f>+CP39+CP40</f>
        <v>-17015.46</v>
      </c>
      <c r="CQ66" s="16"/>
      <c r="CR66" s="16"/>
      <c r="CS66" s="16"/>
      <c r="CT66" s="16"/>
      <c r="CU66" s="16">
        <f>+CU39+CU40</f>
        <v>-3726252</v>
      </c>
      <c r="CV66" s="16"/>
      <c r="CW66" s="16"/>
      <c r="CX66" s="16"/>
      <c r="CY66" s="16"/>
      <c r="CZ66" s="16">
        <f>+CZ39+CZ40</f>
        <v>-30955.62</v>
      </c>
      <c r="DA66" s="16"/>
      <c r="DB66" s="16"/>
      <c r="DC66" s="16"/>
      <c r="DD66" s="16"/>
      <c r="DE66" s="16">
        <f>+DE39+DE40</f>
        <v>-5853760</v>
      </c>
      <c r="DF66" s="16"/>
      <c r="DG66" s="16"/>
      <c r="DH66" s="16"/>
      <c r="DI66" s="16"/>
      <c r="DJ66" s="16">
        <f>+DJ39+DJ40</f>
        <v>-102905.83</v>
      </c>
      <c r="DK66" s="16"/>
      <c r="DL66" s="16"/>
      <c r="DM66" s="16"/>
      <c r="DN66" s="16"/>
      <c r="DO66" s="16">
        <f>+DO39+DO40</f>
        <v>-6911078</v>
      </c>
      <c r="DP66" s="16"/>
      <c r="DQ66" s="16"/>
      <c r="DR66" s="16"/>
      <c r="DS66" s="16"/>
      <c r="DT66" s="16">
        <f>+DT39+DT40</f>
        <v>-401358.39</v>
      </c>
      <c r="DU66" s="16"/>
      <c r="DV66" s="16"/>
      <c r="DW66" s="16"/>
      <c r="DX66" s="16"/>
      <c r="DY66" s="16">
        <f>+DY39+DY40</f>
        <v>-7280480</v>
      </c>
      <c r="DZ66" s="16"/>
      <c r="EA66" s="16"/>
      <c r="EB66" s="16"/>
      <c r="EC66" s="16"/>
      <c r="ED66" s="16">
        <f>+ED39+ED40</f>
        <v>-761243.76</v>
      </c>
      <c r="EE66" s="16"/>
      <c r="EF66" s="16"/>
      <c r="EG66" s="16">
        <f>+EG39+EG40</f>
        <v>-7280480</v>
      </c>
      <c r="EH66" s="16">
        <f>+EH39+EH40</f>
        <v>-761243.76</v>
      </c>
      <c r="EI66" s="16"/>
      <c r="EJ66" s="16">
        <f>+EJ39+EJ40</f>
        <v>0</v>
      </c>
      <c r="EK66" s="51">
        <v>1592</v>
      </c>
      <c r="EL66" s="16">
        <f>+EL39+EL40</f>
        <v>0</v>
      </c>
      <c r="EM66" s="51"/>
    </row>
    <row r="67" spans="5:149" x14ac:dyDescent="0.35">
      <c r="E67" s="103"/>
      <c r="F67" s="103"/>
      <c r="G67" s="103"/>
      <c r="H67" s="103"/>
      <c r="I67" s="103">
        <f>SUM(I60:I66)</f>
        <v>5111986.3</v>
      </c>
      <c r="J67" s="103"/>
      <c r="K67" s="103"/>
      <c r="L67" s="103"/>
      <c r="M67" s="103"/>
      <c r="N67" s="103">
        <f>SUM(N60:N66)</f>
        <v>648.05999999999949</v>
      </c>
      <c r="O67" s="103"/>
      <c r="P67" s="103"/>
      <c r="Q67" s="103"/>
      <c r="R67" s="103"/>
      <c r="S67" s="103">
        <f>SUM(S60:S66)</f>
        <v>4710970.47</v>
      </c>
      <c r="T67" s="103"/>
      <c r="U67" s="103"/>
      <c r="V67" s="103"/>
      <c r="W67" s="103"/>
      <c r="X67" s="103">
        <f>SUM(X60:X66)</f>
        <v>5991.4199999999983</v>
      </c>
      <c r="Y67" s="103"/>
      <c r="Z67" s="103"/>
      <c r="AA67" s="103"/>
      <c r="AB67" s="103"/>
      <c r="AC67" s="103">
        <f>SUM(AC60:AC66)</f>
        <v>1957651.0699999998</v>
      </c>
      <c r="AD67" s="103"/>
      <c r="AE67" s="103"/>
      <c r="AF67" s="103"/>
      <c r="AG67" s="103"/>
      <c r="AH67" s="103">
        <f>SUM(AH60:AH66)</f>
        <v>50855.270000000004</v>
      </c>
      <c r="AI67" s="103"/>
      <c r="AJ67" s="103"/>
      <c r="AK67" s="103"/>
      <c r="AL67" s="103"/>
      <c r="AM67" s="103">
        <f>SUM(AM60:AM66)</f>
        <v>1392502.88</v>
      </c>
      <c r="AN67" s="103"/>
      <c r="AO67" s="103"/>
      <c r="AP67" s="103"/>
      <c r="AQ67" s="103"/>
      <c r="AR67" s="103">
        <f>SUM(AR60:AR66)</f>
        <v>61536.119999999995</v>
      </c>
      <c r="AS67" s="103"/>
      <c r="AT67" s="103"/>
      <c r="AU67" s="103"/>
      <c r="AV67" s="103"/>
      <c r="AW67" s="103">
        <f>SUM(AW60:AW66)</f>
        <v>3589928.0299999993</v>
      </c>
      <c r="AX67" s="103"/>
      <c r="AY67" s="103"/>
      <c r="AZ67" s="103"/>
      <c r="BA67" s="103"/>
      <c r="BB67" s="103">
        <f>SUM(BB60:BB66)</f>
        <v>110493.78</v>
      </c>
      <c r="BC67" s="103"/>
      <c r="BD67" s="103"/>
      <c r="BE67" s="103"/>
      <c r="BF67" s="103"/>
      <c r="BG67" s="103">
        <f>SUM(BG60:BG66)</f>
        <v>4036226.14</v>
      </c>
      <c r="BH67" s="103"/>
      <c r="BI67" s="103"/>
      <c r="BJ67" s="103"/>
      <c r="BK67" s="103"/>
      <c r="BL67" s="103">
        <f>SUM(BL60:BL66)</f>
        <v>131723.44</v>
      </c>
      <c r="BM67" s="103"/>
      <c r="BN67" s="103"/>
      <c r="BO67" s="103"/>
      <c r="BP67" s="103"/>
      <c r="BQ67" s="103">
        <f>SUM(BQ60:BQ66)</f>
        <v>3417417.09</v>
      </c>
      <c r="BR67" s="103"/>
      <c r="BS67" s="103"/>
      <c r="BT67" s="103"/>
      <c r="BU67" s="103"/>
      <c r="BV67" s="103">
        <f>SUM(BV60:BV66)</f>
        <v>116081.69</v>
      </c>
      <c r="BW67" s="103"/>
      <c r="BX67" s="103"/>
      <c r="BY67" s="103"/>
      <c r="BZ67" s="103"/>
      <c r="CA67" s="103">
        <f>SUM(CA60:CA66)</f>
        <v>3882666.6799999997</v>
      </c>
      <c r="CB67" s="103"/>
      <c r="CC67" s="103"/>
      <c r="CD67" s="103"/>
      <c r="CE67" s="103"/>
      <c r="CF67" s="103">
        <f>SUM(CF60:CF66)</f>
        <v>151799.78000000003</v>
      </c>
      <c r="CG67" s="103"/>
      <c r="CH67" s="103"/>
      <c r="CI67" s="103"/>
      <c r="CJ67" s="103"/>
      <c r="CK67" s="103">
        <f>SUM(CK60:CK66)</f>
        <v>3616291.5</v>
      </c>
      <c r="CL67" s="103"/>
      <c r="CM67" s="103"/>
      <c r="CN67" s="103"/>
      <c r="CO67" s="103"/>
      <c r="CP67" s="103">
        <f>SUM(CP60:CP66)</f>
        <v>170612.11000000002</v>
      </c>
      <c r="CQ67" s="103"/>
      <c r="CR67" s="103"/>
      <c r="CS67" s="103"/>
      <c r="CT67" s="103"/>
      <c r="CU67" s="103">
        <f>SUM(CU60:CU66)</f>
        <v>3159726.2100000009</v>
      </c>
      <c r="CV67" s="103"/>
      <c r="CW67" s="103"/>
      <c r="CX67" s="103"/>
      <c r="CY67" s="103"/>
      <c r="CZ67" s="103">
        <f>SUM(CZ60:CZ66)</f>
        <v>160563.01000000004</v>
      </c>
      <c r="DA67" s="103"/>
      <c r="DB67" s="103"/>
      <c r="DC67" s="103"/>
      <c r="DD67" s="103"/>
      <c r="DE67" s="103">
        <f>SUM(DE60:DE66)</f>
        <v>3296616.4000000004</v>
      </c>
      <c r="DF67" s="103"/>
      <c r="DG67" s="103"/>
      <c r="DH67" s="103"/>
      <c r="DI67" s="103"/>
      <c r="DJ67" s="103">
        <f>SUM(DJ60:DJ66)</f>
        <v>183146.63</v>
      </c>
      <c r="DK67" s="103"/>
      <c r="DL67" s="103"/>
      <c r="DM67" s="103"/>
      <c r="DN67" s="103"/>
      <c r="DO67" s="103">
        <f>SUM(DO60:DO66)</f>
        <v>5070109.3599999994</v>
      </c>
      <c r="DP67" s="103"/>
      <c r="DQ67" s="103"/>
      <c r="DR67" s="103"/>
      <c r="DS67" s="103"/>
      <c r="DT67" s="103">
        <f>SUM(DT60:DT66)</f>
        <v>148089.01</v>
      </c>
      <c r="DU67" s="103"/>
      <c r="DV67" s="103"/>
      <c r="DW67" s="103"/>
      <c r="DX67" s="103"/>
      <c r="DY67" s="103">
        <f>SUM(DY60:DY66)</f>
        <v>7140569.8099999987</v>
      </c>
      <c r="DZ67" s="103"/>
      <c r="EA67" s="103"/>
      <c r="EB67" s="103"/>
      <c r="EC67" s="103"/>
      <c r="ED67" s="103">
        <f>SUM(ED60:ED66)</f>
        <v>106475.82999999984</v>
      </c>
      <c r="EE67" s="103"/>
      <c r="EF67" s="103"/>
      <c r="EG67" s="103">
        <f t="shared" ref="EG67:EJ67" si="263">SUM(EG60:EG65)</f>
        <v>14421049.809999999</v>
      </c>
      <c r="EH67" s="103">
        <f t="shared" si="263"/>
        <v>867719.58999999985</v>
      </c>
      <c r="EI67" s="16"/>
      <c r="EJ67" s="103">
        <f t="shared" si="263"/>
        <v>218959.09</v>
      </c>
      <c r="EL67" s="103">
        <f>SUM(EL60:EL65)</f>
        <v>7995194.9000000022</v>
      </c>
    </row>
    <row r="69" spans="5:149" x14ac:dyDescent="0.35">
      <c r="EL69" s="50"/>
    </row>
    <row r="70" spans="5:149" x14ac:dyDescent="0.35">
      <c r="J70" s="185" t="s">
        <v>1</v>
      </c>
      <c r="K70" s="186"/>
      <c r="L70" s="187"/>
      <c r="N70" s="52">
        <f>+E13</f>
        <v>2012</v>
      </c>
      <c r="T70" s="185" t="s">
        <v>1</v>
      </c>
      <c r="U70" s="186"/>
      <c r="V70" s="187"/>
      <c r="X70" s="52">
        <f>+O13</f>
        <v>2013</v>
      </c>
      <c r="AD70" s="185" t="s">
        <v>1</v>
      </c>
      <c r="AE70" s="186"/>
      <c r="AF70" s="187"/>
      <c r="AH70" s="52">
        <f>+Y13</f>
        <v>2014</v>
      </c>
      <c r="AN70" s="185" t="s">
        <v>1</v>
      </c>
      <c r="AO70" s="186"/>
      <c r="AP70" s="187"/>
      <c r="AR70" s="52">
        <f>+AI13</f>
        <v>2015</v>
      </c>
      <c r="AX70" s="185" t="s">
        <v>1</v>
      </c>
      <c r="AY70" s="186"/>
      <c r="AZ70" s="187"/>
      <c r="BB70" s="52">
        <f>+AS13</f>
        <v>2016</v>
      </c>
      <c r="BH70" s="185" t="s">
        <v>1</v>
      </c>
      <c r="BI70" s="186"/>
      <c r="BJ70" s="187"/>
      <c r="BL70" s="52">
        <f>+BC13</f>
        <v>2017</v>
      </c>
      <c r="BM70"/>
      <c r="BR70" s="185" t="s">
        <v>1</v>
      </c>
      <c r="BS70" s="186"/>
      <c r="BT70" s="187"/>
      <c r="BU70"/>
      <c r="BV70" s="52">
        <f>+BM13</f>
        <v>2018</v>
      </c>
      <c r="BW70"/>
      <c r="CB70" s="185" t="s">
        <v>1</v>
      </c>
      <c r="CC70" s="186"/>
      <c r="CD70" s="187"/>
      <c r="CE70"/>
      <c r="CF70" s="52">
        <f>+BW13</f>
        <v>2019</v>
      </c>
      <c r="CG70"/>
      <c r="CL70" s="185" t="s">
        <v>1</v>
      </c>
      <c r="CM70" s="186"/>
      <c r="CN70" s="187"/>
      <c r="CO70"/>
      <c r="CP70" s="52">
        <f>+CG13</f>
        <v>2020</v>
      </c>
      <c r="CQ70"/>
      <c r="CV70" s="185" t="s">
        <v>1</v>
      </c>
      <c r="CW70" s="186"/>
      <c r="CX70" s="187"/>
      <c r="CY70"/>
      <c r="CZ70" s="52">
        <f>+CQ13</f>
        <v>2021</v>
      </c>
      <c r="DA70"/>
      <c r="DF70" s="185" t="s">
        <v>1</v>
      </c>
      <c r="DG70" s="186"/>
      <c r="DH70" s="187"/>
      <c r="DI70"/>
      <c r="DJ70" s="52">
        <f>+DA13</f>
        <v>2022</v>
      </c>
      <c r="DK70"/>
      <c r="DP70" s="185" t="s">
        <v>1</v>
      </c>
      <c r="DQ70" s="186"/>
      <c r="DR70" s="187"/>
      <c r="DS70"/>
      <c r="DT70" s="52">
        <f>+DK13</f>
        <v>2023</v>
      </c>
      <c r="DU70"/>
      <c r="DZ70" s="185" t="s">
        <v>1</v>
      </c>
      <c r="EA70" s="186"/>
      <c r="EB70" s="187"/>
      <c r="EC70"/>
      <c r="ED70" s="52">
        <f>+DU13</f>
        <v>2024</v>
      </c>
      <c r="EE70"/>
      <c r="EK70" s="102"/>
      <c r="EL70" s="149"/>
    </row>
    <row r="71" spans="5:149" x14ac:dyDescent="0.35">
      <c r="J71" s="107" t="s">
        <v>12</v>
      </c>
      <c r="K71" s="108" t="s">
        <v>13</v>
      </c>
      <c r="L71" s="109" t="s">
        <v>11</v>
      </c>
      <c r="N71" s="52" t="s">
        <v>50</v>
      </c>
      <c r="O71" s="52" t="s">
        <v>51</v>
      </c>
      <c r="T71" s="107" t="s">
        <v>12</v>
      </c>
      <c r="U71" s="108" t="s">
        <v>13</v>
      </c>
      <c r="V71" s="109" t="s">
        <v>11</v>
      </c>
      <c r="X71" s="52" t="s">
        <v>50</v>
      </c>
      <c r="Y71" s="52" t="s">
        <v>51</v>
      </c>
      <c r="AD71" s="107" t="s">
        <v>12</v>
      </c>
      <c r="AE71" s="108" t="s">
        <v>13</v>
      </c>
      <c r="AF71" s="109" t="s">
        <v>11</v>
      </c>
      <c r="AH71" s="52" t="s">
        <v>50</v>
      </c>
      <c r="AI71" s="52" t="s">
        <v>51</v>
      </c>
      <c r="AN71" s="107" t="s">
        <v>12</v>
      </c>
      <c r="AO71" s="108" t="s">
        <v>13</v>
      </c>
      <c r="AP71" s="109" t="s">
        <v>11</v>
      </c>
      <c r="AR71" s="52" t="s">
        <v>50</v>
      </c>
      <c r="AS71" s="52" t="s">
        <v>51</v>
      </c>
      <c r="AX71" s="107" t="s">
        <v>12</v>
      </c>
      <c r="AY71" s="108" t="s">
        <v>13</v>
      </c>
      <c r="AZ71" s="109" t="s">
        <v>11</v>
      </c>
      <c r="BB71" s="52" t="s">
        <v>50</v>
      </c>
      <c r="BC71" s="52" t="s">
        <v>51</v>
      </c>
      <c r="BH71" s="107" t="s">
        <v>12</v>
      </c>
      <c r="BI71" s="108" t="s">
        <v>13</v>
      </c>
      <c r="BJ71" s="109" t="s">
        <v>11</v>
      </c>
      <c r="BL71" s="52" t="s">
        <v>50</v>
      </c>
      <c r="BM71" s="52" t="s">
        <v>51</v>
      </c>
      <c r="BR71" s="107" t="s">
        <v>12</v>
      </c>
      <c r="BS71" s="108" t="s">
        <v>13</v>
      </c>
      <c r="BT71" s="109" t="s">
        <v>11</v>
      </c>
      <c r="BU71"/>
      <c r="BV71" s="52" t="s">
        <v>50</v>
      </c>
      <c r="BW71" s="52" t="s">
        <v>51</v>
      </c>
      <c r="CB71" s="107" t="s">
        <v>12</v>
      </c>
      <c r="CC71" s="108" t="s">
        <v>13</v>
      </c>
      <c r="CD71" s="109" t="s">
        <v>11</v>
      </c>
      <c r="CE71"/>
      <c r="CF71" s="52" t="s">
        <v>50</v>
      </c>
      <c r="CG71" s="52" t="s">
        <v>51</v>
      </c>
      <c r="CL71" s="107" t="s">
        <v>12</v>
      </c>
      <c r="CM71" s="108" t="s">
        <v>13</v>
      </c>
      <c r="CN71" s="109" t="s">
        <v>11</v>
      </c>
      <c r="CO71"/>
      <c r="CP71" s="52" t="s">
        <v>50</v>
      </c>
      <c r="CQ71" s="52" t="s">
        <v>51</v>
      </c>
      <c r="CV71" s="107" t="s">
        <v>12</v>
      </c>
      <c r="CW71" s="108" t="s">
        <v>13</v>
      </c>
      <c r="CX71" s="109" t="s">
        <v>11</v>
      </c>
      <c r="CY71"/>
      <c r="CZ71" s="52" t="s">
        <v>50</v>
      </c>
      <c r="DA71" s="52" t="s">
        <v>51</v>
      </c>
      <c r="DF71" s="107" t="s">
        <v>12</v>
      </c>
      <c r="DG71" s="108" t="s">
        <v>13</v>
      </c>
      <c r="DH71" s="109" t="s">
        <v>11</v>
      </c>
      <c r="DI71"/>
      <c r="DJ71" s="52" t="s">
        <v>50</v>
      </c>
      <c r="DK71" s="52" t="s">
        <v>51</v>
      </c>
      <c r="DP71" s="107" t="s">
        <v>12</v>
      </c>
      <c r="DQ71" s="108" t="s">
        <v>13</v>
      </c>
      <c r="DR71" s="109" t="s">
        <v>11</v>
      </c>
      <c r="DS71"/>
      <c r="DT71" s="52" t="s">
        <v>50</v>
      </c>
      <c r="DU71" s="52" t="s">
        <v>51</v>
      </c>
      <c r="DZ71" s="107" t="s">
        <v>12</v>
      </c>
      <c r="EA71" s="108" t="s">
        <v>13</v>
      </c>
      <c r="EB71" s="109" t="s">
        <v>11</v>
      </c>
      <c r="EC71"/>
      <c r="ED71" s="52" t="s">
        <v>50</v>
      </c>
      <c r="EE71" s="52" t="s">
        <v>51</v>
      </c>
      <c r="EK71" s="102"/>
      <c r="EL71" s="16"/>
    </row>
    <row r="72" spans="5:149" s="54" customFormat="1" x14ac:dyDescent="0.35">
      <c r="J72" s="110">
        <v>594164</v>
      </c>
      <c r="K72" s="16">
        <v>0</v>
      </c>
      <c r="L72" s="111">
        <v>0</v>
      </c>
      <c r="M72" s="56">
        <v>1508</v>
      </c>
      <c r="N72" s="95">
        <f>+I60+N60</f>
        <v>594163.55000000005</v>
      </c>
      <c r="O72" s="91">
        <f>+J72+K72+L72-N72</f>
        <v>0.44999999995343387</v>
      </c>
      <c r="T72" s="110">
        <v>415090</v>
      </c>
      <c r="U72" s="16">
        <v>0</v>
      </c>
      <c r="V72" s="111">
        <v>0</v>
      </c>
      <c r="W72" s="56">
        <v>1508</v>
      </c>
      <c r="X72" s="95">
        <f>+S60+X60</f>
        <v>415089.64</v>
      </c>
      <c r="Y72" s="91">
        <f>+T72+U72+V72-X72</f>
        <v>0.35999999998603016</v>
      </c>
      <c r="AD72" s="110">
        <v>469604</v>
      </c>
      <c r="AE72" s="16">
        <v>0</v>
      </c>
      <c r="AF72" s="111">
        <v>0</v>
      </c>
      <c r="AG72" s="56">
        <v>1508</v>
      </c>
      <c r="AH72" s="95">
        <f>+AC60+AH60</f>
        <v>469604.25</v>
      </c>
      <c r="AI72" s="91">
        <f>+AD72+AE72+AF72-AH72</f>
        <v>-0.25</v>
      </c>
      <c r="AN72" s="110">
        <v>473560</v>
      </c>
      <c r="AO72" s="16">
        <v>0</v>
      </c>
      <c r="AP72" s="111">
        <v>0</v>
      </c>
      <c r="AQ72" s="56">
        <v>1508</v>
      </c>
      <c r="AR72" s="95">
        <f>+AM60+AR60</f>
        <v>473560.36</v>
      </c>
      <c r="AS72" s="91">
        <f>+AN72+AO72+AP72-AR72</f>
        <v>-0.35999999998603016</v>
      </c>
      <c r="AX72" s="110">
        <v>643825</v>
      </c>
      <c r="AY72" s="16">
        <v>250296.94</v>
      </c>
      <c r="AZ72" s="111">
        <v>0</v>
      </c>
      <c r="BA72" s="56">
        <v>1508</v>
      </c>
      <c r="BB72" s="95">
        <f>+AW60+BB60</f>
        <v>894121.46</v>
      </c>
      <c r="BC72" s="91">
        <f>+AX72+AY72+AZ72-BB72</f>
        <v>0.47999999998137355</v>
      </c>
      <c r="BH72" s="110">
        <v>827973</v>
      </c>
      <c r="BI72" s="16">
        <v>306031.94</v>
      </c>
      <c r="BJ72" s="111">
        <v>0</v>
      </c>
      <c r="BK72" s="56">
        <v>1508</v>
      </c>
      <c r="BL72" s="95">
        <f>+BG60+BL60</f>
        <v>1134005.0500000003</v>
      </c>
      <c r="BM72" s="91">
        <f>+BH72+BI72+BJ72-BL72</f>
        <v>-0.11000000033527613</v>
      </c>
      <c r="BR72" s="110">
        <v>979852</v>
      </c>
      <c r="BS72" s="16">
        <v>92824.42</v>
      </c>
      <c r="BT72" s="111">
        <v>0</v>
      </c>
      <c r="BU72" s="56">
        <v>1508</v>
      </c>
      <c r="BV72" s="95">
        <f>+BQ60+BV60</f>
        <v>1072676.25</v>
      </c>
      <c r="BW72" s="91">
        <f>+BR72+BS72+BT72-BV72</f>
        <v>0.16999999992549419</v>
      </c>
      <c r="CB72" s="110"/>
      <c r="CC72" s="16"/>
      <c r="CD72" s="111">
        <v>2146793.9700000002</v>
      </c>
      <c r="CE72" s="56">
        <v>1508</v>
      </c>
      <c r="CF72" s="95">
        <f>+CA60+CF60</f>
        <v>2146794</v>
      </c>
      <c r="CG72" s="91">
        <f>+CB72+CC72+CD72-CF72</f>
        <v>-2.9999999795109034E-2</v>
      </c>
      <c r="CL72" s="110"/>
      <c r="CM72" s="16"/>
      <c r="CN72" s="111">
        <v>2588390.35</v>
      </c>
      <c r="CO72" s="56">
        <v>1508</v>
      </c>
      <c r="CP72" s="95">
        <f>+CK60+CP60</f>
        <v>2588390.38</v>
      </c>
      <c r="CQ72" s="91">
        <f>+CL72+CM72+CN72-CP72</f>
        <v>-2.9999999795109034E-2</v>
      </c>
      <c r="CV72" s="110"/>
      <c r="CW72" s="16"/>
      <c r="CX72" s="111">
        <v>3184682.1</v>
      </c>
      <c r="CY72" s="56">
        <v>1508</v>
      </c>
      <c r="CZ72" s="95">
        <f>+CU60+CZ60</f>
        <v>3184682.13</v>
      </c>
      <c r="DA72" s="91">
        <f>+CV72+CW72+CX72-CZ72</f>
        <v>-2.9999999795109034E-2</v>
      </c>
      <c r="DF72" s="110"/>
      <c r="DG72" s="16"/>
      <c r="DH72" s="111">
        <v>42897670.759999998</v>
      </c>
      <c r="DI72" s="56">
        <v>1508</v>
      </c>
      <c r="DJ72" s="95">
        <f>+DE60+DJ60</f>
        <v>4710805.0500000007</v>
      </c>
      <c r="DK72" s="91">
        <f>+DF72+DG72+DH72-DJ72</f>
        <v>38186865.709999993</v>
      </c>
      <c r="DL72" s="54" t="s">
        <v>2</v>
      </c>
      <c r="DP72" s="110"/>
      <c r="DQ72" s="16"/>
      <c r="DR72" s="111">
        <v>46959315.950000003</v>
      </c>
      <c r="DS72" s="56">
        <v>1508</v>
      </c>
      <c r="DT72" s="95">
        <f>+DO60+DT60</f>
        <v>6804347.5000000009</v>
      </c>
      <c r="DU72" s="91">
        <f>+DP72+DQ72+DR72-DT72</f>
        <v>40154968.450000003</v>
      </c>
      <c r="DV72" s="54" t="s">
        <v>2</v>
      </c>
      <c r="DZ72" s="110"/>
      <c r="EA72" s="16"/>
      <c r="EB72" s="111">
        <v>52880265.159999996</v>
      </c>
      <c r="EC72" s="56">
        <v>1508</v>
      </c>
      <c r="ED72" s="95">
        <f>+DY60+ED60</f>
        <v>8881754.4100000001</v>
      </c>
      <c r="EE72" s="91">
        <f>+DZ72+EA72+EB72-ED72</f>
        <v>43998510.75</v>
      </c>
      <c r="EF72" s="54" t="s">
        <v>52</v>
      </c>
      <c r="EK72" s="102"/>
      <c r="EL72" s="16"/>
      <c r="EP72" s="55"/>
      <c r="EQ72" s="88"/>
      <c r="ER72" s="89"/>
      <c r="ES72" s="89"/>
    </row>
    <row r="73" spans="5:149" s="54" customFormat="1" x14ac:dyDescent="0.35">
      <c r="J73" s="110">
        <v>0</v>
      </c>
      <c r="K73" s="16">
        <v>0</v>
      </c>
      <c r="L73" s="111">
        <v>0</v>
      </c>
      <c r="M73" s="56">
        <v>1511</v>
      </c>
      <c r="N73" s="95">
        <f>+I61+N61</f>
        <v>0</v>
      </c>
      <c r="O73" s="91">
        <f t="shared" ref="O73:O78" si="264">+J73+K73+L73-N73</f>
        <v>0</v>
      </c>
      <c r="T73" s="110">
        <v>0</v>
      </c>
      <c r="U73" s="16">
        <v>0</v>
      </c>
      <c r="V73" s="111">
        <v>0</v>
      </c>
      <c r="W73" s="56">
        <v>1511</v>
      </c>
      <c r="X73" s="95">
        <f t="shared" ref="X73:X78" si="265">+S61+X61</f>
        <v>0</v>
      </c>
      <c r="Y73" s="91">
        <f t="shared" ref="Y73:Y78" si="266">+T73+U73+V73-X73</f>
        <v>0</v>
      </c>
      <c r="AD73" s="110">
        <v>0</v>
      </c>
      <c r="AE73" s="16">
        <v>0</v>
      </c>
      <c r="AF73" s="111">
        <v>0</v>
      </c>
      <c r="AG73" s="56">
        <v>1511</v>
      </c>
      <c r="AH73" s="95">
        <f t="shared" ref="AH73:AH78" si="267">+AC61+AH61</f>
        <v>0</v>
      </c>
      <c r="AI73" s="91">
        <f t="shared" ref="AI73:AI78" si="268">+AD73+AE73+AF73-AH73</f>
        <v>0</v>
      </c>
      <c r="AN73" s="110">
        <v>0</v>
      </c>
      <c r="AO73" s="16">
        <v>0</v>
      </c>
      <c r="AP73" s="111">
        <v>0</v>
      </c>
      <c r="AQ73" s="56">
        <v>1511</v>
      </c>
      <c r="AR73" s="95">
        <f t="shared" ref="AR73:AR78" si="269">+AM61+AR61</f>
        <v>0</v>
      </c>
      <c r="AS73" s="91">
        <f t="shared" ref="AS73:AS78" si="270">+AN73+AO73+AP73-AR73</f>
        <v>0</v>
      </c>
      <c r="AX73" s="110">
        <v>0</v>
      </c>
      <c r="AY73" s="16">
        <v>0</v>
      </c>
      <c r="AZ73" s="111">
        <v>0</v>
      </c>
      <c r="BA73" s="56">
        <v>1511</v>
      </c>
      <c r="BB73" s="95">
        <f t="shared" ref="BB73:BB78" si="271">+AW61+BB61</f>
        <v>0</v>
      </c>
      <c r="BC73" s="91">
        <f t="shared" ref="BC73:BC78" si="272">+AX73+AY73+AZ73-BB73</f>
        <v>0</v>
      </c>
      <c r="BH73" s="110">
        <v>0</v>
      </c>
      <c r="BI73" s="16">
        <v>0</v>
      </c>
      <c r="BJ73" s="111">
        <v>0</v>
      </c>
      <c r="BK73" s="56">
        <v>1511</v>
      </c>
      <c r="BL73" s="95">
        <f t="shared" ref="BL73:BL78" si="273">+BG61+BL61</f>
        <v>0</v>
      </c>
      <c r="BM73" s="91">
        <f t="shared" ref="BM73:BM78" si="274">+BH73+BI73+BJ73-BL73</f>
        <v>0</v>
      </c>
      <c r="BR73" s="110">
        <v>0</v>
      </c>
      <c r="BS73" s="16">
        <v>0</v>
      </c>
      <c r="BT73" s="111">
        <v>0</v>
      </c>
      <c r="BU73" s="56">
        <v>1511</v>
      </c>
      <c r="BV73" s="95">
        <f t="shared" ref="BV73:BV77" si="275">+BQ61+BV61</f>
        <v>0</v>
      </c>
      <c r="BW73" s="91">
        <f t="shared" ref="BW73:BW78" si="276">+BR73+BS73+BT73-BV73</f>
        <v>0</v>
      </c>
      <c r="CB73" s="110"/>
      <c r="CC73" s="16"/>
      <c r="CD73" s="111">
        <v>0</v>
      </c>
      <c r="CE73" s="56">
        <v>1511</v>
      </c>
      <c r="CF73" s="95">
        <f t="shared" ref="CF73:CF78" si="277">+CA61+CF61</f>
        <v>0</v>
      </c>
      <c r="CG73" s="91">
        <f t="shared" ref="CG73:CG78" si="278">+CB73+CC73+CD73-CF73</f>
        <v>0</v>
      </c>
      <c r="CL73" s="110"/>
      <c r="CM73" s="16"/>
      <c r="CN73" s="111">
        <v>0</v>
      </c>
      <c r="CO73" s="56">
        <v>1511</v>
      </c>
      <c r="CP73" s="95">
        <f t="shared" ref="CP73:CP78" si="279">+CK61+CP61</f>
        <v>0</v>
      </c>
      <c r="CQ73" s="91">
        <f t="shared" ref="CQ73:CQ78" si="280">+CL73+CM73+CN73-CP73</f>
        <v>0</v>
      </c>
      <c r="CV73" s="110"/>
      <c r="CW73" s="16"/>
      <c r="CX73" s="111">
        <v>0</v>
      </c>
      <c r="CY73" s="56">
        <v>1511</v>
      </c>
      <c r="CZ73" s="95">
        <f t="shared" ref="CZ73:CZ78" si="281">+CU61+CZ61</f>
        <v>0</v>
      </c>
      <c r="DA73" s="91">
        <f t="shared" ref="DA73:DA78" si="282">+CV73+CW73+CX73-CZ73</f>
        <v>0</v>
      </c>
      <c r="DF73" s="110"/>
      <c r="DG73" s="16"/>
      <c r="DH73" s="111">
        <v>0</v>
      </c>
      <c r="DI73" s="56">
        <v>1511</v>
      </c>
      <c r="DJ73" s="95">
        <f t="shared" ref="DJ73:DJ78" si="283">+DE61+DJ61</f>
        <v>0</v>
      </c>
      <c r="DK73" s="91">
        <f t="shared" ref="DK73:DK78" si="284">+DF73+DG73+DH73-DJ73</f>
        <v>0</v>
      </c>
      <c r="DP73" s="110"/>
      <c r="DQ73" s="16"/>
      <c r="DR73" s="111">
        <v>0</v>
      </c>
      <c r="DS73" s="56">
        <v>1511</v>
      </c>
      <c r="DT73" s="95">
        <f t="shared" ref="DT73:DT78" si="285">+DO61+DT61</f>
        <v>0</v>
      </c>
      <c r="DU73" s="91">
        <f t="shared" ref="DU73:DU78" si="286">+DP73+DQ73+DR73-DT73</f>
        <v>0</v>
      </c>
      <c r="DZ73" s="110"/>
      <c r="EA73" s="16"/>
      <c r="EB73" s="111">
        <v>632165.82999999996</v>
      </c>
      <c r="EC73" s="56">
        <v>1511</v>
      </c>
      <c r="ED73" s="95">
        <f t="shared" ref="ED73:ED78" si="287">+DY61+ED61</f>
        <v>632165.82999999996</v>
      </c>
      <c r="EE73" s="91">
        <f t="shared" ref="EE73:EE78" si="288">+DZ73+EA73+EB73-ED73</f>
        <v>0</v>
      </c>
      <c r="EK73" s="102"/>
      <c r="EL73" s="16"/>
      <c r="EP73" s="55"/>
      <c r="EQ73" s="88"/>
      <c r="ER73" s="89"/>
      <c r="ES73" s="89"/>
    </row>
    <row r="74" spans="5:149" s="54" customFormat="1" x14ac:dyDescent="0.35">
      <c r="J74" s="110">
        <v>-548815</v>
      </c>
      <c r="K74" s="16">
        <v>0</v>
      </c>
      <c r="L74" s="111">
        <v>0</v>
      </c>
      <c r="M74" s="56">
        <v>1518</v>
      </c>
      <c r="N74" s="95">
        <f t="shared" ref="N74:N78" si="289">+I62+N62</f>
        <v>-548815</v>
      </c>
      <c r="O74" s="91">
        <f t="shared" si="264"/>
        <v>0</v>
      </c>
      <c r="T74" s="110">
        <v>-638475</v>
      </c>
      <c r="U74" s="16">
        <v>0</v>
      </c>
      <c r="V74" s="111">
        <v>0</v>
      </c>
      <c r="W74" s="56">
        <v>1518</v>
      </c>
      <c r="X74" s="95">
        <f t="shared" si="265"/>
        <v>-638475.03</v>
      </c>
      <c r="Y74" s="91">
        <f t="shared" si="266"/>
        <v>3.0000000027939677E-2</v>
      </c>
      <c r="AD74" s="110">
        <v>-164548</v>
      </c>
      <c r="AE74" s="16">
        <v>0</v>
      </c>
      <c r="AF74" s="111">
        <v>0</v>
      </c>
      <c r="AG74" s="56">
        <v>1518</v>
      </c>
      <c r="AH74" s="95">
        <f>+AC62+AH62</f>
        <v>-164548.45999999996</v>
      </c>
      <c r="AI74" s="91">
        <f t="shared" si="268"/>
        <v>0.4599999999627471</v>
      </c>
      <c r="AN74" s="110">
        <v>-240176</v>
      </c>
      <c r="AO74" s="16">
        <v>0</v>
      </c>
      <c r="AP74" s="111">
        <v>0</v>
      </c>
      <c r="AQ74" s="56">
        <v>1518</v>
      </c>
      <c r="AR74" s="95">
        <f t="shared" si="269"/>
        <v>-240176.11999999997</v>
      </c>
      <c r="AS74" s="91">
        <f t="shared" si="270"/>
        <v>0.11999999996623956</v>
      </c>
      <c r="AX74" s="110">
        <v>-307687</v>
      </c>
      <c r="AY74" s="16">
        <v>554760.9</v>
      </c>
      <c r="AZ74" s="111">
        <v>0</v>
      </c>
      <c r="BA74" s="56">
        <v>1518</v>
      </c>
      <c r="BB74" s="95">
        <f t="shared" si="271"/>
        <v>247073.90000000008</v>
      </c>
      <c r="BC74" s="91">
        <f t="shared" si="272"/>
        <v>0</v>
      </c>
      <c r="BH74" s="110">
        <v>-364426</v>
      </c>
      <c r="BI74" s="16">
        <v>612672.37</v>
      </c>
      <c r="BJ74" s="111">
        <v>0</v>
      </c>
      <c r="BK74" s="56">
        <v>1518</v>
      </c>
      <c r="BL74" s="95">
        <f t="shared" si="273"/>
        <v>248246.28000000006</v>
      </c>
      <c r="BM74" s="91">
        <f t="shared" si="274"/>
        <v>8.9999999938299879E-2</v>
      </c>
      <c r="BR74" s="110">
        <v>-413156</v>
      </c>
      <c r="BS74" s="16">
        <v>86505.79</v>
      </c>
      <c r="BT74" s="111">
        <v>0</v>
      </c>
      <c r="BU74" s="56">
        <v>1518</v>
      </c>
      <c r="BV74" s="95">
        <f t="shared" si="275"/>
        <v>-326650.29000000004</v>
      </c>
      <c r="BW74" s="91">
        <f t="shared" si="276"/>
        <v>8.0000000016298145E-2</v>
      </c>
      <c r="CB74" s="110"/>
      <c r="CC74" s="16"/>
      <c r="CD74" s="111">
        <v>-381221.45</v>
      </c>
      <c r="CE74" s="56">
        <v>1518</v>
      </c>
      <c r="CF74" s="95">
        <f>+CA62+CF62</f>
        <v>-381221.45</v>
      </c>
      <c r="CG74" s="91">
        <f t="shared" si="278"/>
        <v>0</v>
      </c>
      <c r="CL74" s="110"/>
      <c r="CM74" s="16"/>
      <c r="CN74" s="111">
        <v>-458722.44</v>
      </c>
      <c r="CO74" s="56">
        <v>1518</v>
      </c>
      <c r="CP74" s="95">
        <f t="shared" si="279"/>
        <v>-458722.43999999994</v>
      </c>
      <c r="CQ74" s="91">
        <f t="shared" si="280"/>
        <v>0</v>
      </c>
      <c r="CV74" s="110"/>
      <c r="CW74" s="16"/>
      <c r="CX74" s="111">
        <v>538616.64</v>
      </c>
      <c r="CY74" s="56">
        <v>1518</v>
      </c>
      <c r="CZ74" s="95">
        <f t="shared" si="281"/>
        <v>538616.64</v>
      </c>
      <c r="DA74" s="91">
        <f t="shared" si="282"/>
        <v>0</v>
      </c>
      <c r="DF74" s="110"/>
      <c r="DG74" s="16"/>
      <c r="DH74" s="111">
        <v>608277.98</v>
      </c>
      <c r="DI74" s="56">
        <v>1518</v>
      </c>
      <c r="DJ74" s="95">
        <f t="shared" si="283"/>
        <v>608277.9800000001</v>
      </c>
      <c r="DK74" s="91">
        <f t="shared" si="284"/>
        <v>0</v>
      </c>
      <c r="DP74" s="110"/>
      <c r="DQ74" s="16"/>
      <c r="DR74" s="111">
        <v>630112.09</v>
      </c>
      <c r="DS74" s="56">
        <v>1518</v>
      </c>
      <c r="DT74" s="95">
        <f t="shared" si="285"/>
        <v>630112.09000000008</v>
      </c>
      <c r="DU74" s="91">
        <f t="shared" si="286"/>
        <v>0</v>
      </c>
      <c r="DZ74" s="110"/>
      <c r="EA74" s="16"/>
      <c r="EB74" s="111">
        <v>669161.05000000005</v>
      </c>
      <c r="EC74" s="56">
        <v>1518</v>
      </c>
      <c r="ED74" s="95">
        <f t="shared" si="287"/>
        <v>669161.05000000005</v>
      </c>
      <c r="EE74" s="91">
        <f t="shared" si="288"/>
        <v>0</v>
      </c>
      <c r="EK74" s="102"/>
      <c r="EL74" s="16"/>
      <c r="EP74" s="55"/>
      <c r="EQ74" s="88"/>
      <c r="ER74" s="89"/>
      <c r="ES74" s="89"/>
    </row>
    <row r="75" spans="5:149" s="54" customFormat="1" x14ac:dyDescent="0.35">
      <c r="J75" s="110">
        <v>487498</v>
      </c>
      <c r="K75" s="16">
        <v>0</v>
      </c>
      <c r="L75" s="111">
        <v>0</v>
      </c>
      <c r="M75" s="56">
        <v>1548</v>
      </c>
      <c r="N75" s="95">
        <f t="shared" si="289"/>
        <v>487498</v>
      </c>
      <c r="O75" s="91">
        <f t="shared" si="264"/>
        <v>0</v>
      </c>
      <c r="T75" s="110">
        <v>615551</v>
      </c>
      <c r="U75" s="16">
        <v>0</v>
      </c>
      <c r="V75" s="111">
        <v>0</v>
      </c>
      <c r="W75" s="56">
        <v>1548</v>
      </c>
      <c r="X75" s="95">
        <f t="shared" si="265"/>
        <v>615551.47</v>
      </c>
      <c r="Y75" s="91">
        <f t="shared" si="266"/>
        <v>-0.46999999997206032</v>
      </c>
      <c r="AD75" s="110">
        <v>246493</v>
      </c>
      <c r="AE75" s="16">
        <v>0</v>
      </c>
      <c r="AF75" s="111">
        <v>0</v>
      </c>
      <c r="AG75" s="56">
        <v>1548</v>
      </c>
      <c r="AH75" s="95">
        <f t="shared" si="267"/>
        <v>246493.28999999998</v>
      </c>
      <c r="AI75" s="91">
        <f t="shared" si="268"/>
        <v>-0.28999999997904524</v>
      </c>
      <c r="AN75" s="110">
        <v>386486</v>
      </c>
      <c r="AO75" s="16">
        <v>0</v>
      </c>
      <c r="AP75" s="111">
        <v>0</v>
      </c>
      <c r="AQ75" s="56">
        <v>1548</v>
      </c>
      <c r="AR75" s="95">
        <f t="shared" si="269"/>
        <v>386485.81999999995</v>
      </c>
      <c r="AS75" s="91">
        <f t="shared" si="270"/>
        <v>0.18000000005122274</v>
      </c>
      <c r="AX75" s="110">
        <v>539345</v>
      </c>
      <c r="AY75" s="16">
        <v>41924.639999999999</v>
      </c>
      <c r="AZ75" s="111">
        <v>0</v>
      </c>
      <c r="BA75" s="56">
        <v>1548</v>
      </c>
      <c r="BB75" s="95">
        <f t="shared" si="271"/>
        <v>581269.64</v>
      </c>
      <c r="BC75" s="91">
        <f t="shared" si="272"/>
        <v>0</v>
      </c>
      <c r="BH75" s="110">
        <v>699889</v>
      </c>
      <c r="BI75" s="16">
        <v>49324</v>
      </c>
      <c r="BJ75" s="111">
        <v>0</v>
      </c>
      <c r="BK75" s="56">
        <v>1548</v>
      </c>
      <c r="BL75" s="95">
        <f t="shared" si="273"/>
        <v>749212.52</v>
      </c>
      <c r="BM75" s="91">
        <f t="shared" si="274"/>
        <v>0.47999999998137355</v>
      </c>
      <c r="BR75" s="110">
        <v>871583</v>
      </c>
      <c r="BS75" s="16">
        <v>14246.12</v>
      </c>
      <c r="BT75" s="111">
        <v>0</v>
      </c>
      <c r="BU75" s="56">
        <v>1548</v>
      </c>
      <c r="BV75" s="95">
        <f t="shared" si="275"/>
        <v>885828.98</v>
      </c>
      <c r="BW75" s="91">
        <f t="shared" si="276"/>
        <v>0.14000000001396984</v>
      </c>
      <c r="CB75" s="110"/>
      <c r="CC75" s="16"/>
      <c r="CD75" s="111">
        <v>1069088.47</v>
      </c>
      <c r="CE75" s="56">
        <v>1548</v>
      </c>
      <c r="CF75" s="95">
        <f t="shared" si="277"/>
        <v>1069088.72</v>
      </c>
      <c r="CG75" s="91">
        <f t="shared" si="278"/>
        <v>-0.25</v>
      </c>
      <c r="CL75" s="110"/>
      <c r="CM75" s="16"/>
      <c r="CN75" s="111">
        <v>1170621.22</v>
      </c>
      <c r="CO75" s="56">
        <v>1548</v>
      </c>
      <c r="CP75" s="95">
        <f t="shared" si="279"/>
        <v>1170621.47</v>
      </c>
      <c r="CQ75" s="91">
        <f t="shared" si="280"/>
        <v>-0.25</v>
      </c>
      <c r="CV75" s="110"/>
      <c r="CW75" s="16"/>
      <c r="CX75" s="111">
        <v>184833.86</v>
      </c>
      <c r="CY75" s="56">
        <v>1548</v>
      </c>
      <c r="CZ75" s="95">
        <f t="shared" si="281"/>
        <v>184834.10999999993</v>
      </c>
      <c r="DA75" s="91">
        <f t="shared" si="282"/>
        <v>-0.24999999994179234</v>
      </c>
      <c r="DF75" s="110"/>
      <c r="DG75" s="16"/>
      <c r="DH75" s="111">
        <v>117595.17</v>
      </c>
      <c r="DI75" s="56">
        <v>1548</v>
      </c>
      <c r="DJ75" s="95">
        <f t="shared" si="283"/>
        <v>117595.41999999994</v>
      </c>
      <c r="DK75" s="91">
        <f t="shared" si="284"/>
        <v>-0.24999999994179234</v>
      </c>
      <c r="DP75" s="110"/>
      <c r="DQ75" s="16"/>
      <c r="DR75" s="111">
        <v>121412.87</v>
      </c>
      <c r="DS75" s="56">
        <v>1548</v>
      </c>
      <c r="DT75" s="95">
        <f t="shared" si="285"/>
        <v>121413.11999999994</v>
      </c>
      <c r="DU75" s="91">
        <f t="shared" si="286"/>
        <v>-0.24999999994179234</v>
      </c>
      <c r="DZ75" s="110"/>
      <c r="EA75" s="16"/>
      <c r="EB75" s="111">
        <v>125568.6</v>
      </c>
      <c r="EC75" s="56">
        <v>1548</v>
      </c>
      <c r="ED75" s="95">
        <f t="shared" si="287"/>
        <v>125568.84999999993</v>
      </c>
      <c r="EE75" s="91">
        <f t="shared" si="288"/>
        <v>-0.24999999992724042</v>
      </c>
      <c r="EK75" s="102"/>
      <c r="EL75" s="16"/>
      <c r="EP75" s="55"/>
      <c r="EQ75" s="88"/>
      <c r="ER75" s="89"/>
      <c r="ES75" s="89"/>
    </row>
    <row r="76" spans="5:149" s="54" customFormat="1" x14ac:dyDescent="0.35">
      <c r="J76" s="110">
        <v>4579788</v>
      </c>
      <c r="K76" s="16">
        <v>0</v>
      </c>
      <c r="L76" s="111">
        <v>0</v>
      </c>
      <c r="M76" s="56">
        <v>1555</v>
      </c>
      <c r="N76" s="95">
        <f t="shared" si="289"/>
        <v>4579787.8099999996</v>
      </c>
      <c r="O76" s="91">
        <f t="shared" si="264"/>
        <v>0.19000000040978193</v>
      </c>
      <c r="T76" s="110">
        <v>4324796</v>
      </c>
      <c r="U76" s="16">
        <v>0</v>
      </c>
      <c r="V76" s="111">
        <v>0</v>
      </c>
      <c r="W76" s="56">
        <v>1555</v>
      </c>
      <c r="X76" s="95">
        <f t="shared" si="265"/>
        <v>4324795.8099999996</v>
      </c>
      <c r="Y76" s="91">
        <f t="shared" si="266"/>
        <v>0.19000000040978193</v>
      </c>
      <c r="AD76" s="110">
        <v>1456957</v>
      </c>
      <c r="AE76" s="16">
        <v>0</v>
      </c>
      <c r="AF76" s="111">
        <v>0</v>
      </c>
      <c r="AG76" s="56">
        <v>1555</v>
      </c>
      <c r="AH76" s="95">
        <f t="shared" si="267"/>
        <v>1456957.26</v>
      </c>
      <c r="AI76" s="91">
        <f t="shared" si="268"/>
        <v>-0.26000000000931323</v>
      </c>
      <c r="AN76" s="110">
        <v>-17900</v>
      </c>
      <c r="AO76" s="16">
        <v>0</v>
      </c>
      <c r="AP76" s="111">
        <v>0</v>
      </c>
      <c r="AQ76" s="56">
        <v>1555</v>
      </c>
      <c r="AR76" s="95">
        <f t="shared" si="269"/>
        <v>-17900.250000000047</v>
      </c>
      <c r="AS76" s="91">
        <f t="shared" si="270"/>
        <v>0.25000000004729372</v>
      </c>
      <c r="AX76" s="110">
        <v>-18438</v>
      </c>
      <c r="AY76" s="16">
        <v>876921.53</v>
      </c>
      <c r="AZ76" s="111">
        <v>0</v>
      </c>
      <c r="BA76" s="56">
        <v>1555</v>
      </c>
      <c r="BB76" s="95">
        <f t="shared" si="271"/>
        <v>858483.66999999993</v>
      </c>
      <c r="BC76" s="91">
        <f t="shared" si="272"/>
        <v>-0.13999999989755452</v>
      </c>
      <c r="BH76" s="110">
        <v>-19025</v>
      </c>
      <c r="BI76" s="16">
        <v>780520.76</v>
      </c>
      <c r="BJ76" s="111">
        <v>0</v>
      </c>
      <c r="BK76" s="56">
        <v>1555</v>
      </c>
      <c r="BL76" s="95">
        <f t="shared" si="273"/>
        <v>761495.65999999992</v>
      </c>
      <c r="BM76" s="91">
        <f t="shared" si="274"/>
        <v>0.10000000009313226</v>
      </c>
      <c r="BR76" s="110">
        <v>-19937</v>
      </c>
      <c r="BS76" s="16">
        <v>395326.37</v>
      </c>
      <c r="BT76" s="111">
        <v>0</v>
      </c>
      <c r="BU76" s="56">
        <v>1555</v>
      </c>
      <c r="BV76" s="95">
        <f>+BQ64+BV64</f>
        <v>375389.60999999993</v>
      </c>
      <c r="BW76" s="91">
        <f t="shared" si="276"/>
        <v>-0.23999999993247911</v>
      </c>
      <c r="CB76" s="110"/>
      <c r="CC76" s="16"/>
      <c r="CD76" s="111">
        <v>-24259.72</v>
      </c>
      <c r="CE76" s="56">
        <v>1555</v>
      </c>
      <c r="CF76" s="95">
        <f t="shared" si="277"/>
        <v>-24259.980000000054</v>
      </c>
      <c r="CG76" s="91">
        <f t="shared" si="278"/>
        <v>0.26000000005296897</v>
      </c>
      <c r="CL76" s="110"/>
      <c r="CM76" s="16"/>
      <c r="CN76" s="111">
        <v>-26331.49</v>
      </c>
      <c r="CO76" s="56">
        <v>1555</v>
      </c>
      <c r="CP76" s="95">
        <f t="shared" si="279"/>
        <v>-26331.750000000058</v>
      </c>
      <c r="CQ76" s="91">
        <f t="shared" si="280"/>
        <v>0.26000000005660695</v>
      </c>
      <c r="CV76" s="110"/>
      <c r="CW76" s="16"/>
      <c r="CX76" s="111">
        <v>-26734.29</v>
      </c>
      <c r="CY76" s="56">
        <v>1555</v>
      </c>
      <c r="CZ76" s="95">
        <f t="shared" si="281"/>
        <v>-26734.550000000054</v>
      </c>
      <c r="DA76" s="91">
        <f t="shared" si="282"/>
        <v>0.26000000005296897</v>
      </c>
      <c r="DF76" s="110"/>
      <c r="DG76" s="16"/>
      <c r="DH76" s="111">
        <v>-28054.03</v>
      </c>
      <c r="DI76" s="56">
        <v>1555</v>
      </c>
      <c r="DJ76" s="95">
        <f t="shared" si="283"/>
        <v>-28054.290000000052</v>
      </c>
      <c r="DK76" s="91">
        <f t="shared" si="284"/>
        <v>0.26000000005296897</v>
      </c>
      <c r="DP76" s="110"/>
      <c r="DQ76" s="16"/>
      <c r="DR76" s="111">
        <v>-31630.89</v>
      </c>
      <c r="DS76" s="56">
        <v>1555</v>
      </c>
      <c r="DT76" s="95">
        <f t="shared" si="285"/>
        <v>-31631.150000000052</v>
      </c>
      <c r="DU76" s="91">
        <f t="shared" si="286"/>
        <v>0.26000000005296897</v>
      </c>
      <c r="DZ76" s="110"/>
      <c r="EA76" s="16"/>
      <c r="EB76" s="111">
        <v>-35179.86</v>
      </c>
      <c r="EC76" s="56">
        <v>1555</v>
      </c>
      <c r="ED76" s="95">
        <f t="shared" si="287"/>
        <v>-35180.120000000054</v>
      </c>
      <c r="EE76" s="91">
        <f t="shared" si="288"/>
        <v>0.26000000005296897</v>
      </c>
      <c r="EK76" s="102"/>
      <c r="EL76" s="16"/>
      <c r="EM76" s="16"/>
      <c r="EP76" s="55"/>
      <c r="EQ76" s="88"/>
      <c r="ER76" s="89"/>
      <c r="ES76" s="89"/>
    </row>
    <row r="77" spans="5:149" s="54" customFormat="1" x14ac:dyDescent="0.35">
      <c r="J77" s="110">
        <v>0</v>
      </c>
      <c r="K77" s="16">
        <v>0</v>
      </c>
      <c r="L77" s="111">
        <v>0</v>
      </c>
      <c r="M77" s="56">
        <v>1575</v>
      </c>
      <c r="N77" s="95">
        <f t="shared" si="289"/>
        <v>0</v>
      </c>
      <c r="O77" s="91">
        <f t="shared" si="264"/>
        <v>0</v>
      </c>
      <c r="T77" s="110">
        <v>0</v>
      </c>
      <c r="U77" s="16">
        <v>0</v>
      </c>
      <c r="V77" s="111">
        <v>0</v>
      </c>
      <c r="W77" s="56">
        <v>1575</v>
      </c>
      <c r="X77" s="95">
        <f t="shared" si="265"/>
        <v>0</v>
      </c>
      <c r="Y77" s="91">
        <f t="shared" si="266"/>
        <v>0</v>
      </c>
      <c r="AD77" s="110">
        <v>0</v>
      </c>
      <c r="AE77" s="16">
        <v>0</v>
      </c>
      <c r="AF77" s="111">
        <v>0</v>
      </c>
      <c r="AG77" s="56">
        <v>1575</v>
      </c>
      <c r="AH77" s="95">
        <f t="shared" si="267"/>
        <v>0</v>
      </c>
      <c r="AI77" s="91">
        <f t="shared" si="268"/>
        <v>0</v>
      </c>
      <c r="AN77" s="110">
        <v>852069</v>
      </c>
      <c r="AO77" s="16">
        <v>0</v>
      </c>
      <c r="AP77" s="111">
        <v>0</v>
      </c>
      <c r="AQ77" s="56">
        <v>1575</v>
      </c>
      <c r="AR77" s="95">
        <f t="shared" si="269"/>
        <v>852069.19</v>
      </c>
      <c r="AS77" s="91">
        <f t="shared" si="270"/>
        <v>-0.18999999994412065</v>
      </c>
      <c r="AX77" s="110">
        <v>1119473</v>
      </c>
      <c r="AY77" s="16">
        <v>0</v>
      </c>
      <c r="AZ77" s="111">
        <v>0</v>
      </c>
      <c r="BA77" s="56">
        <v>1575</v>
      </c>
      <c r="BB77" s="95">
        <f t="shared" si="271"/>
        <v>1119473.1399999999</v>
      </c>
      <c r="BC77" s="91">
        <f t="shared" si="272"/>
        <v>-0.13999999989755452</v>
      </c>
      <c r="BH77" s="110">
        <v>1274990</v>
      </c>
      <c r="BI77" s="16">
        <v>0</v>
      </c>
      <c r="BJ77" s="111">
        <v>0</v>
      </c>
      <c r="BK77" s="56">
        <v>1575</v>
      </c>
      <c r="BL77" s="95">
        <f t="shared" si="273"/>
        <v>1274990.0699999998</v>
      </c>
      <c r="BM77" s="91">
        <f t="shared" si="274"/>
        <v>-6.9999999832361937E-2</v>
      </c>
      <c r="BR77" s="110">
        <v>1526254</v>
      </c>
      <c r="BS77" s="16">
        <v>0</v>
      </c>
      <c r="BT77" s="111">
        <v>0</v>
      </c>
      <c r="BU77" s="56">
        <v>1575</v>
      </c>
      <c r="BV77" s="95">
        <f t="shared" si="275"/>
        <v>1526254.23</v>
      </c>
      <c r="BW77" s="91">
        <f t="shared" si="276"/>
        <v>-0.22999999998137355</v>
      </c>
      <c r="CB77" s="110"/>
      <c r="CC77" s="16"/>
      <c r="CD77" s="111">
        <v>2461388.2000000002</v>
      </c>
      <c r="CE77" s="56">
        <v>1575</v>
      </c>
      <c r="CF77" s="95">
        <f t="shared" si="277"/>
        <v>2461388.17</v>
      </c>
      <c r="CG77" s="91">
        <f t="shared" si="278"/>
        <v>3.0000000260770321E-2</v>
      </c>
      <c r="CL77" s="110"/>
      <c r="CM77" s="16"/>
      <c r="CN77" s="111">
        <v>2976127.43</v>
      </c>
      <c r="CO77" s="56">
        <v>1575</v>
      </c>
      <c r="CP77" s="95">
        <f t="shared" si="279"/>
        <v>2976127.41</v>
      </c>
      <c r="CQ77" s="91">
        <f t="shared" si="280"/>
        <v>2.0000000018626451E-2</v>
      </c>
      <c r="CV77" s="110"/>
      <c r="CW77" s="16"/>
      <c r="CX77" s="111">
        <v>3196098.53</v>
      </c>
      <c r="CY77" s="56">
        <v>1575</v>
      </c>
      <c r="CZ77" s="95">
        <f t="shared" si="281"/>
        <v>3196098.5100000002</v>
      </c>
      <c r="DA77" s="91">
        <f t="shared" si="282"/>
        <v>1.9999999552965164E-2</v>
      </c>
      <c r="DF77" s="110"/>
      <c r="DG77" s="16"/>
      <c r="DH77" s="111">
        <v>4027804.72</v>
      </c>
      <c r="DI77" s="56">
        <v>1575</v>
      </c>
      <c r="DJ77" s="95">
        <f t="shared" si="283"/>
        <v>4027804.7</v>
      </c>
      <c r="DK77" s="91">
        <f t="shared" si="284"/>
        <v>2.0000000018626451E-2</v>
      </c>
      <c r="DP77" s="110"/>
      <c r="DQ77" s="16"/>
      <c r="DR77" s="111">
        <v>5006393.21</v>
      </c>
      <c r="DS77" s="56">
        <v>1575</v>
      </c>
      <c r="DT77" s="95">
        <f t="shared" si="285"/>
        <v>5006393.2</v>
      </c>
      <c r="DU77" s="91">
        <f t="shared" si="286"/>
        <v>9.9999997764825821E-3</v>
      </c>
      <c r="DZ77" s="110"/>
      <c r="EA77" s="16"/>
      <c r="EB77" s="111">
        <v>6033118.4400000004</v>
      </c>
      <c r="EC77" s="56">
        <v>1575</v>
      </c>
      <c r="ED77" s="95">
        <f t="shared" si="287"/>
        <v>5015299.38</v>
      </c>
      <c r="EE77" s="91">
        <f t="shared" si="288"/>
        <v>1017819.0600000005</v>
      </c>
      <c r="EF77" s="54" t="s">
        <v>53</v>
      </c>
      <c r="EK77" s="150"/>
      <c r="EL77" s="16"/>
      <c r="EP77" s="55"/>
      <c r="EQ77" s="88"/>
      <c r="ER77" s="89"/>
      <c r="ES77" s="89"/>
    </row>
    <row r="78" spans="5:149" s="54" customFormat="1" x14ac:dyDescent="0.35">
      <c r="J78" s="112">
        <v>0</v>
      </c>
      <c r="K78" s="113">
        <v>0</v>
      </c>
      <c r="L78" s="114">
        <v>0</v>
      </c>
      <c r="M78" s="56">
        <v>1592</v>
      </c>
      <c r="N78" s="95">
        <f t="shared" si="289"/>
        <v>0</v>
      </c>
      <c r="O78" s="91">
        <f t="shared" si="264"/>
        <v>0</v>
      </c>
      <c r="T78" s="112">
        <v>0</v>
      </c>
      <c r="U78" s="113">
        <v>0</v>
      </c>
      <c r="V78" s="114">
        <v>0</v>
      </c>
      <c r="W78" s="56">
        <v>1592</v>
      </c>
      <c r="X78" s="95">
        <f t="shared" si="265"/>
        <v>0</v>
      </c>
      <c r="Y78" s="91">
        <f t="shared" si="266"/>
        <v>0</v>
      </c>
      <c r="AD78" s="112">
        <v>0</v>
      </c>
      <c r="AE78" s="113">
        <v>0</v>
      </c>
      <c r="AF78" s="114">
        <v>0</v>
      </c>
      <c r="AG78" s="56">
        <v>1592</v>
      </c>
      <c r="AH78" s="95">
        <f t="shared" si="267"/>
        <v>0</v>
      </c>
      <c r="AI78" s="91">
        <f t="shared" si="268"/>
        <v>0</v>
      </c>
      <c r="AN78" s="112">
        <v>0</v>
      </c>
      <c r="AO78" s="113">
        <v>0</v>
      </c>
      <c r="AP78" s="114">
        <v>0</v>
      </c>
      <c r="AQ78" s="56">
        <v>1592</v>
      </c>
      <c r="AR78" s="95">
        <f t="shared" si="269"/>
        <v>0</v>
      </c>
      <c r="AS78" s="91">
        <f t="shared" si="270"/>
        <v>0</v>
      </c>
      <c r="AX78" s="112">
        <v>0</v>
      </c>
      <c r="AY78" s="113">
        <v>0</v>
      </c>
      <c r="AZ78" s="114">
        <v>0</v>
      </c>
      <c r="BA78" s="56">
        <v>1592</v>
      </c>
      <c r="BB78" s="95">
        <f t="shared" si="271"/>
        <v>0</v>
      </c>
      <c r="BC78" s="91">
        <f t="shared" si="272"/>
        <v>0</v>
      </c>
      <c r="BH78" s="112">
        <v>0</v>
      </c>
      <c r="BI78" s="113">
        <v>0</v>
      </c>
      <c r="BJ78" s="114">
        <v>0</v>
      </c>
      <c r="BK78" s="56">
        <v>1592</v>
      </c>
      <c r="BL78" s="95">
        <f t="shared" si="273"/>
        <v>0</v>
      </c>
      <c r="BM78" s="91">
        <f t="shared" si="274"/>
        <v>0</v>
      </c>
      <c r="BR78" s="112">
        <v>0</v>
      </c>
      <c r="BS78" s="113">
        <v>0</v>
      </c>
      <c r="BT78" s="114">
        <v>0</v>
      </c>
      <c r="BU78" s="56">
        <v>1592</v>
      </c>
      <c r="BV78" s="95">
        <f>+BQ66+BV66</f>
        <v>0</v>
      </c>
      <c r="BW78" s="91">
        <f t="shared" si="276"/>
        <v>0</v>
      </c>
      <c r="CB78" s="112"/>
      <c r="CC78" s="113"/>
      <c r="CD78" s="114">
        <v>-1237323</v>
      </c>
      <c r="CE78" s="56">
        <v>1592</v>
      </c>
      <c r="CF78" s="95">
        <f t="shared" si="277"/>
        <v>-1237323</v>
      </c>
      <c r="CG78" s="91">
        <f t="shared" si="278"/>
        <v>0</v>
      </c>
      <c r="CL78" s="112"/>
      <c r="CM78" s="113"/>
      <c r="CN78" s="114">
        <v>-2463181.46</v>
      </c>
      <c r="CO78" s="56">
        <v>1592</v>
      </c>
      <c r="CP78" s="95">
        <f t="shared" si="279"/>
        <v>-2463181.46</v>
      </c>
      <c r="CQ78" s="91">
        <f t="shared" si="280"/>
        <v>0</v>
      </c>
      <c r="CV78" s="112"/>
      <c r="CW78" s="113"/>
      <c r="CX78" s="114">
        <v>-3757207.62</v>
      </c>
      <c r="CY78" s="56">
        <v>1592</v>
      </c>
      <c r="CZ78" s="95">
        <f t="shared" si="281"/>
        <v>-3757207.62</v>
      </c>
      <c r="DA78" s="91">
        <f t="shared" si="282"/>
        <v>0</v>
      </c>
      <c r="DF78" s="112"/>
      <c r="DG78" s="113"/>
      <c r="DH78" s="114">
        <v>-5956665.8300000001</v>
      </c>
      <c r="DI78" s="56">
        <v>1592</v>
      </c>
      <c r="DJ78" s="95">
        <f t="shared" si="283"/>
        <v>-5956665.8300000001</v>
      </c>
      <c r="DK78" s="91">
        <f t="shared" si="284"/>
        <v>0</v>
      </c>
      <c r="DP78" s="112"/>
      <c r="DQ78" s="113"/>
      <c r="DR78" s="114">
        <v>-7312436.3899999997</v>
      </c>
      <c r="DS78" s="56">
        <v>1592</v>
      </c>
      <c r="DT78" s="95">
        <f t="shared" si="285"/>
        <v>-7312436.3899999997</v>
      </c>
      <c r="DU78" s="91">
        <f t="shared" si="286"/>
        <v>0</v>
      </c>
      <c r="DZ78" s="112"/>
      <c r="EA78" s="113"/>
      <c r="EB78" s="114">
        <v>-8041723.7599999998</v>
      </c>
      <c r="EC78" s="56">
        <v>1592</v>
      </c>
      <c r="ED78" s="95">
        <f t="shared" si="287"/>
        <v>-8041723.7599999998</v>
      </c>
      <c r="EE78" s="91">
        <f t="shared" si="288"/>
        <v>0</v>
      </c>
      <c r="EP78" s="55"/>
      <c r="EQ78" s="88"/>
      <c r="ER78" s="89"/>
      <c r="ES78" s="89"/>
    </row>
    <row r="79" spans="5:149" s="54" customFormat="1" ht="15" thickBot="1" x14ac:dyDescent="0.4">
      <c r="N79" s="106">
        <f>SUM(N72:N78)</f>
        <v>5112634.3599999994</v>
      </c>
      <c r="O79" s="90"/>
      <c r="X79" s="106">
        <f>SUM(X72:X78)</f>
        <v>4716961.8899999997</v>
      </c>
      <c r="Y79" s="90"/>
      <c r="AH79" s="106">
        <f>SUM(AH72:AH78)</f>
        <v>2008506.34</v>
      </c>
      <c r="AI79" s="90"/>
      <c r="AR79" s="106">
        <f>SUM(AR72:AR78)</f>
        <v>1454039</v>
      </c>
      <c r="AS79" s="90"/>
      <c r="BB79" s="106">
        <f>SUM(BB72:BB78)</f>
        <v>3700421.8099999996</v>
      </c>
      <c r="BC79" s="90"/>
      <c r="BL79" s="106">
        <f>SUM(BL72:BL78)</f>
        <v>4167949.5800000005</v>
      </c>
      <c r="BM79" s="90"/>
      <c r="BV79" s="106">
        <f>SUM(BV72:BV78)</f>
        <v>3533498.78</v>
      </c>
      <c r="BW79" s="90"/>
      <c r="CF79" s="106">
        <f>SUM(CF72:CF78)</f>
        <v>4034466.46</v>
      </c>
      <c r="CG79" s="90"/>
      <c r="CP79" s="106">
        <f>SUM(CP72:CP78)</f>
        <v>3786903.6100000003</v>
      </c>
      <c r="CQ79" s="90"/>
      <c r="CZ79" s="106">
        <f>SUM(CZ72:CZ78)</f>
        <v>3320289.2199999997</v>
      </c>
      <c r="DA79" s="90"/>
      <c r="DJ79" s="106">
        <f>SUM(DJ72:DJ78)</f>
        <v>3479763.0300000012</v>
      </c>
      <c r="DK79" s="90"/>
      <c r="DT79" s="106">
        <f>SUM(DT72:DT78)</f>
        <v>5218198.370000002</v>
      </c>
      <c r="DU79" s="90"/>
      <c r="ED79" s="106">
        <f>SUM(ED72:ED78)</f>
        <v>7247045.6400000025</v>
      </c>
      <c r="EE79" s="106">
        <f>SUM(EE72:EE78)</f>
        <v>45016329.82</v>
      </c>
      <c r="EP79" s="55"/>
      <c r="EQ79" s="88"/>
      <c r="ER79" s="89"/>
      <c r="ES79" s="89"/>
    </row>
    <row r="80" spans="5:149" x14ac:dyDescent="0.35">
      <c r="EK80" s="54"/>
      <c r="EL80" s="54"/>
    </row>
    <row r="81" spans="110:142" x14ac:dyDescent="0.35">
      <c r="EK81" s="54"/>
      <c r="EL81" s="54"/>
    </row>
    <row r="84" spans="110:142" x14ac:dyDescent="0.35">
      <c r="DH84" s="50" t="s">
        <v>4</v>
      </c>
      <c r="DI84" s="50" t="s">
        <v>5</v>
      </c>
      <c r="DJ84" s="50" t="s">
        <v>54</v>
      </c>
      <c r="DK84" s="50" t="s">
        <v>55</v>
      </c>
      <c r="DR84" s="50" t="s">
        <v>4</v>
      </c>
      <c r="DS84" s="50" t="s">
        <v>5</v>
      </c>
      <c r="DT84" s="50" t="s">
        <v>54</v>
      </c>
      <c r="DU84" s="50" t="s">
        <v>55</v>
      </c>
      <c r="EB84" s="50" t="s">
        <v>4</v>
      </c>
      <c r="EC84" s="50" t="s">
        <v>5</v>
      </c>
      <c r="ED84" s="50" t="s">
        <v>54</v>
      </c>
      <c r="EE84" s="50" t="s">
        <v>55</v>
      </c>
    </row>
    <row r="85" spans="110:142" x14ac:dyDescent="0.35">
      <c r="DF85" s="1" t="s">
        <v>0</v>
      </c>
      <c r="DP85" s="1" t="s">
        <v>0</v>
      </c>
      <c r="DZ85" s="1" t="s">
        <v>0</v>
      </c>
    </row>
    <row r="86" spans="110:142" x14ac:dyDescent="0.35">
      <c r="DF86" s="1" t="s">
        <v>56</v>
      </c>
      <c r="DH86" s="16">
        <v>39982317.18</v>
      </c>
      <c r="DI86" s="16">
        <v>1808889.57</v>
      </c>
      <c r="DJ86" s="16"/>
      <c r="DK86" s="16">
        <f>SUM(DH86:DJ86)</f>
        <v>41791206.75</v>
      </c>
      <c r="DP86" s="1" t="s">
        <v>56</v>
      </c>
      <c r="DR86" s="16">
        <v>40856521.659999996</v>
      </c>
      <c r="DS86" s="16">
        <v>4709807.8899999997</v>
      </c>
      <c r="DT86" s="16">
        <v>24399.22</v>
      </c>
      <c r="DU86" s="16">
        <f>SUM(DR86:DT86)</f>
        <v>45590728.769999996</v>
      </c>
      <c r="DZ86" s="1" t="s">
        <v>56</v>
      </c>
      <c r="EB86" s="16">
        <v>44084686.5</v>
      </c>
      <c r="EC86" s="16">
        <v>5364486.09</v>
      </c>
      <c r="ED86" s="16">
        <v>1263401.51</v>
      </c>
      <c r="EE86" s="16">
        <f>SUM(EB86:ED86)</f>
        <v>50712574.100000001</v>
      </c>
    </row>
    <row r="87" spans="110:142" x14ac:dyDescent="0.35">
      <c r="DF87" s="1" t="s">
        <v>57</v>
      </c>
      <c r="DH87" s="16">
        <v>128942.97</v>
      </c>
      <c r="DI87" s="16">
        <v>5833.67</v>
      </c>
      <c r="DJ87" s="16"/>
      <c r="DK87" s="16">
        <f t="shared" ref="DK87:DK91" si="290">SUM(DH87:DJ87)</f>
        <v>134776.64000000001</v>
      </c>
      <c r="DP87" s="1" t="s">
        <v>57</v>
      </c>
      <c r="DR87" s="16">
        <v>2190154.4900000002</v>
      </c>
      <c r="DS87" s="16">
        <v>243443.48</v>
      </c>
      <c r="DT87" s="16">
        <v>1230.94</v>
      </c>
      <c r="DU87" s="16">
        <f t="shared" ref="DU87:DU91" si="291">SUM(DR87:DT87)</f>
        <v>2434828.91</v>
      </c>
      <c r="DZ87" s="1" t="s">
        <v>57</v>
      </c>
      <c r="EB87" s="16">
        <v>4458311.6100000003</v>
      </c>
      <c r="EC87" s="16">
        <v>519446.29</v>
      </c>
      <c r="ED87" s="16">
        <v>66232.95</v>
      </c>
      <c r="EE87" s="16">
        <f t="shared" ref="EE87:EE91" si="292">SUM(EB87:ED87)</f>
        <v>5043990.8500000006</v>
      </c>
    </row>
    <row r="88" spans="110:142" x14ac:dyDescent="0.35">
      <c r="DF88" s="1" t="s">
        <v>58</v>
      </c>
      <c r="DH88" s="16">
        <v>392127.64</v>
      </c>
      <c r="DI88" s="16">
        <v>20524.07</v>
      </c>
      <c r="DJ88" s="16"/>
      <c r="DK88" s="16">
        <f t="shared" si="290"/>
        <v>412651.71</v>
      </c>
      <c r="DP88" s="1" t="s">
        <v>58</v>
      </c>
      <c r="DR88" s="16">
        <v>1169850.08</v>
      </c>
      <c r="DS88" s="16">
        <v>98259.14</v>
      </c>
      <c r="DT88" s="16">
        <v>2457.2800000000002</v>
      </c>
      <c r="DU88" s="16">
        <f t="shared" si="291"/>
        <v>1270566.5</v>
      </c>
      <c r="DZ88" s="1" t="s">
        <v>58</v>
      </c>
      <c r="EB88" s="16">
        <v>2012369.59</v>
      </c>
      <c r="EC88" s="16">
        <v>216242.67</v>
      </c>
      <c r="ED88" s="16">
        <v>132195.32</v>
      </c>
      <c r="EE88" s="16">
        <f t="shared" si="292"/>
        <v>2360807.58</v>
      </c>
    </row>
    <row r="89" spans="110:142" x14ac:dyDescent="0.35">
      <c r="DF89" s="1" t="s">
        <v>59</v>
      </c>
      <c r="DH89" s="16">
        <v>-392127.64</v>
      </c>
      <c r="DI89" s="16">
        <v>-20524.07</v>
      </c>
      <c r="DJ89" s="16"/>
      <c r="DK89" s="16">
        <f t="shared" si="290"/>
        <v>-412651.71</v>
      </c>
      <c r="DP89" s="1" t="s">
        <v>59</v>
      </c>
      <c r="DR89" s="16">
        <v>-1169850.08</v>
      </c>
      <c r="DS89" s="16">
        <v>-98259.14</v>
      </c>
      <c r="DT89" s="16">
        <v>-2457.2800000000002</v>
      </c>
      <c r="DU89" s="16">
        <f t="shared" si="291"/>
        <v>-1270566.5</v>
      </c>
      <c r="DZ89" s="1" t="s">
        <v>59</v>
      </c>
      <c r="EB89" s="16">
        <v>-2012369.59</v>
      </c>
      <c r="EC89" s="16">
        <v>-216242.67</v>
      </c>
      <c r="ED89" s="16">
        <v>-132195.32</v>
      </c>
      <c r="EE89" s="16">
        <f t="shared" si="292"/>
        <v>-2360807.58</v>
      </c>
    </row>
    <row r="90" spans="110:142" x14ac:dyDescent="0.35">
      <c r="DF90" s="1" t="s">
        <v>60</v>
      </c>
      <c r="DH90" s="16">
        <v>-3443922.06</v>
      </c>
      <c r="DI90" s="16">
        <v>-283175.7</v>
      </c>
      <c r="DJ90" s="16"/>
      <c r="DK90" s="16">
        <f t="shared" si="290"/>
        <v>-3727097.7600000002</v>
      </c>
      <c r="DP90" s="1" t="s">
        <v>60</v>
      </c>
      <c r="DR90" s="16">
        <v>-6915544.1900000004</v>
      </c>
      <c r="DS90" s="16">
        <v>-565601.31999999995</v>
      </c>
      <c r="DT90" s="16" t="s">
        <v>0</v>
      </c>
      <c r="DU90" s="16">
        <f t="shared" si="291"/>
        <v>-7481145.5100000007</v>
      </c>
      <c r="DZ90" s="1" t="s">
        <v>60</v>
      </c>
      <c r="EB90" s="16">
        <v>-10430254.75</v>
      </c>
      <c r="EC90" s="16">
        <v>-853814.28</v>
      </c>
      <c r="ED90" s="16">
        <v>0</v>
      </c>
      <c r="EE90" s="16">
        <f t="shared" si="292"/>
        <v>-11284069.029999999</v>
      </c>
    </row>
    <row r="91" spans="110:142" x14ac:dyDescent="0.35">
      <c r="DF91" s="1" t="s">
        <v>61</v>
      </c>
      <c r="DH91" s="16">
        <v>-11106.65</v>
      </c>
      <c r="DI91" s="16">
        <v>-913.24</v>
      </c>
      <c r="DJ91" s="16"/>
      <c r="DK91" s="16">
        <f t="shared" si="290"/>
        <v>-12019.89</v>
      </c>
      <c r="DP91" s="1" t="s">
        <v>61</v>
      </c>
      <c r="DR91" s="16">
        <v>-359995.85</v>
      </c>
      <c r="DS91" s="16">
        <v>-29447.84</v>
      </c>
      <c r="DT91" s="16">
        <v>0</v>
      </c>
      <c r="DU91" s="16">
        <f t="shared" si="291"/>
        <v>-389443.69</v>
      </c>
      <c r="DZ91" s="1" t="s">
        <v>61</v>
      </c>
      <c r="EB91" s="16">
        <v>-896632.46</v>
      </c>
      <c r="EC91" s="16">
        <v>-73376.58</v>
      </c>
      <c r="ED91" s="16">
        <v>0</v>
      </c>
      <c r="EE91" s="16">
        <f t="shared" si="292"/>
        <v>-970009.03999999992</v>
      </c>
    </row>
    <row r="92" spans="110:142" ht="15" thickBot="1" x14ac:dyDescent="0.4">
      <c r="DH92" s="105">
        <f>SUM(DH86:DH91)</f>
        <v>36656231.439999998</v>
      </c>
      <c r="DI92" s="105">
        <f t="shared" ref="DI92" si="293">SUM(DI86:DI91)</f>
        <v>1530634.3</v>
      </c>
      <c r="DJ92" s="105">
        <f t="shared" ref="DJ92" si="294">SUM(DJ86:DJ91)</f>
        <v>0</v>
      </c>
      <c r="DK92" s="105">
        <f t="shared" ref="DK92" si="295">SUM(DK86:DK91)</f>
        <v>38186865.740000002</v>
      </c>
      <c r="DL92" s="1" t="s">
        <v>2</v>
      </c>
      <c r="DR92" s="105">
        <f>SUM(DR86:DR91)</f>
        <v>35771136.109999999</v>
      </c>
      <c r="DS92" s="105">
        <f t="shared" ref="DS92:DU92" si="296">SUM(DS86:DS91)</f>
        <v>4358202.21</v>
      </c>
      <c r="DT92" s="105">
        <f t="shared" si="296"/>
        <v>25630.16</v>
      </c>
      <c r="DU92" s="105">
        <f t="shared" si="296"/>
        <v>40154968.479999997</v>
      </c>
      <c r="DV92" s="1" t="s">
        <v>2</v>
      </c>
      <c r="EB92" s="105">
        <f>SUM(EB86:EB91)</f>
        <v>37216110.899999999</v>
      </c>
      <c r="EC92" s="105">
        <f t="shared" ref="EC92" si="297">SUM(EC86:EC91)</f>
        <v>4956741.5199999996</v>
      </c>
      <c r="ED92" s="105">
        <f t="shared" ref="ED92" si="298">SUM(ED86:ED91)</f>
        <v>1329634.46</v>
      </c>
      <c r="EE92" s="105">
        <f t="shared" ref="EE92" si="299">SUM(EE86:EE91)</f>
        <v>43502486.880000003</v>
      </c>
      <c r="EF92" s="1" t="s">
        <v>2</v>
      </c>
    </row>
  </sheetData>
  <mergeCells count="171">
    <mergeCell ref="CL70:CN70"/>
    <mergeCell ref="CV70:CX70"/>
    <mergeCell ref="DF70:DH70"/>
    <mergeCell ref="DP70:DR70"/>
    <mergeCell ref="DZ70:EB70"/>
    <mergeCell ref="J70:L70"/>
    <mergeCell ref="T70:V70"/>
    <mergeCell ref="AD70:AF70"/>
    <mergeCell ref="AN70:AP70"/>
    <mergeCell ref="AX70:AZ70"/>
    <mergeCell ref="BH70:BJ70"/>
    <mergeCell ref="BR70:BT70"/>
    <mergeCell ref="CB70:CD70"/>
    <mergeCell ref="EA14:EA16"/>
    <mergeCell ref="EB14:EB16"/>
    <mergeCell ref="EC14:EC16"/>
    <mergeCell ref="ED14:ED16"/>
    <mergeCell ref="BI14:BI16"/>
    <mergeCell ref="BJ14:BJ16"/>
    <mergeCell ref="BK14:BK16"/>
    <mergeCell ref="BL14:BL16"/>
    <mergeCell ref="DK14:DK16"/>
    <mergeCell ref="DL14:DL16"/>
    <mergeCell ref="DM14:DM16"/>
    <mergeCell ref="DN14:DN16"/>
    <mergeCell ref="DC14:DC16"/>
    <mergeCell ref="DD14:DD16"/>
    <mergeCell ref="DE14:DE16"/>
    <mergeCell ref="DF14:DF16"/>
    <mergeCell ref="DG14:DG16"/>
    <mergeCell ref="DH14:DH16"/>
    <mergeCell ref="CW14:CW16"/>
    <mergeCell ref="CX14:CX16"/>
    <mergeCell ref="CY14:CY16"/>
    <mergeCell ref="CZ14:CZ16"/>
    <mergeCell ref="DA14:DA16"/>
    <mergeCell ref="DO14:DO16"/>
    <mergeCell ref="DP14:DP16"/>
    <mergeCell ref="DQ14:DQ16"/>
    <mergeCell ref="DR14:DR16"/>
    <mergeCell ref="DS14:DS16"/>
    <mergeCell ref="DT14:DT16"/>
    <mergeCell ref="DI14:DI16"/>
    <mergeCell ref="DJ14:DJ16"/>
    <mergeCell ref="DZ14:DZ16"/>
    <mergeCell ref="AS13:BB13"/>
    <mergeCell ref="AS14:AS16"/>
    <mergeCell ref="AT14:AT16"/>
    <mergeCell ref="AU14:AU16"/>
    <mergeCell ref="AV14:AV16"/>
    <mergeCell ref="AW14:AW16"/>
    <mergeCell ref="AX14:AX16"/>
    <mergeCell ref="AY14:AY16"/>
    <mergeCell ref="DU13:ED13"/>
    <mergeCell ref="DU14:DU16"/>
    <mergeCell ref="DV14:DV16"/>
    <mergeCell ref="DW14:DW16"/>
    <mergeCell ref="DX14:DX16"/>
    <mergeCell ref="DY14:DY16"/>
    <mergeCell ref="AZ14:AZ16"/>
    <mergeCell ref="BA14:BA16"/>
    <mergeCell ref="BB14:BB16"/>
    <mergeCell ref="BC13:BL13"/>
    <mergeCell ref="BC14:BC16"/>
    <mergeCell ref="BD14:BD16"/>
    <mergeCell ref="BE14:BE16"/>
    <mergeCell ref="BF14:BF16"/>
    <mergeCell ref="BG14:BG16"/>
    <mergeCell ref="BH14:BH16"/>
    <mergeCell ref="AH14:AH16"/>
    <mergeCell ref="AI13:AR13"/>
    <mergeCell ref="AI14:AI16"/>
    <mergeCell ref="AJ14:AJ16"/>
    <mergeCell ref="AK14:AK16"/>
    <mergeCell ref="AL14:AL16"/>
    <mergeCell ref="AM14:AM16"/>
    <mergeCell ref="AN14:AN16"/>
    <mergeCell ref="AO14:AO16"/>
    <mergeCell ref="AP14:AP16"/>
    <mergeCell ref="Y13:AH13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AG14:AG16"/>
    <mergeCell ref="AQ14:AQ16"/>
    <mergeCell ref="AR14:AR16"/>
    <mergeCell ref="O13:X13"/>
    <mergeCell ref="O14:O16"/>
    <mergeCell ref="P14:P16"/>
    <mergeCell ref="Q14:Q16"/>
    <mergeCell ref="R14:R16"/>
    <mergeCell ref="V14:V16"/>
    <mergeCell ref="W14:W16"/>
    <mergeCell ref="X14:X16"/>
    <mergeCell ref="E13:N13"/>
    <mergeCell ref="E14:E16"/>
    <mergeCell ref="F14:F16"/>
    <mergeCell ref="G14:G16"/>
    <mergeCell ref="H14:H16"/>
    <mergeCell ref="I14:I16"/>
    <mergeCell ref="S14:S16"/>
    <mergeCell ref="T14:T16"/>
    <mergeCell ref="U14:U16"/>
    <mergeCell ref="J14:J16"/>
    <mergeCell ref="K14:K16"/>
    <mergeCell ref="L14:L16"/>
    <mergeCell ref="M14:M16"/>
    <mergeCell ref="N14:N16"/>
    <mergeCell ref="EK14:EK16"/>
    <mergeCell ref="EL14:EL16"/>
    <mergeCell ref="EM14:EM16"/>
    <mergeCell ref="EN14:EN16"/>
    <mergeCell ref="EO14:EO16"/>
    <mergeCell ref="EE14:EE16"/>
    <mergeCell ref="EF14:EF16"/>
    <mergeCell ref="EG14:EG16"/>
    <mergeCell ref="EH14:EH16"/>
    <mergeCell ref="EI14:EI16"/>
    <mergeCell ref="EJ14:EJ16"/>
    <mergeCell ref="DB14:DB16"/>
    <mergeCell ref="CQ14:CQ16"/>
    <mergeCell ref="CR14:CR16"/>
    <mergeCell ref="CS14:CS16"/>
    <mergeCell ref="CT14:CT16"/>
    <mergeCell ref="CU14:CU16"/>
    <mergeCell ref="CV14:CV16"/>
    <mergeCell ref="CK14:CK16"/>
    <mergeCell ref="CL14:CL16"/>
    <mergeCell ref="CM14:CM16"/>
    <mergeCell ref="CN14:CN16"/>
    <mergeCell ref="CO14:CO16"/>
    <mergeCell ref="CP14:CP16"/>
    <mergeCell ref="CG14:CG16"/>
    <mergeCell ref="CH14:CH16"/>
    <mergeCell ref="CI14:CI16"/>
    <mergeCell ref="CJ14:CJ16"/>
    <mergeCell ref="BY14:BY16"/>
    <mergeCell ref="BZ14:BZ16"/>
    <mergeCell ref="CA14:CA16"/>
    <mergeCell ref="CB14:CB16"/>
    <mergeCell ref="CC14:CC16"/>
    <mergeCell ref="CD14:CD16"/>
    <mergeCell ref="BS14:BS16"/>
    <mergeCell ref="BT14:BT16"/>
    <mergeCell ref="BU14:BU16"/>
    <mergeCell ref="BV14:BV16"/>
    <mergeCell ref="BW14:BW16"/>
    <mergeCell ref="BX14:BX16"/>
    <mergeCell ref="EE13:EH13"/>
    <mergeCell ref="EI13:EL13"/>
    <mergeCell ref="C14:C16"/>
    <mergeCell ref="D14:D16"/>
    <mergeCell ref="BM14:BM16"/>
    <mergeCell ref="BN14:BN16"/>
    <mergeCell ref="BO14:BO16"/>
    <mergeCell ref="BP14:BP16"/>
    <mergeCell ref="BQ14:BQ16"/>
    <mergeCell ref="BR14:BR16"/>
    <mergeCell ref="BM13:BV13"/>
    <mergeCell ref="BW13:CF13"/>
    <mergeCell ref="CG13:CP13"/>
    <mergeCell ref="CQ13:CZ13"/>
    <mergeCell ref="DA13:DJ13"/>
    <mergeCell ref="DK13:DT13"/>
    <mergeCell ref="CE14:CE16"/>
    <mergeCell ref="CF14:CF16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141</xdr:col>
                    <xdr:colOff>107950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CFBA-2A50-467C-ADBB-F1E9EF45F200}">
  <dimension ref="B4:Q32"/>
  <sheetViews>
    <sheetView topLeftCell="C6" workbookViewId="0">
      <selection activeCell="C20" sqref="C20:C28"/>
    </sheetView>
  </sheetViews>
  <sheetFormatPr defaultRowHeight="14.5" x14ac:dyDescent="0.35"/>
  <cols>
    <col min="2" max="2" width="10.6328125" customWidth="1"/>
    <col min="3" max="3" width="40.36328125" customWidth="1"/>
    <col min="5" max="12" width="13.6328125" customWidth="1"/>
    <col min="13" max="13" width="2" customWidth="1"/>
    <col min="14" max="14" width="15.90625" customWidth="1"/>
    <col min="15" max="15" width="14.08984375" customWidth="1"/>
    <col min="16" max="16" width="11.54296875" customWidth="1"/>
  </cols>
  <sheetData>
    <row r="4" spans="2:16" x14ac:dyDescent="0.35">
      <c r="C4" t="s">
        <v>7</v>
      </c>
    </row>
    <row r="5" spans="2:16" ht="29.15" customHeight="1" x14ac:dyDescent="0.35">
      <c r="C5" s="57"/>
      <c r="D5" s="58"/>
      <c r="E5" s="190" t="s">
        <v>92</v>
      </c>
      <c r="F5" s="190" t="s">
        <v>93</v>
      </c>
      <c r="G5" s="190" t="s">
        <v>94</v>
      </c>
      <c r="H5" s="190" t="s">
        <v>95</v>
      </c>
      <c r="I5" s="193" t="s">
        <v>96</v>
      </c>
      <c r="J5" s="193" t="s">
        <v>97</v>
      </c>
      <c r="K5" s="190" t="s">
        <v>98</v>
      </c>
      <c r="L5" s="190" t="s">
        <v>99</v>
      </c>
      <c r="M5" s="59"/>
      <c r="N5" s="188" t="s">
        <v>100</v>
      </c>
      <c r="O5" s="192" t="s">
        <v>101</v>
      </c>
      <c r="P5" s="132" t="s">
        <v>102</v>
      </c>
    </row>
    <row r="6" spans="2:16" ht="48" customHeight="1" x14ac:dyDescent="0.35">
      <c r="B6" t="s">
        <v>103</v>
      </c>
      <c r="C6" s="60" t="s">
        <v>104</v>
      </c>
      <c r="D6" s="61" t="s">
        <v>105</v>
      </c>
      <c r="E6" s="191"/>
      <c r="F6" s="191"/>
      <c r="G6" s="191"/>
      <c r="H6" s="191"/>
      <c r="I6" s="194"/>
      <c r="J6" s="194"/>
      <c r="K6" s="191"/>
      <c r="L6" s="191"/>
      <c r="M6" s="59"/>
      <c r="N6" s="189"/>
      <c r="O6" s="189"/>
    </row>
    <row r="7" spans="2:16" ht="15" customHeight="1" x14ac:dyDescent="0.35">
      <c r="B7" s="116">
        <f>+E7/$E$13</f>
        <v>0.44981646608418147</v>
      </c>
      <c r="C7" t="s">
        <v>106</v>
      </c>
      <c r="D7" s="62" t="s">
        <v>77</v>
      </c>
      <c r="E7" s="63">
        <v>410478117</v>
      </c>
      <c r="F7" s="64">
        <v>0</v>
      </c>
      <c r="G7" s="65">
        <v>2744552</v>
      </c>
      <c r="H7" s="65">
        <v>0</v>
      </c>
      <c r="I7" s="66"/>
      <c r="J7" s="66"/>
      <c r="K7" s="67">
        <v>410478117</v>
      </c>
      <c r="L7" s="67">
        <v>0</v>
      </c>
      <c r="M7" s="68"/>
      <c r="N7" s="69">
        <v>45687</v>
      </c>
      <c r="O7" s="69">
        <f>+N7</f>
        <v>45687</v>
      </c>
      <c r="P7" s="83">
        <v>19606388</v>
      </c>
    </row>
    <row r="8" spans="2:16" ht="15" customHeight="1" x14ac:dyDescent="0.35">
      <c r="B8" s="116">
        <f t="shared" ref="B8:B12" si="0">+E8/$E$13</f>
        <v>0.10075193509908496</v>
      </c>
      <c r="C8" t="s">
        <v>107</v>
      </c>
      <c r="D8" s="62" t="s">
        <v>77</v>
      </c>
      <c r="E8" s="63">
        <v>91940753</v>
      </c>
      <c r="F8" s="64">
        <v>0</v>
      </c>
      <c r="G8" s="65">
        <v>11659732</v>
      </c>
      <c r="H8" s="65">
        <v>0</v>
      </c>
      <c r="I8" s="66"/>
      <c r="J8" s="66"/>
      <c r="K8" s="67">
        <v>91940753</v>
      </c>
      <c r="L8" s="67">
        <v>0</v>
      </c>
      <c r="M8" s="68"/>
      <c r="N8" s="69">
        <v>2473</v>
      </c>
      <c r="O8" s="69">
        <f>+N8</f>
        <v>2473</v>
      </c>
      <c r="P8" s="83">
        <v>3001837</v>
      </c>
    </row>
    <row r="9" spans="2:16" ht="15" customHeight="1" x14ac:dyDescent="0.35">
      <c r="B9" s="116">
        <f t="shared" si="0"/>
        <v>0.44353372702799354</v>
      </c>
      <c r="C9" t="s">
        <v>108</v>
      </c>
      <c r="D9" s="62" t="s">
        <v>109</v>
      </c>
      <c r="E9" s="63">
        <v>404744830</v>
      </c>
      <c r="F9" s="64">
        <v>933711</v>
      </c>
      <c r="G9" s="65">
        <v>359291238</v>
      </c>
      <c r="H9" s="65">
        <v>825756</v>
      </c>
      <c r="I9" s="66">
        <v>3621558</v>
      </c>
      <c r="J9" s="66">
        <v>6633</v>
      </c>
      <c r="K9" s="67">
        <v>401123272</v>
      </c>
      <c r="L9" s="67">
        <v>927078</v>
      </c>
      <c r="M9" s="68"/>
      <c r="N9" s="69">
        <v>393</v>
      </c>
      <c r="O9" s="69">
        <f>+N9</f>
        <v>393</v>
      </c>
      <c r="P9" s="83">
        <v>5296764</v>
      </c>
    </row>
    <row r="10" spans="2:16" ht="15" customHeight="1" x14ac:dyDescent="0.35">
      <c r="B10" s="116">
        <f t="shared" si="0"/>
        <v>2.0521381448986332E-3</v>
      </c>
      <c r="C10" t="s">
        <v>110</v>
      </c>
      <c r="D10" s="62" t="s">
        <v>77</v>
      </c>
      <c r="E10" s="63">
        <v>1872670</v>
      </c>
      <c r="F10" s="64">
        <v>0</v>
      </c>
      <c r="G10" s="65">
        <v>0</v>
      </c>
      <c r="H10" s="65">
        <v>0</v>
      </c>
      <c r="I10" s="66"/>
      <c r="J10" s="66"/>
      <c r="K10" s="67">
        <v>1872670</v>
      </c>
      <c r="L10" s="67">
        <v>0</v>
      </c>
      <c r="M10" s="68"/>
      <c r="N10" s="69">
        <v>388</v>
      </c>
      <c r="O10" s="69">
        <v>121</v>
      </c>
      <c r="P10" s="83">
        <v>118727</v>
      </c>
    </row>
    <row r="11" spans="2:16" ht="15" customHeight="1" x14ac:dyDescent="0.35">
      <c r="B11" s="116">
        <f t="shared" si="0"/>
        <v>3.6099010914496826E-5</v>
      </c>
      <c r="C11" t="s">
        <v>111</v>
      </c>
      <c r="D11" s="70" t="s">
        <v>109</v>
      </c>
      <c r="E11" s="71">
        <v>32942</v>
      </c>
      <c r="F11" s="72">
        <v>83</v>
      </c>
      <c r="G11" s="73">
        <v>32942</v>
      </c>
      <c r="H11" s="73">
        <v>83</v>
      </c>
      <c r="I11" s="74"/>
      <c r="J11" s="74"/>
      <c r="K11" s="75">
        <v>32942</v>
      </c>
      <c r="L11" s="75">
        <v>83</v>
      </c>
      <c r="M11" s="68"/>
      <c r="N11" s="69">
        <v>45</v>
      </c>
      <c r="O11" s="69">
        <v>1</v>
      </c>
      <c r="P11" s="83">
        <v>4197</v>
      </c>
    </row>
    <row r="12" spans="2:16" ht="15" customHeight="1" x14ac:dyDescent="0.35">
      <c r="B12" s="116">
        <f t="shared" si="0"/>
        <v>3.8096346329268755E-3</v>
      </c>
      <c r="C12" s="147" t="s">
        <v>112</v>
      </c>
      <c r="D12" s="76" t="s">
        <v>109</v>
      </c>
      <c r="E12" s="77">
        <v>3476466</v>
      </c>
      <c r="F12" s="78">
        <v>9823</v>
      </c>
      <c r="G12" s="78">
        <v>3476466</v>
      </c>
      <c r="H12" s="78">
        <v>9823</v>
      </c>
      <c r="I12" s="79"/>
      <c r="J12" s="79"/>
      <c r="K12" s="80">
        <v>3476466</v>
      </c>
      <c r="L12" s="80">
        <v>9823</v>
      </c>
      <c r="M12" s="68"/>
      <c r="N12" s="81">
        <v>13763</v>
      </c>
      <c r="O12" s="81">
        <v>1</v>
      </c>
      <c r="P12" s="83">
        <v>489242</v>
      </c>
    </row>
    <row r="13" spans="2:16" ht="15" customHeight="1" x14ac:dyDescent="0.35">
      <c r="D13" s="82" t="s">
        <v>55</v>
      </c>
      <c r="E13" s="83">
        <f>SUM(E7:E12)</f>
        <v>912545778</v>
      </c>
      <c r="F13" s="83">
        <f t="shared" ref="F13:O13" si="1">SUM(F7:F12)</f>
        <v>943617</v>
      </c>
      <c r="G13" s="83">
        <f t="shared" si="1"/>
        <v>377204930</v>
      </c>
      <c r="H13" s="83">
        <f t="shared" si="1"/>
        <v>835662</v>
      </c>
      <c r="I13" s="83">
        <f t="shared" si="1"/>
        <v>3621558</v>
      </c>
      <c r="J13" s="83">
        <f t="shared" si="1"/>
        <v>6633</v>
      </c>
      <c r="K13" s="83">
        <f t="shared" si="1"/>
        <v>908924220</v>
      </c>
      <c r="L13" s="83">
        <f t="shared" si="1"/>
        <v>936984</v>
      </c>
      <c r="M13" s="83"/>
      <c r="N13" s="83">
        <f t="shared" si="1"/>
        <v>62749</v>
      </c>
      <c r="O13" s="83">
        <f t="shared" si="1"/>
        <v>48676</v>
      </c>
      <c r="P13" s="145">
        <f>SUM(P7:P12)</f>
        <v>28517155</v>
      </c>
    </row>
    <row r="17" spans="2:17" ht="15" thickBot="1" x14ac:dyDescent="0.4">
      <c r="C17" t="s">
        <v>6</v>
      </c>
    </row>
    <row r="18" spans="2:17" ht="45" customHeight="1" x14ac:dyDescent="0.35">
      <c r="C18" s="57"/>
      <c r="D18" s="58"/>
      <c r="E18" s="190" t="s">
        <v>92</v>
      </c>
      <c r="F18" s="190" t="s">
        <v>93</v>
      </c>
      <c r="G18" s="190" t="s">
        <v>94</v>
      </c>
      <c r="H18" s="190" t="s">
        <v>95</v>
      </c>
      <c r="I18" s="193" t="s">
        <v>96</v>
      </c>
      <c r="J18" s="193" t="s">
        <v>97</v>
      </c>
      <c r="K18" s="190" t="s">
        <v>98</v>
      </c>
      <c r="L18" s="190" t="s">
        <v>99</v>
      </c>
      <c r="M18" s="59"/>
      <c r="N18" s="188" t="s">
        <v>100</v>
      </c>
      <c r="O18" s="192" t="s">
        <v>101</v>
      </c>
      <c r="P18" s="132" t="s">
        <v>102</v>
      </c>
    </row>
    <row r="19" spans="2:17" ht="25.5" customHeight="1" thickBot="1" x14ac:dyDescent="0.4">
      <c r="B19" t="s">
        <v>103</v>
      </c>
      <c r="C19" s="60" t="s">
        <v>104</v>
      </c>
      <c r="D19" s="61" t="s">
        <v>105</v>
      </c>
      <c r="E19" s="191"/>
      <c r="F19" s="191"/>
      <c r="G19" s="191"/>
      <c r="H19" s="191"/>
      <c r="I19" s="194"/>
      <c r="J19" s="194"/>
      <c r="K19" s="191"/>
      <c r="L19" s="191"/>
      <c r="M19" s="59"/>
      <c r="N19" s="189"/>
      <c r="O19" s="189"/>
    </row>
    <row r="20" spans="2:17" ht="15" customHeight="1" thickBot="1" x14ac:dyDescent="0.4">
      <c r="B20" s="116">
        <f>+E20/$E$29</f>
        <v>0.38147286135098296</v>
      </c>
      <c r="C20" t="s">
        <v>106</v>
      </c>
      <c r="D20" s="62" t="s">
        <v>77</v>
      </c>
      <c r="E20" s="63">
        <v>1031246130</v>
      </c>
      <c r="F20" s="64">
        <v>0</v>
      </c>
      <c r="G20" s="65">
        <v>13556791</v>
      </c>
      <c r="H20" s="65">
        <v>0</v>
      </c>
      <c r="I20" s="66"/>
      <c r="J20" s="66"/>
      <c r="K20" s="67">
        <v>1031246130</v>
      </c>
      <c r="L20" s="67">
        <v>0</v>
      </c>
      <c r="M20" s="68"/>
      <c r="N20" s="69">
        <v>118313</v>
      </c>
      <c r="O20" s="69">
        <f t="shared" ref="O20:O25" si="2">+N20</f>
        <v>118313</v>
      </c>
      <c r="P20" s="119">
        <v>43325708.869684406</v>
      </c>
      <c r="Q20" s="143">
        <f>+E20/$E$29</f>
        <v>0.38147286135098296</v>
      </c>
    </row>
    <row r="21" spans="2:17" ht="15" customHeight="1" x14ac:dyDescent="0.35">
      <c r="B21" s="116">
        <f t="shared" ref="B21:B28" si="3">+E21/$E$29</f>
        <v>4.5329866120112621E-3</v>
      </c>
      <c r="C21" s="148" t="s">
        <v>113</v>
      </c>
      <c r="D21" s="62" t="s">
        <v>77</v>
      </c>
      <c r="E21" s="63">
        <v>12254148</v>
      </c>
      <c r="F21" s="64">
        <v>0</v>
      </c>
      <c r="G21" s="65">
        <v>23434</v>
      </c>
      <c r="H21" s="65">
        <v>0</v>
      </c>
      <c r="I21" s="66"/>
      <c r="J21" s="66"/>
      <c r="K21" s="67">
        <v>12254148</v>
      </c>
      <c r="L21" s="67">
        <v>0</v>
      </c>
      <c r="M21" s="68"/>
      <c r="N21" s="69">
        <v>1560</v>
      </c>
      <c r="O21" s="69">
        <f t="shared" si="2"/>
        <v>1560</v>
      </c>
      <c r="P21" s="119">
        <v>1047301</v>
      </c>
      <c r="Q21" s="143">
        <f t="shared" ref="Q21:Q28" si="4">+E21/$E$29</f>
        <v>4.5329866120112621E-3</v>
      </c>
    </row>
    <row r="22" spans="2:17" ht="15" customHeight="1" thickBot="1" x14ac:dyDescent="0.4">
      <c r="B22" s="116">
        <f t="shared" si="3"/>
        <v>0.10883036101387991</v>
      </c>
      <c r="C22" s="148" t="s">
        <v>107</v>
      </c>
      <c r="D22" s="62" t="s">
        <v>77</v>
      </c>
      <c r="E22" s="63">
        <v>294204123</v>
      </c>
      <c r="F22" s="64">
        <v>0</v>
      </c>
      <c r="G22" s="65">
        <v>46820151</v>
      </c>
      <c r="H22" s="65">
        <v>0</v>
      </c>
      <c r="I22" s="66"/>
      <c r="J22" s="66"/>
      <c r="K22" s="67">
        <v>294204123</v>
      </c>
      <c r="L22" s="67">
        <v>0</v>
      </c>
      <c r="M22" s="68"/>
      <c r="N22" s="69">
        <v>9506</v>
      </c>
      <c r="O22" s="69">
        <f t="shared" si="2"/>
        <v>9506</v>
      </c>
      <c r="P22" s="119">
        <v>8298798.3245650008</v>
      </c>
      <c r="Q22" s="143">
        <f t="shared" si="4"/>
        <v>0.10883036101387991</v>
      </c>
    </row>
    <row r="23" spans="2:17" ht="15" customHeight="1" thickBot="1" x14ac:dyDescent="0.4">
      <c r="B23" s="116">
        <f t="shared" si="3"/>
        <v>0.35060879450039584</v>
      </c>
      <c r="C23" s="148" t="s">
        <v>114</v>
      </c>
      <c r="D23" s="62" t="s">
        <v>109</v>
      </c>
      <c r="E23" s="63">
        <v>947810445</v>
      </c>
      <c r="F23" s="64">
        <v>2196478</v>
      </c>
      <c r="G23" s="65">
        <v>822425549</v>
      </c>
      <c r="H23" s="65">
        <v>1903615</v>
      </c>
      <c r="I23" s="66">
        <v>32284456</v>
      </c>
      <c r="J23" s="66">
        <v>64299</v>
      </c>
      <c r="K23" s="67">
        <v>915525989</v>
      </c>
      <c r="L23" s="67">
        <v>2132179</v>
      </c>
      <c r="M23" s="68"/>
      <c r="N23" s="69">
        <v>1075</v>
      </c>
      <c r="O23" s="69">
        <f t="shared" si="2"/>
        <v>1075</v>
      </c>
      <c r="P23" s="119">
        <v>10092674.907336278</v>
      </c>
      <c r="Q23" s="143">
        <f t="shared" si="4"/>
        <v>0.35060879450039584</v>
      </c>
    </row>
    <row r="24" spans="2:17" ht="15" customHeight="1" thickBot="1" x14ac:dyDescent="0.4">
      <c r="B24" s="116">
        <f t="shared" si="3"/>
        <v>3.3845814190691291E-2</v>
      </c>
      <c r="C24" t="s">
        <v>115</v>
      </c>
      <c r="D24" s="62" t="s">
        <v>109</v>
      </c>
      <c r="E24" s="63">
        <v>91496325</v>
      </c>
      <c r="F24" s="64">
        <v>210721</v>
      </c>
      <c r="G24" s="65">
        <v>91496325</v>
      </c>
      <c r="H24" s="65">
        <v>210721</v>
      </c>
      <c r="I24" s="66"/>
      <c r="J24" s="66"/>
      <c r="K24" s="67">
        <v>91496325</v>
      </c>
      <c r="L24" s="67">
        <v>210721</v>
      </c>
      <c r="M24" s="68"/>
      <c r="N24" s="69">
        <v>5</v>
      </c>
      <c r="O24" s="69">
        <f t="shared" si="2"/>
        <v>5</v>
      </c>
      <c r="P24" s="119">
        <v>811524.69547600427</v>
      </c>
      <c r="Q24" s="143">
        <f t="shared" si="4"/>
        <v>3.3845814190691291E-2</v>
      </c>
    </row>
    <row r="25" spans="2:17" ht="15" customHeight="1" thickBot="1" x14ac:dyDescent="0.4">
      <c r="B25" s="116">
        <f t="shared" si="3"/>
        <v>0.11466427613635467</v>
      </c>
      <c r="C25" t="s">
        <v>116</v>
      </c>
      <c r="D25" s="62" t="s">
        <v>109</v>
      </c>
      <c r="E25" s="63">
        <v>309975107</v>
      </c>
      <c r="F25" s="64">
        <v>530618</v>
      </c>
      <c r="G25" s="65">
        <v>178943959</v>
      </c>
      <c r="H25" s="65">
        <v>313135</v>
      </c>
      <c r="I25" s="66">
        <v>131031148</v>
      </c>
      <c r="J25" s="66">
        <v>217483</v>
      </c>
      <c r="K25" s="67">
        <v>178943959</v>
      </c>
      <c r="L25" s="67">
        <v>313135</v>
      </c>
      <c r="M25" s="68"/>
      <c r="N25" s="69">
        <v>5</v>
      </c>
      <c r="O25" s="69">
        <f t="shared" si="2"/>
        <v>5</v>
      </c>
      <c r="P25" s="119">
        <v>2250538.7308901227</v>
      </c>
      <c r="Q25" s="143">
        <f t="shared" si="4"/>
        <v>0.11466427613635467</v>
      </c>
    </row>
    <row r="26" spans="2:17" ht="15" customHeight="1" thickBot="1" x14ac:dyDescent="0.4">
      <c r="B26" s="116">
        <f t="shared" si="3"/>
        <v>1.6801844263316895E-3</v>
      </c>
      <c r="C26" t="s">
        <v>110</v>
      </c>
      <c r="D26" s="62" t="s">
        <v>77</v>
      </c>
      <c r="E26" s="63">
        <v>4542089</v>
      </c>
      <c r="F26" s="64">
        <v>0</v>
      </c>
      <c r="G26" s="65">
        <v>226032</v>
      </c>
      <c r="H26" s="65">
        <v>0</v>
      </c>
      <c r="I26" s="66"/>
      <c r="J26" s="66"/>
      <c r="K26" s="67">
        <v>4542089</v>
      </c>
      <c r="L26" s="67">
        <v>0</v>
      </c>
      <c r="M26" s="68"/>
      <c r="N26" s="69">
        <v>798</v>
      </c>
      <c r="O26" s="69">
        <v>798</v>
      </c>
      <c r="P26" s="119">
        <v>168978.72601973492</v>
      </c>
      <c r="Q26" s="143">
        <f t="shared" si="4"/>
        <v>1.6801844263316895E-3</v>
      </c>
    </row>
    <row r="27" spans="2:17" ht="15" customHeight="1" x14ac:dyDescent="0.35">
      <c r="B27" s="116">
        <f t="shared" si="3"/>
        <v>8.0169712613895367E-5</v>
      </c>
      <c r="C27" t="s">
        <v>111</v>
      </c>
      <c r="D27" s="70" t="s">
        <v>109</v>
      </c>
      <c r="E27" s="71">
        <v>216725</v>
      </c>
      <c r="F27" s="72">
        <v>602</v>
      </c>
      <c r="G27" s="73">
        <v>66254</v>
      </c>
      <c r="H27" s="73">
        <v>0</v>
      </c>
      <c r="I27" s="74"/>
      <c r="J27" s="74"/>
      <c r="K27" s="75">
        <v>216725</v>
      </c>
      <c r="L27" s="75">
        <v>602</v>
      </c>
      <c r="M27" s="68"/>
      <c r="N27" s="69">
        <v>236</v>
      </c>
      <c r="O27" s="69">
        <v>25</v>
      </c>
      <c r="P27" s="119">
        <v>22230.033915218482</v>
      </c>
      <c r="Q27" s="143">
        <f t="shared" si="4"/>
        <v>8.0169712613895367E-5</v>
      </c>
    </row>
    <row r="28" spans="2:17" ht="15" customHeight="1" x14ac:dyDescent="0.35">
      <c r="B28" s="116">
        <f t="shared" si="3"/>
        <v>4.2845520567384868E-3</v>
      </c>
      <c r="C28" s="147" t="s">
        <v>112</v>
      </c>
      <c r="D28" s="76" t="s">
        <v>109</v>
      </c>
      <c r="E28" s="77">
        <v>11582548</v>
      </c>
      <c r="F28" s="78">
        <v>32169</v>
      </c>
      <c r="G28" s="78">
        <v>11582548</v>
      </c>
      <c r="H28" s="78">
        <v>32169</v>
      </c>
      <c r="I28" s="79"/>
      <c r="J28" s="79"/>
      <c r="K28" s="80">
        <v>11582548</v>
      </c>
      <c r="L28" s="80">
        <v>32169</v>
      </c>
      <c r="M28" s="68"/>
      <c r="N28" s="81">
        <v>33008</v>
      </c>
      <c r="O28" s="81">
        <v>9</v>
      </c>
      <c r="P28" s="119">
        <v>550373.71211323002</v>
      </c>
      <c r="Q28" s="143">
        <f t="shared" si="4"/>
        <v>4.2845520567384868E-3</v>
      </c>
    </row>
    <row r="29" spans="2:17" x14ac:dyDescent="0.35">
      <c r="D29" s="82" t="s">
        <v>55</v>
      </c>
      <c r="E29" s="83">
        <f>SUM(E20:E28)</f>
        <v>2703327640</v>
      </c>
      <c r="F29" s="83">
        <f t="shared" ref="F29:O29" si="5">SUM(F20:F28)</f>
        <v>2970588</v>
      </c>
      <c r="G29" s="83">
        <f t="shared" si="5"/>
        <v>1165141043</v>
      </c>
      <c r="H29" s="83">
        <f t="shared" si="5"/>
        <v>2459640</v>
      </c>
      <c r="I29" s="83">
        <f t="shared" si="5"/>
        <v>163315604</v>
      </c>
      <c r="J29" s="83">
        <f t="shared" si="5"/>
        <v>281782</v>
      </c>
      <c r="K29" s="83">
        <f t="shared" si="5"/>
        <v>2540012036</v>
      </c>
      <c r="L29" s="83">
        <f t="shared" si="5"/>
        <v>2688806</v>
      </c>
      <c r="M29" s="83" t="s">
        <v>0</v>
      </c>
      <c r="N29" s="83">
        <f t="shared" si="5"/>
        <v>164506</v>
      </c>
      <c r="O29" s="83">
        <f t="shared" si="5"/>
        <v>131296</v>
      </c>
      <c r="P29" s="146">
        <f>SUM(P20:P28)</f>
        <v>66568129</v>
      </c>
      <c r="Q29" s="143">
        <f>SUM(Q20:Q28)</f>
        <v>1</v>
      </c>
    </row>
    <row r="31" spans="2:17" x14ac:dyDescent="0.35">
      <c r="G31" s="83" t="s">
        <v>0</v>
      </c>
      <c r="K31" s="83" t="s">
        <v>0</v>
      </c>
      <c r="L31" s="83" t="s">
        <v>0</v>
      </c>
      <c r="N31" s="83"/>
      <c r="P31" s="83" t="s">
        <v>0</v>
      </c>
    </row>
    <row r="32" spans="2:17" x14ac:dyDescent="0.35">
      <c r="N32" s="83"/>
    </row>
  </sheetData>
  <mergeCells count="20">
    <mergeCell ref="J18:J19"/>
    <mergeCell ref="K18:K19"/>
    <mergeCell ref="E5:E6"/>
    <mergeCell ref="F5:F6"/>
    <mergeCell ref="G5:G6"/>
    <mergeCell ref="H5:H6"/>
    <mergeCell ref="I5:I6"/>
    <mergeCell ref="J5:J6"/>
    <mergeCell ref="E18:E19"/>
    <mergeCell ref="F18:F19"/>
    <mergeCell ref="G18:G19"/>
    <mergeCell ref="H18:H19"/>
    <mergeCell ref="I18:I19"/>
    <mergeCell ref="N18:N19"/>
    <mergeCell ref="K5:K6"/>
    <mergeCell ref="L5:L6"/>
    <mergeCell ref="N5:N6"/>
    <mergeCell ref="O18:O19"/>
    <mergeCell ref="O5:O6"/>
    <mergeCell ref="L18:L19"/>
  </mergeCells>
  <dataValidations count="1">
    <dataValidation type="list" allowBlank="1" showInputMessage="1" showErrorMessage="1" sqref="D7:D12 D20:D28" xr:uid="{F5E0779B-5A74-4AAA-83AD-FFE7ACB2B5D0}">
      <formula1>"kWh, kW, kVA"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FE98-87E3-417B-A6E4-B04A9DFD7B7B}">
  <dimension ref="A1:O73"/>
  <sheetViews>
    <sheetView workbookViewId="0">
      <selection activeCell="E12" sqref="E12"/>
    </sheetView>
  </sheetViews>
  <sheetFormatPr defaultRowHeight="14.5" x14ac:dyDescent="0.35"/>
  <cols>
    <col min="1" max="1" width="75.453125" bestFit="1" customWidth="1"/>
    <col min="2" max="2" width="5.453125" bestFit="1" customWidth="1"/>
    <col min="3" max="3" width="11.54296875" customWidth="1"/>
    <col min="4" max="4" width="15.54296875" bestFit="1" customWidth="1"/>
    <col min="5" max="5" width="13.08984375" customWidth="1"/>
    <col min="6" max="7" width="13.453125" customWidth="1"/>
    <col min="8" max="8" width="13.90625" customWidth="1"/>
    <col min="9" max="9" width="13.08984375" customWidth="1"/>
    <col min="10" max="10" width="14.36328125" customWidth="1"/>
    <col min="11" max="11" width="13.36328125" customWidth="1"/>
    <col min="12" max="13" width="13.6328125" customWidth="1"/>
    <col min="14" max="14" width="11.54296875" customWidth="1"/>
  </cols>
  <sheetData>
    <row r="1" spans="1:14" x14ac:dyDescent="0.35">
      <c r="A1" s="198" t="s">
        <v>64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x14ac:dyDescent="0.35">
      <c r="A2" s="195" t="s">
        <v>65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7"/>
    </row>
    <row r="3" spans="1:14" ht="92.25" customHeight="1" x14ac:dyDescent="0.35">
      <c r="A3" s="133"/>
      <c r="B3" s="133"/>
      <c r="C3" s="134" t="s">
        <v>18</v>
      </c>
      <c r="D3" s="134" t="s">
        <v>66</v>
      </c>
      <c r="E3" s="134" t="s">
        <v>67</v>
      </c>
      <c r="F3" s="134" t="s">
        <v>68</v>
      </c>
      <c r="G3" s="134" t="s">
        <v>69</v>
      </c>
      <c r="H3" s="134" t="s">
        <v>70</v>
      </c>
      <c r="I3" s="134" t="s">
        <v>71</v>
      </c>
      <c r="J3" s="134" t="s">
        <v>72</v>
      </c>
      <c r="K3" s="134" t="s">
        <v>73</v>
      </c>
      <c r="L3" s="134" t="s">
        <v>74</v>
      </c>
      <c r="M3" s="134" t="s">
        <v>75</v>
      </c>
    </row>
    <row r="4" spans="1:14" x14ac:dyDescent="0.35">
      <c r="A4" s="135" t="s">
        <v>76</v>
      </c>
      <c r="B4" s="135">
        <v>1508</v>
      </c>
      <c r="C4" s="136">
        <f>+Continuity!EL19</f>
        <v>575839.66</v>
      </c>
      <c r="D4" s="135" t="s">
        <v>77</v>
      </c>
      <c r="E4" s="136">
        <f>'2024 Billing Determinents'!$E$20/'2024 Billing Determinents'!$E$29*'Allocation of Balances '!C4</f>
        <v>219667.20277957717</v>
      </c>
      <c r="F4" s="136">
        <f>'2024 Billing Determinents'!$E$21/'2024 Billing Determinents'!$E$29*'Allocation of Balances '!C4</f>
        <v>2610.2734694451174</v>
      </c>
      <c r="G4" s="136">
        <f>'2024 Billing Determinents'!$E$22/'2024 Billing Determinents'!$E$29*'Allocation of Balances '!C4</f>
        <v>62668.838083909868</v>
      </c>
      <c r="H4" s="136">
        <f>'2024 Billing Determinents'!$E$23/'2024 Billing Determinents'!$E$29*'Allocation of Balances '!C4</f>
        <v>201894.44901811783</v>
      </c>
      <c r="I4" s="136">
        <f>'2024 Billing Determinents'!$E$24/'2024 Billing Determinents'!$E$29*'Allocation of Balances '!C4</f>
        <v>19489.762135990848</v>
      </c>
      <c r="J4" s="136">
        <f>'2024 Billing Determinents'!$E$25/'2024 Billing Determinents'!$E$29*'Allocation of Balances '!C4</f>
        <v>66028.237784504599</v>
      </c>
      <c r="K4" s="136">
        <f>'2024 Billing Determinents'!$E$26/'2024 Billing Determinents'!$E$29*'Allocation of Balances '!C4</f>
        <v>967.5168287961352</v>
      </c>
      <c r="L4" s="136">
        <f>'2024 Billing Determinents'!$E$27/'2024 Billing Determinents'!$E$29*'Allocation of Balances '!C4</f>
        <v>46.164900053883223</v>
      </c>
      <c r="M4" s="136">
        <f>'2024 Billing Determinents'!$E$28/'2024 Billing Determinents'!$E$29*'Allocation of Balances '!C4</f>
        <v>2467.214999604591</v>
      </c>
      <c r="N4" s="119"/>
    </row>
    <row r="5" spans="1:14" x14ac:dyDescent="0.35">
      <c r="A5" s="135" t="s">
        <v>9</v>
      </c>
      <c r="B5" s="135">
        <v>1508</v>
      </c>
      <c r="C5" s="136">
        <f>+Continuity!EL24</f>
        <v>-2953344.42</v>
      </c>
      <c r="D5" s="135" t="s">
        <v>78</v>
      </c>
      <c r="E5" s="136">
        <f>'2024 Billing Determinents'!$P$20/'2024 Billing Determinents'!$P$29*'Allocation of Balances '!C5</f>
        <v>-1922177.2108515613</v>
      </c>
      <c r="F5" s="136">
        <f>'2024 Billing Determinents'!$P$21/'2024 Billing Determinents'!$P$29*'Allocation of Balances '!C5</f>
        <v>-46464.285700600354</v>
      </c>
      <c r="G5" s="136">
        <f>'2024 Billing Determinents'!$P$22/'2024 Billing Determinents'!$P$29*'Allocation of Balances '!C5</f>
        <v>-368182.34330364602</v>
      </c>
      <c r="H5" s="136">
        <f>'2024 Billing Determinents'!$P$23/'2024 Billing Determinents'!$P$29*'Allocation of Balances '!C5</f>
        <v>-447769.00850639219</v>
      </c>
      <c r="I5" s="136">
        <f>'2024 Billing Determinents'!$P$24/'2024 Billing Determinents'!$P$29*'Allocation of Balances '!C5</f>
        <v>-36003.895063300581</v>
      </c>
      <c r="J5" s="136">
        <f>'2024 Billing Determinents'!$P$25/'2024 Billing Determinents'!$P$29*'Allocation of Balances '!C5</f>
        <v>-99846.820133223606</v>
      </c>
      <c r="K5" s="136">
        <f>'2024 Billing Determinents'!$P$26/'2024 Billing Determinents'!$P$29*'Allocation of Balances '!C5</f>
        <v>-7496.8665198490553</v>
      </c>
      <c r="L5" s="136">
        <f>'2024 Billing Determinents'!$P$27/'2024 Billing Determinents'!$P$29*'Allocation of Balances '!C5</f>
        <v>-986.25194377809919</v>
      </c>
      <c r="M5" s="136">
        <f>'2024 Billing Determinents'!$P$28/'2024 Billing Determinents'!$P$29*'Allocation of Balances '!C5</f>
        <v>-24417.737977648347</v>
      </c>
      <c r="N5" s="119"/>
    </row>
    <row r="6" spans="1:14" x14ac:dyDescent="0.35">
      <c r="A6" s="135" t="s">
        <v>79</v>
      </c>
      <c r="B6" s="135">
        <v>1508</v>
      </c>
      <c r="C6" s="136">
        <f>+Continuity!EL23</f>
        <v>185933.47</v>
      </c>
      <c r="D6" s="135" t="s">
        <v>77</v>
      </c>
      <c r="E6" s="136">
        <f>'2024 Billing Determinents'!$E$20/'2024 Billing Determinents'!$E$29*'Allocation of Balances '!C6</f>
        <v>70928.572821817157</v>
      </c>
      <c r="F6" s="136">
        <f>'2024 Billing Determinents'!$E$21/'2024 Billing Determinents'!$E$29*'Allocation of Balances '!C6</f>
        <v>842.83393023479766</v>
      </c>
      <c r="G6" s="136">
        <f>'2024 Billing Determinents'!$E$22/'2024 Billing Determinents'!$E$29*'Allocation of Balances '!C6</f>
        <v>20235.206664663408</v>
      </c>
      <c r="H6" s="136">
        <f>'2024 Billing Determinents'!$E$23/'2024 Billing Determinents'!$E$29*'Allocation of Balances '!C6</f>
        <v>65189.909773975516</v>
      </c>
      <c r="I6" s="136">
        <f>'2024 Billing Determinents'!$E$24/'2024 Billing Determinents'!$E$29*'Allocation of Balances '!C6</f>
        <v>6293.0696774504731</v>
      </c>
      <c r="J6" s="136">
        <f>'2024 Billing Determinents'!$E$25/'2024 Billing Determinents'!$E$29*'Allocation of Balances '!C6</f>
        <v>21319.926747070618</v>
      </c>
      <c r="K6" s="136">
        <f>'2024 Billing Determinents'!$E$26/'2024 Billing Determinents'!$E$29*'Allocation of Balances '!C6</f>
        <v>312.40252062781042</v>
      </c>
      <c r="L6" s="136">
        <f>'2024 Billing Determinents'!$E$27/'2024 Billing Determinents'!$E$29*'Allocation of Balances '!C6</f>
        <v>14.906232855204335</v>
      </c>
      <c r="M6" s="136">
        <f>'2024 Billing Determinents'!$E$28/'2024 Billing Determinents'!$E$29*'Allocation of Balances '!C6</f>
        <v>796.64163130502379</v>
      </c>
      <c r="N6" s="119"/>
    </row>
    <row r="7" spans="1:14" x14ac:dyDescent="0.35">
      <c r="A7" s="135" t="s">
        <v>8</v>
      </c>
      <c r="B7" s="135">
        <v>1508</v>
      </c>
      <c r="C7" s="136">
        <f>+Continuity!EL18</f>
        <v>7640327.3200000003</v>
      </c>
      <c r="D7" s="135" t="s">
        <v>78</v>
      </c>
      <c r="E7" s="136">
        <f>'2024 Billing Determinents'!$P$20/'2024 Billing Determinents'!$P$29*'Allocation of Balances '!C7</f>
        <v>4972688.9144716095</v>
      </c>
      <c r="F7" s="136">
        <f>'2024 Billing Determinents'!$P$21/'2024 Billing Determinents'!$P$29*'Allocation of Balances '!C7</f>
        <v>120203.50523241113</v>
      </c>
      <c r="G7" s="136">
        <f>'2024 Billing Determinents'!$P$22/'2024 Billing Determinents'!$P$29*'Allocation of Balances '!C7</f>
        <v>952490.87686307379</v>
      </c>
      <c r="H7" s="136">
        <f>'2024 Billing Determinents'!$P$23/'2024 Billing Determinents'!$P$29*'Allocation of Balances '!C7</f>
        <v>1158382.2616735981</v>
      </c>
      <c r="I7" s="136">
        <f>'2024 Billing Determinents'!$P$24/'2024 Billing Determinents'!$P$29*'Allocation of Balances '!C7</f>
        <v>93142.385024821648</v>
      </c>
      <c r="J7" s="136">
        <f>'2024 Billing Determinents'!$P$25/'2024 Billing Determinents'!$P$29*'Allocation of Balances '!C7</f>
        <v>258304.57921294338</v>
      </c>
      <c r="K7" s="136">
        <f>'2024 Billing Determinents'!$P$26/'2024 Billing Determinents'!$P$29*'Allocation of Balances '!C7</f>
        <v>19394.457923060683</v>
      </c>
      <c r="L7" s="136">
        <f>'2024 Billing Determinents'!$P$27/'2024 Billing Determinents'!$P$29*'Allocation of Balances '!C7</f>
        <v>2551.442229163003</v>
      </c>
      <c r="M7" s="136">
        <f>'2024 Billing Determinents'!$P$28/'2024 Billing Determinents'!$P$29*'Allocation of Balances '!C7</f>
        <v>63168.897369318074</v>
      </c>
      <c r="N7" s="119"/>
    </row>
    <row r="8" spans="1:14" x14ac:dyDescent="0.35">
      <c r="A8" s="135" t="s">
        <v>10</v>
      </c>
      <c r="B8" s="135">
        <v>1508</v>
      </c>
      <c r="C8" s="136">
        <f>+Continuity!EL26</f>
        <v>2031406.58</v>
      </c>
      <c r="D8" s="135" t="s">
        <v>77</v>
      </c>
      <c r="E8" s="136">
        <f>'2024 Billing Determinents'!$E$20/'2024 Billing Determinents'!$E$29*'Allocation of Balances '!C8</f>
        <v>774926.48063981452</v>
      </c>
      <c r="F8" s="136">
        <f>'2024 Billing Determinents'!$E$21/'2024 Billing Determinents'!$E$29*'Allocation of Balances '!C8</f>
        <v>9208.3388306915858</v>
      </c>
      <c r="G8" s="136">
        <f>'2024 Billing Determinents'!$E$22/'2024 Billing Determinents'!$E$29*'Allocation of Balances '!C8</f>
        <v>221078.71146737112</v>
      </c>
      <c r="H8" s="136">
        <f>'2024 Billing Determinents'!$E$23/'2024 Billing Determinents'!$E$29*'Allocation of Balances '!C8</f>
        <v>712229.01215397194</v>
      </c>
      <c r="I8" s="136">
        <f>'2024 Billing Determinents'!$E$24/'2024 Billing Determinents'!$E$29*'Allocation of Balances '!C8</f>
        <v>68754.609652427665</v>
      </c>
      <c r="J8" s="136">
        <f>'2024 Billing Determinents'!$E$25/'2024 Billing Determinents'!$E$29*'Allocation of Balances '!C8</f>
        <v>232929.76503432787</v>
      </c>
      <c r="K8" s="136">
        <f>'2024 Billing Determinents'!$E$26/'2024 Billing Determinents'!$E$29*'Allocation of Balances '!C8</f>
        <v>3413.1376992637192</v>
      </c>
      <c r="L8" s="136">
        <f>'2024 Billing Determinents'!$E$27/'2024 Billing Determinents'!$E$29*'Allocation of Balances '!C8</f>
        <v>162.85728172057605</v>
      </c>
      <c r="M8" s="136">
        <f>'2024 Billing Determinents'!$E$28/'2024 Billing Determinents'!$E$29*'Allocation of Balances '!C8</f>
        <v>8703.6672404110959</v>
      </c>
      <c r="N8" s="119"/>
    </row>
    <row r="9" spans="1:14" x14ac:dyDescent="0.35">
      <c r="A9" s="135" t="s">
        <v>62</v>
      </c>
      <c r="B9" s="135">
        <v>1518</v>
      </c>
      <c r="C9" s="136">
        <f>+Continuity!EL32</f>
        <v>553759.82000000018</v>
      </c>
      <c r="D9" s="135" t="s">
        <v>80</v>
      </c>
      <c r="E9" s="136">
        <f>'2024 Billing Determinents'!$O$20/'2024 Billing Determinents'!$O$29*'Allocation of Balances '!C9</f>
        <v>499002.14464766654</v>
      </c>
      <c r="F9" s="136">
        <f>'2024 Billing Determinents'!$O$21/'2024 Billing Determinents'!$O$29*'Allocation of Balances '!C9</f>
        <v>6579.525036558618</v>
      </c>
      <c r="G9" s="136">
        <f>'2024 Billing Determinents'!$O$22/'2024 Billing Determinents'!$O$29*'Allocation of Balances '!C9</f>
        <v>40092.92628046553</v>
      </c>
      <c r="H9" s="136">
        <f>'2024 Billing Determinents'!$O$23/'2024 Billing Determinents'!$O$29*'Allocation of Balances '!C9</f>
        <v>4533.9675732695596</v>
      </c>
      <c r="I9" s="136">
        <f>'2024 Billing Determinents'!$O$24/'2024 Billing Determinents'!$O$29*'Allocation of Balances '!C9</f>
        <v>21.088221271021212</v>
      </c>
      <c r="J9" s="136">
        <f>'2024 Billing Determinents'!$O$25/'2024 Billing Determinents'!$O$29*'Allocation of Balances '!C9</f>
        <v>21.088221271021212</v>
      </c>
      <c r="K9" s="136">
        <f>'2024 Billing Determinents'!$O$26/'2024 Billing Determinents'!$O$29*'Allocation of Balances '!C9</f>
        <v>3365.6801148549853</v>
      </c>
      <c r="L9" s="136">
        <f>'2024 Billing Determinents'!$O$27/'2024 Billing Determinents'!$O$29*'Allocation of Balances '!C9</f>
        <v>105.44110635510606</v>
      </c>
      <c r="M9" s="136">
        <f>'2024 Billing Determinents'!$O$28/'2024 Billing Determinents'!$O$29*'Allocation of Balances '!C9</f>
        <v>37.958798287838178</v>
      </c>
      <c r="N9" s="119"/>
    </row>
    <row r="10" spans="1:14" x14ac:dyDescent="0.35">
      <c r="A10" s="135" t="s">
        <v>63</v>
      </c>
      <c r="B10" s="135">
        <v>1548</v>
      </c>
      <c r="C10" s="136">
        <f>+Continuity!EL34</f>
        <v>99522.649999999921</v>
      </c>
      <c r="D10" s="135" t="s">
        <v>80</v>
      </c>
      <c r="E10" s="136">
        <f>'2024 Billing Determinents'!$O$20/'2024 Billing Determinents'!$O$29*'Allocation of Balances '!C10</f>
        <v>89681.508114870157</v>
      </c>
      <c r="F10" s="136">
        <f>'2024 Billing Determinents'!$O$21/'2024 Billing Determinents'!$O$29*'Allocation of Balances '!C10</f>
        <v>1182.4833505971233</v>
      </c>
      <c r="G10" s="136">
        <f>'2024 Billing Determinents'!$O$22/'2024 Billing Determinents'!$O$29*'Allocation of Balances '!C10</f>
        <v>7205.5684171642642</v>
      </c>
      <c r="H10" s="136">
        <f>'2024 Billing Determinents'!$O$23/'2024 Billing Determinents'!$O$29*'Allocation of Balances '!C10</f>
        <v>814.85230890506875</v>
      </c>
      <c r="I10" s="136">
        <f>'2024 Billing Determinents'!$O$24/'2024 Billing Determinents'!$O$29*'Allocation of Balances '!C10</f>
        <v>3.7900107390933431</v>
      </c>
      <c r="J10" s="136">
        <f>'2024 Billing Determinents'!$O$25/'2024 Billing Determinents'!$O$29*'Allocation of Balances '!C10</f>
        <v>3.7900107390933431</v>
      </c>
      <c r="K10" s="136">
        <f>'2024 Billing Determinents'!$O$26/'2024 Billing Determinents'!$O$29*'Allocation of Balances '!C10</f>
        <v>604.88571395929762</v>
      </c>
      <c r="L10" s="136">
        <f>'2024 Billing Determinents'!$O$27/'2024 Billing Determinents'!$O$29*'Allocation of Balances '!C10</f>
        <v>18.950053695466718</v>
      </c>
      <c r="M10" s="136">
        <f>'2024 Billing Determinents'!$O$28/'2024 Billing Determinents'!$O$29*'Allocation of Balances '!C10</f>
        <v>6.8220193303680174</v>
      </c>
      <c r="N10" s="119"/>
    </row>
    <row r="11" spans="1:14" x14ac:dyDescent="0.35">
      <c r="A11" s="135" t="s">
        <v>81</v>
      </c>
      <c r="B11" s="135">
        <v>1555</v>
      </c>
      <c r="C11" s="136">
        <f>+Continuity!EL36</f>
        <v>-29458.490000000049</v>
      </c>
      <c r="D11" s="135" t="s">
        <v>77</v>
      </c>
      <c r="E11" s="136">
        <f>'2024 Billing Determinents'!$E$20/'2024 Billing Determinents'!$E$29*'Allocation of Balances '!C11</f>
        <v>-11237.614471379336</v>
      </c>
      <c r="F11" s="136">
        <f>'2024 Billing Determinents'!$E$21/'2024 Billing Determinents'!$E$29*'Allocation of Balances '!C11</f>
        <v>-133.53494078006787</v>
      </c>
      <c r="G11" s="136">
        <f>'2024 Billing Determinents'!$E$22/'2024 Billing Determinents'!$E$29*'Allocation of Balances '!C11</f>
        <v>-3205.9781016237766</v>
      </c>
      <c r="H11" s="136">
        <f>'2024 Billing Determinents'!$E$23/'2024 Billing Determinents'!$E$29*'Allocation of Balances '!C11</f>
        <v>-10328.405666701983</v>
      </c>
      <c r="I11" s="136">
        <f>'2024 Billing Determinents'!$E$24/'2024 Billing Determinents'!$E$29*'Allocation of Balances '!C11</f>
        <v>-997.04657887833912</v>
      </c>
      <c r="J11" s="136">
        <f>'2024 Billing Determinents'!$E$25/'2024 Billing Determinents'!$E$29*'Allocation of Balances '!C11</f>
        <v>-3377.8364319200482</v>
      </c>
      <c r="K11" s="136">
        <f>'2024 Billing Determinents'!$E$26/'2024 Billing Determinents'!$E$29*'Allocation of Balances '!C11</f>
        <v>-49.495696121247896</v>
      </c>
      <c r="L11" s="136">
        <f>'2024 Billing Determinents'!$E$27/'2024 Billing Determinents'!$E$29*'Allocation of Balances '!C11</f>
        <v>-2.3616786773393144</v>
      </c>
      <c r="M11" s="136">
        <f>'2024 Billing Determinents'!$E$28/'2024 Billing Determinents'!$E$29*'Allocation of Balances '!C11</f>
        <v>-126.21643391791035</v>
      </c>
      <c r="N11" s="119"/>
    </row>
    <row r="12" spans="1:14" s="118" customFormat="1" x14ac:dyDescent="0.35">
      <c r="A12" s="137"/>
      <c r="B12" s="137"/>
      <c r="C12" s="138"/>
      <c r="D12" s="137"/>
      <c r="E12" s="138"/>
      <c r="F12" s="138"/>
      <c r="G12" s="138"/>
      <c r="H12" s="138"/>
      <c r="I12" s="138"/>
      <c r="J12" s="138"/>
      <c r="K12" s="138"/>
      <c r="L12" s="138"/>
      <c r="M12" s="138"/>
      <c r="N12" s="119"/>
    </row>
    <row r="13" spans="1:14" s="118" customFormat="1" x14ac:dyDescent="0.35">
      <c r="A13" s="137" t="s">
        <v>82</v>
      </c>
      <c r="B13" s="137"/>
      <c r="C13" s="138">
        <f>SUM(C4:C11)</f>
        <v>8103986.5900000017</v>
      </c>
      <c r="D13" s="138"/>
      <c r="E13" s="138">
        <f t="shared" ref="E13:M13" si="0">SUM(E4:E11)</f>
        <v>4693479.9981524134</v>
      </c>
      <c r="F13" s="138">
        <f t="shared" si="0"/>
        <v>94029.139208557943</v>
      </c>
      <c r="G13" s="138">
        <f t="shared" si="0"/>
        <v>932383.80637137813</v>
      </c>
      <c r="H13" s="138">
        <f t="shared" si="0"/>
        <v>1684947.0383287438</v>
      </c>
      <c r="I13" s="138">
        <f t="shared" si="0"/>
        <v>150703.76308052184</v>
      </c>
      <c r="J13" s="138">
        <f t="shared" si="0"/>
        <v>475382.73044571292</v>
      </c>
      <c r="K13" s="138">
        <f t="shared" si="0"/>
        <v>20511.718584592327</v>
      </c>
      <c r="L13" s="138">
        <f t="shared" si="0"/>
        <v>1911.1481813878011</v>
      </c>
      <c r="M13" s="138">
        <f t="shared" si="0"/>
        <v>50637.247646690739</v>
      </c>
      <c r="N13" s="119"/>
    </row>
    <row r="14" spans="1:14" s="118" customFormat="1" x14ac:dyDescent="0.35"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</row>
    <row r="15" spans="1:14" s="118" customFormat="1" x14ac:dyDescent="0.35">
      <c r="A15"/>
      <c r="B15"/>
      <c r="C15" t="s">
        <v>83</v>
      </c>
      <c r="D15" s="131"/>
      <c r="E15" s="131">
        <f>+E27+E36-E13</f>
        <v>0</v>
      </c>
      <c r="F15" s="131">
        <f>+F27+F36-F13</f>
        <v>0</v>
      </c>
      <c r="G15" s="131">
        <f t="shared" ref="G15:M15" si="1">+G27+G36-G13</f>
        <v>0</v>
      </c>
      <c r="H15" s="131">
        <f t="shared" si="1"/>
        <v>0</v>
      </c>
      <c r="I15" s="131">
        <f t="shared" si="1"/>
        <v>0</v>
      </c>
      <c r="J15" s="131">
        <f t="shared" si="1"/>
        <v>0</v>
      </c>
      <c r="K15" s="131">
        <f t="shared" si="1"/>
        <v>0</v>
      </c>
      <c r="L15" s="131">
        <f t="shared" si="1"/>
        <v>0</v>
      </c>
      <c r="M15" s="131">
        <f t="shared" si="1"/>
        <v>0</v>
      </c>
    </row>
    <row r="16" spans="1:14" s="118" customFormat="1" x14ac:dyDescent="0.35">
      <c r="A16" s="51" t="s">
        <v>84</v>
      </c>
      <c r="B16"/>
      <c r="C16" s="119">
        <f>+C4+C6+C8+C11</f>
        <v>2763721.2199999997</v>
      </c>
      <c r="D16" s="143"/>
      <c r="E16" s="131"/>
      <c r="F16" s="131"/>
      <c r="G16" s="131"/>
      <c r="H16" s="131"/>
      <c r="I16" s="131"/>
      <c r="J16" s="131"/>
      <c r="K16" s="131"/>
      <c r="L16" s="131"/>
      <c r="M16" s="131"/>
    </row>
    <row r="17" spans="1:13" s="118" customFormat="1" x14ac:dyDescent="0.35">
      <c r="A17" s="51" t="s">
        <v>85</v>
      </c>
      <c r="B17"/>
      <c r="C17" s="119">
        <f>+C5+C7+C9+C10</f>
        <v>5340265.370000001</v>
      </c>
      <c r="D17" s="143"/>
      <c r="E17" s="131"/>
      <c r="F17" s="131"/>
      <c r="G17" s="131"/>
      <c r="H17" s="131"/>
      <c r="I17" s="131"/>
      <c r="J17" s="131"/>
      <c r="K17" s="131"/>
      <c r="L17" s="131"/>
      <c r="M17" s="131"/>
    </row>
    <row r="18" spans="1:13" s="118" customFormat="1" x14ac:dyDescent="0.35">
      <c r="C18" s="142">
        <f>SUM(C16:C17)</f>
        <v>8103986.5900000008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</row>
    <row r="19" spans="1:13" s="118" customFormat="1" x14ac:dyDescent="0.35"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</row>
    <row r="20" spans="1:13" s="118" customFormat="1" x14ac:dyDescent="0.35">
      <c r="A20" s="195" t="s">
        <v>86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7"/>
    </row>
    <row r="21" spans="1:13" s="118" customFormat="1" ht="72.5" x14ac:dyDescent="0.35">
      <c r="A21" s="133"/>
      <c r="B21" s="133"/>
      <c r="C21" s="134" t="s">
        <v>18</v>
      </c>
      <c r="D21" s="134" t="s">
        <v>66</v>
      </c>
      <c r="E21" s="134" t="s">
        <v>67</v>
      </c>
      <c r="F21" s="134" t="s">
        <v>68</v>
      </c>
      <c r="G21" s="134" t="s">
        <v>69</v>
      </c>
      <c r="H21" s="134" t="s">
        <v>70</v>
      </c>
      <c r="I21" s="134" t="s">
        <v>71</v>
      </c>
      <c r="J21" s="134" t="s">
        <v>72</v>
      </c>
      <c r="K21" s="134" t="s">
        <v>73</v>
      </c>
      <c r="L21" s="134" t="s">
        <v>74</v>
      </c>
      <c r="M21" s="134" t="s">
        <v>75</v>
      </c>
    </row>
    <row r="22" spans="1:13" s="118" customFormat="1" x14ac:dyDescent="0.35">
      <c r="A22" s="135" t="s">
        <v>76</v>
      </c>
      <c r="B22" s="135">
        <v>1508</v>
      </c>
      <c r="C22" s="136">
        <f>+C4</f>
        <v>575839.66</v>
      </c>
      <c r="D22" s="135" t="s">
        <v>77</v>
      </c>
      <c r="E22" s="136">
        <f>'2024 Billing Determinents'!$E$20/'2024 Billing Determinents'!$E$29*'Allocation of Balances '!C22</f>
        <v>219667.20277957717</v>
      </c>
      <c r="F22" s="136">
        <f>'2024 Billing Determinents'!$E$21/'2024 Billing Determinents'!$E$29*'Allocation of Balances '!C22</f>
        <v>2610.2734694451174</v>
      </c>
      <c r="G22" s="136">
        <f>'2024 Billing Determinents'!$E$22/'2024 Billing Determinents'!$E$29*'Allocation of Balances '!C22</f>
        <v>62668.838083909868</v>
      </c>
      <c r="H22" s="136">
        <f>'2024 Billing Determinents'!$E$23/'2024 Billing Determinents'!$E$29*'Allocation of Balances '!C22</f>
        <v>201894.44901811783</v>
      </c>
      <c r="I22" s="136">
        <f>'2024 Billing Determinents'!$E$24/'2024 Billing Determinents'!$E$29*'Allocation of Balances '!C22</f>
        <v>19489.762135990848</v>
      </c>
      <c r="J22" s="136">
        <f>'2024 Billing Determinents'!$E$25/'2024 Billing Determinents'!$E$29*'Allocation of Balances '!C22</f>
        <v>66028.237784504599</v>
      </c>
      <c r="K22" s="136">
        <f>'2024 Billing Determinents'!$E$26/'2024 Billing Determinents'!$E$29*'Allocation of Balances '!C22</f>
        <v>967.5168287961352</v>
      </c>
      <c r="L22" s="136">
        <f>'2024 Billing Determinents'!$E$27/'2024 Billing Determinents'!$E$29*'Allocation of Balances '!C22</f>
        <v>46.164900053883223</v>
      </c>
      <c r="M22" s="136">
        <f>'2024 Billing Determinents'!$E$28/'2024 Billing Determinents'!$E$29*'Allocation of Balances '!C22</f>
        <v>2467.214999604591</v>
      </c>
    </row>
    <row r="23" spans="1:13" s="118" customFormat="1" x14ac:dyDescent="0.35">
      <c r="A23" s="135" t="s">
        <v>79</v>
      </c>
      <c r="B23" s="135">
        <v>1508</v>
      </c>
      <c r="C23" s="136">
        <f>+C6</f>
        <v>185933.47</v>
      </c>
      <c r="D23" s="135" t="s">
        <v>77</v>
      </c>
      <c r="E23" s="136">
        <f>'2024 Billing Determinents'!$E$20/'2024 Billing Determinents'!$E$29*'Allocation of Balances '!C23</f>
        <v>70928.572821817157</v>
      </c>
      <c r="F23" s="136">
        <f>'2024 Billing Determinents'!$E$21/'2024 Billing Determinents'!$E$29*'Allocation of Balances '!C23</f>
        <v>842.83393023479766</v>
      </c>
      <c r="G23" s="136">
        <f>'2024 Billing Determinents'!$E$22/'2024 Billing Determinents'!$E$29*'Allocation of Balances '!C23</f>
        <v>20235.206664663408</v>
      </c>
      <c r="H23" s="136">
        <f>'2024 Billing Determinents'!$E$23/'2024 Billing Determinents'!$E$29*'Allocation of Balances '!C23</f>
        <v>65189.909773975516</v>
      </c>
      <c r="I23" s="136">
        <f>'2024 Billing Determinents'!$E$24/'2024 Billing Determinents'!$E$29*'Allocation of Balances '!C23</f>
        <v>6293.0696774504731</v>
      </c>
      <c r="J23" s="136">
        <f>'2024 Billing Determinents'!$E$25/'2024 Billing Determinents'!$E$29*'Allocation of Balances '!C23</f>
        <v>21319.926747070618</v>
      </c>
      <c r="K23" s="136">
        <f>'2024 Billing Determinents'!$E$26/'2024 Billing Determinents'!$E$29*'Allocation of Balances '!C23</f>
        <v>312.40252062781042</v>
      </c>
      <c r="L23" s="136">
        <f>'2024 Billing Determinents'!$E$27/'2024 Billing Determinents'!$E$29*'Allocation of Balances '!C23</f>
        <v>14.906232855204335</v>
      </c>
      <c r="M23" s="136">
        <f>'2024 Billing Determinents'!$E$28/'2024 Billing Determinents'!$E$29*'Allocation of Balances '!C23</f>
        <v>796.64163130502379</v>
      </c>
    </row>
    <row r="24" spans="1:13" s="118" customFormat="1" x14ac:dyDescent="0.35">
      <c r="A24" s="135" t="s">
        <v>10</v>
      </c>
      <c r="B24" s="135">
        <v>1508</v>
      </c>
      <c r="C24" s="136">
        <f>+C8</f>
        <v>2031406.58</v>
      </c>
      <c r="D24" s="135" t="s">
        <v>77</v>
      </c>
      <c r="E24" s="136">
        <f>'2024 Billing Determinents'!$E$20/'2024 Billing Determinents'!$E$29*'Allocation of Balances '!C24</f>
        <v>774926.48063981452</v>
      </c>
      <c r="F24" s="136">
        <f>'2024 Billing Determinents'!$E$21/'2024 Billing Determinents'!$E$29*'Allocation of Balances '!C24</f>
        <v>9208.3388306915858</v>
      </c>
      <c r="G24" s="136">
        <f>'2024 Billing Determinents'!$E$22/'2024 Billing Determinents'!$E$29*'Allocation of Balances '!C24</f>
        <v>221078.71146737112</v>
      </c>
      <c r="H24" s="136">
        <f>'2024 Billing Determinents'!$E$23/'2024 Billing Determinents'!$E$29*'Allocation of Balances '!C24</f>
        <v>712229.01215397194</v>
      </c>
      <c r="I24" s="136">
        <f>'2024 Billing Determinents'!$E$24/'2024 Billing Determinents'!$E$29*'Allocation of Balances '!C24</f>
        <v>68754.609652427665</v>
      </c>
      <c r="J24" s="136">
        <f>'2024 Billing Determinents'!$E$25/'2024 Billing Determinents'!$E$29*'Allocation of Balances '!C24</f>
        <v>232929.76503432787</v>
      </c>
      <c r="K24" s="136">
        <f>'2024 Billing Determinents'!$E$26/'2024 Billing Determinents'!$E$29*'Allocation of Balances '!C24</f>
        <v>3413.1376992637192</v>
      </c>
      <c r="L24" s="136">
        <f>'2024 Billing Determinents'!$E$27/'2024 Billing Determinents'!$E$29*'Allocation of Balances '!C24</f>
        <v>162.85728172057605</v>
      </c>
      <c r="M24" s="136">
        <f>'2024 Billing Determinents'!$E$28/'2024 Billing Determinents'!$E$29*'Allocation of Balances '!C24</f>
        <v>8703.6672404110959</v>
      </c>
    </row>
    <row r="25" spans="1:13" s="118" customFormat="1" x14ac:dyDescent="0.35">
      <c r="A25" s="135" t="s">
        <v>81</v>
      </c>
      <c r="B25" s="135">
        <v>1555</v>
      </c>
      <c r="C25" s="136">
        <f>+C11</f>
        <v>-29458.490000000049</v>
      </c>
      <c r="D25" s="135" t="s">
        <v>77</v>
      </c>
      <c r="E25" s="136">
        <f>'2024 Billing Determinents'!$E$20/'2024 Billing Determinents'!$E$29*'Allocation of Balances '!C25</f>
        <v>-11237.614471379336</v>
      </c>
      <c r="F25" s="136">
        <f>'2024 Billing Determinents'!$E$21/'2024 Billing Determinents'!$E$29*'Allocation of Balances '!C25</f>
        <v>-133.53494078006787</v>
      </c>
      <c r="G25" s="136">
        <f>'2024 Billing Determinents'!$E$22/'2024 Billing Determinents'!$E$29*'Allocation of Balances '!C25</f>
        <v>-3205.9781016237766</v>
      </c>
      <c r="H25" s="136">
        <f>'2024 Billing Determinents'!$E$23/'2024 Billing Determinents'!$E$29*'Allocation of Balances '!C25</f>
        <v>-10328.405666701983</v>
      </c>
      <c r="I25" s="136">
        <f>'2024 Billing Determinents'!$E$24/'2024 Billing Determinents'!$E$29*'Allocation of Balances '!C25</f>
        <v>-997.04657887833912</v>
      </c>
      <c r="J25" s="136">
        <f>'2024 Billing Determinents'!$E$25/'2024 Billing Determinents'!$E$29*'Allocation of Balances '!C25</f>
        <v>-3377.8364319200482</v>
      </c>
      <c r="K25" s="136">
        <f>'2024 Billing Determinents'!$E$26/'2024 Billing Determinents'!$E$29*'Allocation of Balances '!C25</f>
        <v>-49.495696121247896</v>
      </c>
      <c r="L25" s="136">
        <f>'2024 Billing Determinents'!$E$27/'2024 Billing Determinents'!$E$29*'Allocation of Balances '!C25</f>
        <v>-2.3616786773393144</v>
      </c>
      <c r="M25" s="136">
        <f>'2024 Billing Determinents'!$E$28/'2024 Billing Determinents'!$E$29*'Allocation of Balances '!C25</f>
        <v>-126.21643391791035</v>
      </c>
    </row>
    <row r="26" spans="1:13" s="118" customFormat="1" x14ac:dyDescent="0.35">
      <c r="A26" s="137"/>
      <c r="B26" s="137"/>
      <c r="C26" s="138"/>
      <c r="D26" s="137"/>
      <c r="E26" s="138"/>
      <c r="F26" s="138"/>
      <c r="G26" s="138"/>
      <c r="H26" s="138"/>
      <c r="I26" s="138"/>
      <c r="J26" s="138"/>
      <c r="K26" s="138"/>
      <c r="L26" s="138"/>
      <c r="M26" s="138"/>
    </row>
    <row r="27" spans="1:13" s="118" customFormat="1" x14ac:dyDescent="0.35">
      <c r="A27" s="137" t="s">
        <v>82</v>
      </c>
      <c r="B27" s="137"/>
      <c r="C27" s="138">
        <f>SUM(C22:C25)</f>
        <v>2763721.2199999997</v>
      </c>
      <c r="D27" s="138"/>
      <c r="E27" s="138">
        <f t="shared" ref="E27:M27" si="2">SUM(E22:E25)</f>
        <v>1054284.6417698294</v>
      </c>
      <c r="F27" s="138">
        <f t="shared" si="2"/>
        <v>12527.911289591433</v>
      </c>
      <c r="G27" s="138">
        <f t="shared" si="2"/>
        <v>300776.77811432065</v>
      </c>
      <c r="H27" s="138">
        <f t="shared" si="2"/>
        <v>968984.96527936333</v>
      </c>
      <c r="I27" s="138">
        <f t="shared" si="2"/>
        <v>93540.39488699066</v>
      </c>
      <c r="J27" s="138">
        <f t="shared" si="2"/>
        <v>316900.09313398303</v>
      </c>
      <c r="K27" s="138">
        <f t="shared" si="2"/>
        <v>4643.5613525664166</v>
      </c>
      <c r="L27" s="138">
        <f t="shared" si="2"/>
        <v>221.56673595232431</v>
      </c>
      <c r="M27" s="138">
        <f t="shared" si="2"/>
        <v>11841.3074374028</v>
      </c>
    </row>
    <row r="28" spans="1:13" s="118" customFormat="1" x14ac:dyDescent="0.35"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13" s="118" customFormat="1" x14ac:dyDescent="0.35">
      <c r="A29" s="195" t="s">
        <v>87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7"/>
    </row>
    <row r="30" spans="1:13" s="118" customFormat="1" ht="72.5" x14ac:dyDescent="0.35">
      <c r="A30" s="133"/>
      <c r="B30" s="133"/>
      <c r="C30" s="134" t="s">
        <v>18</v>
      </c>
      <c r="D30" s="134" t="s">
        <v>66</v>
      </c>
      <c r="E30" s="134" t="s">
        <v>67</v>
      </c>
      <c r="F30" s="134" t="s">
        <v>68</v>
      </c>
      <c r="G30" s="134" t="s">
        <v>69</v>
      </c>
      <c r="H30" s="134" t="s">
        <v>70</v>
      </c>
      <c r="I30" s="134" t="s">
        <v>71</v>
      </c>
      <c r="J30" s="134" t="s">
        <v>72</v>
      </c>
      <c r="K30" s="134" t="s">
        <v>73</v>
      </c>
      <c r="L30" s="134" t="s">
        <v>74</v>
      </c>
      <c r="M30" s="134" t="s">
        <v>75</v>
      </c>
    </row>
    <row r="31" spans="1:13" s="118" customFormat="1" x14ac:dyDescent="0.35">
      <c r="A31" s="135" t="s">
        <v>9</v>
      </c>
      <c r="B31" s="135">
        <v>1508</v>
      </c>
      <c r="C31" s="136">
        <f>+C5</f>
        <v>-2953344.42</v>
      </c>
      <c r="D31" s="135" t="s">
        <v>78</v>
      </c>
      <c r="E31" s="136">
        <f>'2024 Billing Determinents'!$P$20/'2024 Billing Determinents'!$P$29*'Allocation of Balances '!C31</f>
        <v>-1922177.2108515613</v>
      </c>
      <c r="F31" s="136">
        <f>'2024 Billing Determinents'!$P$21/'2024 Billing Determinents'!$P$29*'Allocation of Balances '!C31</f>
        <v>-46464.285700600354</v>
      </c>
      <c r="G31" s="136">
        <f>'2024 Billing Determinents'!$P$22/'2024 Billing Determinents'!$P$29*'Allocation of Balances '!C31</f>
        <v>-368182.34330364602</v>
      </c>
      <c r="H31" s="136">
        <f>'2024 Billing Determinents'!$P$23/'2024 Billing Determinents'!$P$29*'Allocation of Balances '!C31</f>
        <v>-447769.00850639219</v>
      </c>
      <c r="I31" s="136">
        <f>'2024 Billing Determinents'!$P$24/'2024 Billing Determinents'!$P$29*'Allocation of Balances '!C31</f>
        <v>-36003.895063300581</v>
      </c>
      <c r="J31" s="136">
        <f>'2024 Billing Determinents'!$P$25/'2024 Billing Determinents'!$P$29*'Allocation of Balances '!C31</f>
        <v>-99846.820133223606</v>
      </c>
      <c r="K31" s="136">
        <f>'2024 Billing Determinents'!$P$26/'2024 Billing Determinents'!$P$29*'Allocation of Balances '!C31</f>
        <v>-7496.8665198490553</v>
      </c>
      <c r="L31" s="136">
        <f>'2024 Billing Determinents'!$P$27/'2024 Billing Determinents'!$P$29*'Allocation of Balances '!C31</f>
        <v>-986.25194377809919</v>
      </c>
      <c r="M31" s="136">
        <f>'2024 Billing Determinents'!$P$28/'2024 Billing Determinents'!$P$29*'Allocation of Balances '!C31</f>
        <v>-24417.737977648347</v>
      </c>
    </row>
    <row r="32" spans="1:13" s="118" customFormat="1" x14ac:dyDescent="0.35">
      <c r="A32" s="135" t="s">
        <v>8</v>
      </c>
      <c r="B32" s="135">
        <v>1508</v>
      </c>
      <c r="C32" s="136">
        <f>+C7</f>
        <v>7640327.3200000003</v>
      </c>
      <c r="D32" s="135" t="s">
        <v>78</v>
      </c>
      <c r="E32" s="136">
        <f>'2024 Billing Determinents'!$P$20/'2024 Billing Determinents'!$P$29*'Allocation of Balances '!C32</f>
        <v>4972688.9144716095</v>
      </c>
      <c r="F32" s="136">
        <f>'2024 Billing Determinents'!$P$21/'2024 Billing Determinents'!$P$29*'Allocation of Balances '!C32</f>
        <v>120203.50523241113</v>
      </c>
      <c r="G32" s="136">
        <f>'2024 Billing Determinents'!$P$22/'2024 Billing Determinents'!$P$29*'Allocation of Balances '!C32</f>
        <v>952490.87686307379</v>
      </c>
      <c r="H32" s="136">
        <f>'2024 Billing Determinents'!$P$23/'2024 Billing Determinents'!$P$29*'Allocation of Balances '!C32</f>
        <v>1158382.2616735981</v>
      </c>
      <c r="I32" s="136">
        <f>'2024 Billing Determinents'!$P$24/'2024 Billing Determinents'!$P$29*'Allocation of Balances '!C32</f>
        <v>93142.385024821648</v>
      </c>
      <c r="J32" s="136">
        <f>'2024 Billing Determinents'!$P$25/'2024 Billing Determinents'!$P$29*'Allocation of Balances '!C32</f>
        <v>258304.57921294338</v>
      </c>
      <c r="K32" s="136">
        <f>'2024 Billing Determinents'!$P$26/'2024 Billing Determinents'!$P$29*'Allocation of Balances '!C32</f>
        <v>19394.457923060683</v>
      </c>
      <c r="L32" s="136">
        <f>'2024 Billing Determinents'!$P$27/'2024 Billing Determinents'!$P$29*'Allocation of Balances '!C32</f>
        <v>2551.442229163003</v>
      </c>
      <c r="M32" s="136">
        <f>'2024 Billing Determinents'!$P$28/'2024 Billing Determinents'!$P$29*'Allocation of Balances '!C32</f>
        <v>63168.897369318074</v>
      </c>
    </row>
    <row r="33" spans="1:14" s="118" customFormat="1" x14ac:dyDescent="0.35">
      <c r="A33" s="135" t="s">
        <v>62</v>
      </c>
      <c r="B33" s="135">
        <v>1518</v>
      </c>
      <c r="C33" s="136">
        <f>+C9</f>
        <v>553759.82000000018</v>
      </c>
      <c r="D33" s="135" t="s">
        <v>80</v>
      </c>
      <c r="E33" s="136">
        <f>'2024 Billing Determinents'!$O$20/'2024 Billing Determinents'!$O$29*'Allocation of Balances '!C33</f>
        <v>499002.14464766654</v>
      </c>
      <c r="F33" s="136">
        <f>'2024 Billing Determinents'!$O$21/'2024 Billing Determinents'!$O$29*'Allocation of Balances '!C33</f>
        <v>6579.525036558618</v>
      </c>
      <c r="G33" s="136">
        <f>'2024 Billing Determinents'!$O$22/'2024 Billing Determinents'!$O$29*'Allocation of Balances '!C33</f>
        <v>40092.92628046553</v>
      </c>
      <c r="H33" s="136">
        <f>'2024 Billing Determinents'!$O$23/'2024 Billing Determinents'!$O$29*'Allocation of Balances '!C33</f>
        <v>4533.9675732695596</v>
      </c>
      <c r="I33" s="136">
        <f>'2024 Billing Determinents'!$O$24/'2024 Billing Determinents'!$O$29*'Allocation of Balances '!C33</f>
        <v>21.088221271021212</v>
      </c>
      <c r="J33" s="136">
        <f>'2024 Billing Determinents'!$O$25/'2024 Billing Determinents'!$O$29*'Allocation of Balances '!C33</f>
        <v>21.088221271021212</v>
      </c>
      <c r="K33" s="136">
        <f>'2024 Billing Determinents'!$O$26/'2024 Billing Determinents'!$O$29*'Allocation of Balances '!C33</f>
        <v>3365.6801148549853</v>
      </c>
      <c r="L33" s="136">
        <f>'2024 Billing Determinents'!$O$27/'2024 Billing Determinents'!$O$29*'Allocation of Balances '!C33</f>
        <v>105.44110635510606</v>
      </c>
      <c r="M33" s="136">
        <f>'2024 Billing Determinents'!$O$28/'2024 Billing Determinents'!$O$29*'Allocation of Balances '!C33</f>
        <v>37.958798287838178</v>
      </c>
    </row>
    <row r="34" spans="1:14" s="118" customFormat="1" x14ac:dyDescent="0.35">
      <c r="A34" s="135" t="s">
        <v>63</v>
      </c>
      <c r="B34" s="135">
        <v>1548</v>
      </c>
      <c r="C34" s="136">
        <f>+C10</f>
        <v>99522.649999999921</v>
      </c>
      <c r="D34" s="135" t="s">
        <v>80</v>
      </c>
      <c r="E34" s="136">
        <f>'2024 Billing Determinents'!$O$20/'2024 Billing Determinents'!$O$29*'Allocation of Balances '!C34</f>
        <v>89681.508114870157</v>
      </c>
      <c r="F34" s="136">
        <f>'2024 Billing Determinents'!$O$21/'2024 Billing Determinents'!$O$29*'Allocation of Balances '!C34</f>
        <v>1182.4833505971233</v>
      </c>
      <c r="G34" s="136">
        <f>'2024 Billing Determinents'!$O$22/'2024 Billing Determinents'!$O$29*'Allocation of Balances '!C34</f>
        <v>7205.5684171642642</v>
      </c>
      <c r="H34" s="136">
        <f>'2024 Billing Determinents'!$O$23/'2024 Billing Determinents'!$O$29*'Allocation of Balances '!C34</f>
        <v>814.85230890506875</v>
      </c>
      <c r="I34" s="136">
        <f>'2024 Billing Determinents'!$O$24/'2024 Billing Determinents'!$O$29*'Allocation of Balances '!C34</f>
        <v>3.7900107390933431</v>
      </c>
      <c r="J34" s="136">
        <f>'2024 Billing Determinents'!$O$25/'2024 Billing Determinents'!$O$29*'Allocation of Balances '!C34</f>
        <v>3.7900107390933431</v>
      </c>
      <c r="K34" s="136">
        <f>'2024 Billing Determinents'!$O$26/'2024 Billing Determinents'!$O$29*'Allocation of Balances '!C34</f>
        <v>604.88571395929762</v>
      </c>
      <c r="L34" s="136">
        <f>'2024 Billing Determinents'!$O$27/'2024 Billing Determinents'!$O$29*'Allocation of Balances '!C34</f>
        <v>18.950053695466718</v>
      </c>
      <c r="M34" s="136">
        <f>'2024 Billing Determinents'!$O$28/'2024 Billing Determinents'!$O$29*'Allocation of Balances '!C34</f>
        <v>6.8220193303680174</v>
      </c>
    </row>
    <row r="35" spans="1:14" s="118" customFormat="1" x14ac:dyDescent="0.35">
      <c r="A35" s="137"/>
      <c r="B35" s="137"/>
      <c r="C35" s="138"/>
      <c r="D35" s="137"/>
      <c r="E35" s="138"/>
      <c r="F35" s="138"/>
      <c r="G35" s="138"/>
      <c r="H35" s="138"/>
      <c r="I35" s="138"/>
      <c r="J35" s="138"/>
      <c r="K35" s="138"/>
      <c r="L35" s="138"/>
      <c r="M35" s="138"/>
    </row>
    <row r="36" spans="1:14" s="118" customFormat="1" x14ac:dyDescent="0.35">
      <c r="A36" s="137" t="s">
        <v>82</v>
      </c>
      <c r="B36" s="137"/>
      <c r="C36" s="138">
        <f>SUM(C31:C34)</f>
        <v>5340265.370000001</v>
      </c>
      <c r="D36" s="138"/>
      <c r="E36" s="138">
        <f t="shared" ref="E36:M36" si="3">SUM(E31:E34)</f>
        <v>3639195.3563825851</v>
      </c>
      <c r="F36" s="138">
        <f t="shared" si="3"/>
        <v>81501.227918966528</v>
      </c>
      <c r="G36" s="138">
        <f t="shared" si="3"/>
        <v>631607.02825705765</v>
      </c>
      <c r="H36" s="138">
        <f t="shared" si="3"/>
        <v>715962.07304938056</v>
      </c>
      <c r="I36" s="138">
        <f t="shared" si="3"/>
        <v>57163.368193531183</v>
      </c>
      <c r="J36" s="138">
        <f t="shared" si="3"/>
        <v>158482.63731172989</v>
      </c>
      <c r="K36" s="138">
        <f t="shared" si="3"/>
        <v>15868.157232025911</v>
      </c>
      <c r="L36" s="138">
        <f t="shared" si="3"/>
        <v>1689.5814454354766</v>
      </c>
      <c r="M36" s="138">
        <f t="shared" si="3"/>
        <v>38795.940209287939</v>
      </c>
    </row>
    <row r="37" spans="1:14" s="118" customFormat="1" x14ac:dyDescent="0.35"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18" t="s">
        <v>0</v>
      </c>
    </row>
    <row r="38" spans="1:14" s="118" customFormat="1" x14ac:dyDescent="0.35"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</row>
    <row r="39" spans="1:14" s="118" customFormat="1" x14ac:dyDescent="0.35"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4" s="118" customFormat="1" x14ac:dyDescent="0.35">
      <c r="C40" s="131"/>
    </row>
    <row r="41" spans="1:14" x14ac:dyDescent="0.35">
      <c r="A41" s="198" t="s">
        <v>88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18"/>
      <c r="L41" s="118"/>
      <c r="M41" s="118"/>
    </row>
    <row r="42" spans="1:14" x14ac:dyDescent="0.35">
      <c r="A42" s="195" t="s">
        <v>65</v>
      </c>
      <c r="B42" s="196"/>
      <c r="C42" s="196"/>
      <c r="D42" s="196"/>
      <c r="E42" s="196"/>
      <c r="F42" s="196"/>
      <c r="G42" s="196"/>
      <c r="H42" s="196"/>
      <c r="I42" s="196"/>
      <c r="J42" s="197"/>
      <c r="K42" s="118"/>
      <c r="L42" s="118"/>
      <c r="M42" s="118"/>
    </row>
    <row r="43" spans="1:14" ht="79.5" customHeight="1" x14ac:dyDescent="0.35">
      <c r="A43" s="135"/>
      <c r="B43" s="135"/>
      <c r="C43" s="134" t="s">
        <v>18</v>
      </c>
      <c r="D43" s="134" t="s">
        <v>66</v>
      </c>
      <c r="E43" s="134" t="s">
        <v>67</v>
      </c>
      <c r="F43" s="134" t="s">
        <v>69</v>
      </c>
      <c r="G43" s="134" t="s">
        <v>89</v>
      </c>
      <c r="H43" s="134" t="s">
        <v>73</v>
      </c>
      <c r="I43" s="134" t="s">
        <v>74</v>
      </c>
      <c r="J43" s="134" t="s">
        <v>75</v>
      </c>
    </row>
    <row r="44" spans="1:14" x14ac:dyDescent="0.35">
      <c r="A44" s="135" t="s">
        <v>9</v>
      </c>
      <c r="B44" s="135">
        <v>1508</v>
      </c>
      <c r="C44" s="136">
        <v>-702370.14</v>
      </c>
      <c r="D44" s="135" t="s">
        <v>78</v>
      </c>
      <c r="E44" s="136">
        <f>'2024 Billing Determinents'!$P$7/'2024 Billing Determinents'!$P$13*'Allocation of Balances '!C44</f>
        <v>-482900.25721199467</v>
      </c>
      <c r="F44" s="136">
        <f>'2024 Billing Determinents'!$P$8/'2024 Billing Determinents'!$P$13*'Allocation of Balances '!C44</f>
        <v>-73934.467654546184</v>
      </c>
      <c r="G44" s="136">
        <f>'2024 Billing Determinents'!$P$9/'2024 Billing Determinents'!$P$13*'Allocation of Balances '!C44</f>
        <v>-130457.9251410935</v>
      </c>
      <c r="H44" s="136">
        <f>'2024 Billing Determinents'!$P$10/'2024 Billing Determinents'!$P$13*'Allocation of Balances '!C44</f>
        <v>-2924.215252600759</v>
      </c>
      <c r="I44" s="136">
        <f>'2024 Billing Determinents'!$P$11/'2024 Billing Determinents'!$P$13*'Allocation of Balances '!C44</f>
        <v>-103.37102272579436</v>
      </c>
      <c r="J44" s="136">
        <f>'2024 Billing Determinents'!$P$12/'2024 Billing Determinents'!$P$13*'Allocation of Balances '!C44</f>
        <v>-12049.903717039095</v>
      </c>
      <c r="K44" s="131"/>
    </row>
    <row r="45" spans="1:14" x14ac:dyDescent="0.35">
      <c r="A45" s="135" t="s">
        <v>10</v>
      </c>
      <c r="B45" s="135">
        <v>1508</v>
      </c>
      <c r="C45" s="136">
        <v>438866.95999999996</v>
      </c>
      <c r="D45" s="135" t="s">
        <v>77</v>
      </c>
      <c r="E45" s="136">
        <f>'2024 Billing Determinents'!$E$7/'2024 Billing Determinents'!$E$13*'Allocation of Balances '!C45</f>
        <v>197409.5850283078</v>
      </c>
      <c r="F45" s="136">
        <f>'2024 Billing Determinents'!$E$8/'2024 Billing Determinents'!$E$13*'Allocation of Balances '!C45</f>
        <v>44216.695471052713</v>
      </c>
      <c r="G45" s="136">
        <f>'2024 Billing Determinents'!$E$9/'2024 Billing Determinents'!$E$13*'Allocation of Balances '!C45</f>
        <v>194652.29843824534</v>
      </c>
      <c r="H45" s="136">
        <f>'2024 Billing Determinents'!$E$10/'2024 Billing Determinents'!$E$13*'Allocation of Balances '!C45</f>
        <v>900.61562915170259</v>
      </c>
      <c r="I45" s="136">
        <f>'2024 Billing Determinents'!$E$11/'2024 Billing Determinents'!$E$13*'Allocation of Balances '!C45</f>
        <v>15.842663179052041</v>
      </c>
      <c r="J45" s="136">
        <f>'2024 Billing Determinents'!$E$12/'2024 Billing Determinents'!$E$13*'Allocation of Balances '!C45</f>
        <v>1671.9227700633337</v>
      </c>
      <c r="K45" s="131"/>
    </row>
    <row r="46" spans="1:14" x14ac:dyDescent="0.35">
      <c r="A46" s="135" t="s">
        <v>62</v>
      </c>
      <c r="B46" s="135">
        <v>1518</v>
      </c>
      <c r="C46" s="136">
        <v>133229.34</v>
      </c>
      <c r="D46" s="135" t="s">
        <v>80</v>
      </c>
      <c r="E46" s="136">
        <f>'2024 Billing Determinents'!$O$7/'2024 Billing Determinents'!$O$13*'Allocation of Balances '!C46</f>
        <v>125048.25492193278</v>
      </c>
      <c r="F46" s="136">
        <f>'2024 Billing Determinents'!$O$8/'2024 Billing Determinents'!$O$13*'Allocation of Balances '!C46</f>
        <v>6768.7599190566189</v>
      </c>
      <c r="G46" s="136">
        <f>'2024 Billing Determinents'!$O$9/'2024 Billing Determinents'!$O$13*'Allocation of Balances '!C46</f>
        <v>1075.6662548278412</v>
      </c>
      <c r="H46" s="136">
        <f>'2024 Billing Determinents'!$O$10/'2024 Billing Determinents'!$O$13*'Allocation of Balances '!C46</f>
        <v>331.18477565946256</v>
      </c>
      <c r="I46" s="136">
        <f>'2024 Billing Determinents'!$O$11/'2024 Billing Determinents'!$O$13*'Allocation of Balances '!C46</f>
        <v>2.7370642616484506</v>
      </c>
      <c r="J46" s="136">
        <f>'2024 Billing Determinents'!$O$12/'2024 Billing Determinents'!$O$13*'Allocation of Balances '!C46</f>
        <v>2.7370642616484506</v>
      </c>
      <c r="K46" s="131"/>
    </row>
    <row r="47" spans="1:14" x14ac:dyDescent="0.35">
      <c r="A47" s="135" t="s">
        <v>63</v>
      </c>
      <c r="B47" s="135">
        <v>1548</v>
      </c>
      <c r="C47" s="136">
        <v>29384.717000000008</v>
      </c>
      <c r="D47" s="135" t="s">
        <v>80</v>
      </c>
      <c r="E47" s="136">
        <f>'2024 Billing Determinents'!$O$7/'2024 Billing Determinents'!$O$13*'Allocation of Balances '!C47</f>
        <v>27580.318135816426</v>
      </c>
      <c r="F47" s="136">
        <f>'2024 Billing Determinents'!$O$8/'2024 Billing Determinents'!$O$13*'Allocation of Balances '!C47</f>
        <v>1492.9000973991292</v>
      </c>
      <c r="G47" s="136">
        <f>'2024 Billing Determinents'!$O$9/'2024 Billing Determinents'!$O$13*'Allocation of Balances '!C47</f>
        <v>237.24615377187942</v>
      </c>
      <c r="H47" s="136">
        <f>'2024 Billing Determinents'!$O$10/'2024 Billing Determinents'!$O$13*'Allocation of Balances '!C47</f>
        <v>73.045253451392909</v>
      </c>
      <c r="I47" s="136">
        <f>'2024 Billing Determinents'!$O$11/'2024 Billing Determinents'!$O$13*'Allocation of Balances '!C47</f>
        <v>0.60367978059002392</v>
      </c>
      <c r="J47" s="136">
        <f>'2024 Billing Determinents'!$O$12/'2024 Billing Determinents'!$O$13*'Allocation of Balances '!C47</f>
        <v>0.60367978059002392</v>
      </c>
      <c r="K47" s="131"/>
    </row>
    <row r="48" spans="1:14" x14ac:dyDescent="0.35">
      <c r="A48" s="135" t="s">
        <v>81</v>
      </c>
      <c r="B48" s="135">
        <v>1555</v>
      </c>
      <c r="C48" s="136">
        <v>-7902.8100000010654</v>
      </c>
      <c r="D48" s="135" t="s">
        <v>77</v>
      </c>
      <c r="E48" s="136">
        <f>'2024 Billing Determinents'!$E$7/'2024 Billing Determinents'!$E$13*'Allocation of Balances '!C48</f>
        <v>-3554.8140663352092</v>
      </c>
      <c r="F48" s="136">
        <f>'2024 Billing Determinents'!$E$8/'2024 Billing Determinents'!$E$13*'Allocation of Balances '!C48</f>
        <v>-796.22340022050696</v>
      </c>
      <c r="G48" s="136">
        <f>'2024 Billing Determinents'!$E$9/'2024 Billing Determinents'!$E$13*'Allocation of Balances '!C48</f>
        <v>-3505.1627732945703</v>
      </c>
      <c r="H48" s="136">
        <f>'2024 Billing Determinents'!$E$10/'2024 Billing Determinents'!$E$13*'Allocation of Balances '!C48</f>
        <v>-16.217657852888554</v>
      </c>
      <c r="I48" s="136">
        <f>'2024 Billing Determinents'!$E$11/'2024 Billing Determinents'!$E$13*'Allocation of Balances '!C48</f>
        <v>-0.28528362444523314</v>
      </c>
      <c r="J48" s="136">
        <f>'2024 Billing Determinents'!$E$12/'2024 Billing Determinents'!$E$13*'Allocation of Balances '!C48</f>
        <v>-30.106818673444899</v>
      </c>
      <c r="K48" s="131"/>
    </row>
    <row r="49" spans="1:15" x14ac:dyDescent="0.35">
      <c r="A49" s="135"/>
      <c r="B49" s="135"/>
      <c r="C49" s="136"/>
      <c r="D49" s="135"/>
      <c r="E49" s="135"/>
      <c r="F49" s="135"/>
      <c r="G49" s="135"/>
      <c r="H49" s="135"/>
      <c r="I49" s="135"/>
      <c r="J49" s="135"/>
      <c r="K49" s="131"/>
    </row>
    <row r="50" spans="1:15" x14ac:dyDescent="0.35">
      <c r="A50" s="137" t="s">
        <v>82</v>
      </c>
      <c r="B50" s="137"/>
      <c r="C50" s="138">
        <f>SUM(C44:C48)</f>
        <v>-108791.93300000111</v>
      </c>
      <c r="D50" s="138"/>
      <c r="E50" s="138">
        <f t="shared" ref="E50:J50" si="4">SUM(E44:E48)</f>
        <v>-136416.91319227288</v>
      </c>
      <c r="F50" s="138">
        <f t="shared" si="4"/>
        <v>-22252.335567258233</v>
      </c>
      <c r="G50" s="138">
        <f t="shared" si="4"/>
        <v>62002.122932456994</v>
      </c>
      <c r="H50" s="138">
        <f t="shared" si="4"/>
        <v>-1635.5872521910894</v>
      </c>
      <c r="I50" s="138">
        <f t="shared" si="4"/>
        <v>-84.472899128949066</v>
      </c>
      <c r="J50" s="138">
        <f t="shared" si="4"/>
        <v>-10404.747021606967</v>
      </c>
      <c r="K50" s="131"/>
      <c r="L50" s="118"/>
      <c r="M50" s="118"/>
      <c r="N50" s="118"/>
      <c r="O50" s="118"/>
    </row>
    <row r="52" spans="1:15" x14ac:dyDescent="0.35">
      <c r="C52" t="s">
        <v>90</v>
      </c>
    </row>
    <row r="53" spans="1:15" x14ac:dyDescent="0.35">
      <c r="A53" s="51" t="s">
        <v>84</v>
      </c>
      <c r="C53" s="119">
        <f>+C45+C48</f>
        <v>430964.14999999892</v>
      </c>
      <c r="D53" s="143"/>
    </row>
    <row r="54" spans="1:15" x14ac:dyDescent="0.35">
      <c r="A54" s="51" t="s">
        <v>85</v>
      </c>
      <c r="C54" s="119">
        <f>+C47+C46+C44</f>
        <v>-539756.08299999998</v>
      </c>
      <c r="D54" s="143"/>
    </row>
    <row r="55" spans="1:15" x14ac:dyDescent="0.35">
      <c r="C55" s="142">
        <f>SUM(C53:C54)</f>
        <v>-108791.93300000107</v>
      </c>
    </row>
    <row r="56" spans="1:15" x14ac:dyDescent="0.35">
      <c r="C56" s="119" t="s">
        <v>0</v>
      </c>
    </row>
    <row r="57" spans="1:15" x14ac:dyDescent="0.35">
      <c r="A57" s="195" t="s">
        <v>86</v>
      </c>
      <c r="B57" s="196"/>
      <c r="C57" s="196"/>
      <c r="D57" s="196"/>
      <c r="E57" s="196"/>
      <c r="F57" s="196"/>
      <c r="G57" s="196"/>
      <c r="H57" s="196"/>
      <c r="I57" s="196"/>
      <c r="J57" s="197"/>
    </row>
    <row r="58" spans="1:15" ht="72.5" x14ac:dyDescent="0.35">
      <c r="A58" s="135"/>
      <c r="B58" s="135"/>
      <c r="C58" s="134" t="s">
        <v>18</v>
      </c>
      <c r="D58" s="134" t="s">
        <v>66</v>
      </c>
      <c r="E58" s="134" t="s">
        <v>67</v>
      </c>
      <c r="F58" s="134" t="s">
        <v>69</v>
      </c>
      <c r="G58" s="134" t="s">
        <v>89</v>
      </c>
      <c r="H58" s="134" t="s">
        <v>73</v>
      </c>
      <c r="I58" s="134" t="s">
        <v>74</v>
      </c>
      <c r="J58" s="134" t="s">
        <v>75</v>
      </c>
    </row>
    <row r="59" spans="1:15" x14ac:dyDescent="0.35">
      <c r="A59" s="135" t="s">
        <v>10</v>
      </c>
      <c r="B59" s="135">
        <v>1508</v>
      </c>
      <c r="C59" s="136">
        <v>438866.95999999996</v>
      </c>
      <c r="D59" s="135" t="s">
        <v>77</v>
      </c>
      <c r="E59" s="136">
        <f>'2024 Billing Determinents'!$E$7/'2024 Billing Determinents'!$E$13*'Allocation of Balances '!C59</f>
        <v>197409.5850283078</v>
      </c>
      <c r="F59" s="136">
        <f>'2024 Billing Determinents'!$E$8/'2024 Billing Determinents'!$E$13*'Allocation of Balances '!C59</f>
        <v>44216.695471052713</v>
      </c>
      <c r="G59" s="136">
        <f>'2024 Billing Determinents'!$E$9/'2024 Billing Determinents'!$E$13*'Allocation of Balances '!C59</f>
        <v>194652.29843824534</v>
      </c>
      <c r="H59" s="136">
        <f>'2024 Billing Determinents'!$E$10/'2024 Billing Determinents'!$E$13*'Allocation of Balances '!C59</f>
        <v>900.61562915170259</v>
      </c>
      <c r="I59" s="136">
        <f>'2024 Billing Determinents'!$E$11/'2024 Billing Determinents'!$E$13*'Allocation of Balances '!C59</f>
        <v>15.842663179052041</v>
      </c>
      <c r="J59" s="136">
        <f>'2024 Billing Determinents'!$E$12/'2024 Billing Determinents'!$E$13*'Allocation of Balances '!C59</f>
        <v>1671.9227700633337</v>
      </c>
    </row>
    <row r="60" spans="1:15" x14ac:dyDescent="0.35">
      <c r="A60" s="135" t="s">
        <v>81</v>
      </c>
      <c r="B60" s="135">
        <v>1555</v>
      </c>
      <c r="C60" s="136">
        <v>-7902.8100000010654</v>
      </c>
      <c r="D60" s="135" t="s">
        <v>77</v>
      </c>
      <c r="E60" s="136">
        <f>'2024 Billing Determinents'!$E$7/'2024 Billing Determinents'!$E$13*'Allocation of Balances '!C60</f>
        <v>-3554.8140663352092</v>
      </c>
      <c r="F60" s="136">
        <f>'2024 Billing Determinents'!$E$8/'2024 Billing Determinents'!$E$13*'Allocation of Balances '!C60</f>
        <v>-796.22340022050696</v>
      </c>
      <c r="G60" s="136">
        <f>'2024 Billing Determinents'!$E$9/'2024 Billing Determinents'!$E$13*'Allocation of Balances '!C60</f>
        <v>-3505.1627732945703</v>
      </c>
      <c r="H60" s="136">
        <f>'2024 Billing Determinents'!$E$10/'2024 Billing Determinents'!$E$13*'Allocation of Balances '!C60</f>
        <v>-16.217657852888554</v>
      </c>
      <c r="I60" s="136">
        <f>'2024 Billing Determinents'!$E$11/'2024 Billing Determinents'!$E$13*'Allocation of Balances '!C60</f>
        <v>-0.28528362444523314</v>
      </c>
      <c r="J60" s="136">
        <f>'2024 Billing Determinents'!$E$12/'2024 Billing Determinents'!$E$13*'Allocation of Balances '!C60</f>
        <v>-30.106818673444899</v>
      </c>
    </row>
    <row r="61" spans="1:15" x14ac:dyDescent="0.35">
      <c r="A61" s="135"/>
      <c r="B61" s="135"/>
      <c r="C61" s="136"/>
      <c r="D61" s="135"/>
      <c r="E61" s="135"/>
      <c r="F61" s="135"/>
      <c r="G61" s="135"/>
      <c r="H61" s="135"/>
      <c r="I61" s="135"/>
      <c r="J61" s="135"/>
    </row>
    <row r="62" spans="1:15" x14ac:dyDescent="0.35">
      <c r="A62" s="137" t="s">
        <v>82</v>
      </c>
      <c r="B62" s="137"/>
      <c r="C62" s="138">
        <f>SUM(C59:C60)</f>
        <v>430964.14999999892</v>
      </c>
      <c r="D62" s="138"/>
      <c r="E62" s="138">
        <f t="shared" ref="E62:J62" si="5">SUM(E59:E60)</f>
        <v>193854.77096197259</v>
      </c>
      <c r="F62" s="138">
        <f t="shared" si="5"/>
        <v>43420.472070832206</v>
      </c>
      <c r="G62" s="138">
        <f t="shared" si="5"/>
        <v>191147.13566495077</v>
      </c>
      <c r="H62" s="138">
        <f t="shared" si="5"/>
        <v>884.39797129881401</v>
      </c>
      <c r="I62" s="138">
        <f t="shared" si="5"/>
        <v>15.557379554606808</v>
      </c>
      <c r="J62" s="138">
        <f t="shared" si="5"/>
        <v>1641.8159513898888</v>
      </c>
    </row>
    <row r="64" spans="1:15" x14ac:dyDescent="0.35">
      <c r="A64" s="195" t="s">
        <v>91</v>
      </c>
      <c r="B64" s="196"/>
      <c r="C64" s="196"/>
      <c r="D64" s="196"/>
      <c r="E64" s="196"/>
      <c r="F64" s="196"/>
      <c r="G64" s="196"/>
      <c r="H64" s="196"/>
      <c r="I64" s="196"/>
      <c r="J64" s="197"/>
    </row>
    <row r="65" spans="1:10" ht="72.5" x14ac:dyDescent="0.35">
      <c r="A65" s="135"/>
      <c r="B65" s="135"/>
      <c r="C65" s="134" t="s">
        <v>18</v>
      </c>
      <c r="D65" s="134" t="s">
        <v>66</v>
      </c>
      <c r="E65" s="134" t="s">
        <v>67</v>
      </c>
      <c r="F65" s="134" t="s">
        <v>69</v>
      </c>
      <c r="G65" s="134" t="s">
        <v>89</v>
      </c>
      <c r="H65" s="134" t="s">
        <v>73</v>
      </c>
      <c r="I65" s="134" t="s">
        <v>74</v>
      </c>
      <c r="J65" s="134" t="s">
        <v>75</v>
      </c>
    </row>
    <row r="66" spans="1:10" x14ac:dyDescent="0.35">
      <c r="A66" s="135" t="s">
        <v>9</v>
      </c>
      <c r="B66" s="135">
        <v>1508</v>
      </c>
      <c r="C66" s="136">
        <v>-702370.14</v>
      </c>
      <c r="D66" s="135" t="s">
        <v>78</v>
      </c>
      <c r="E66" s="136">
        <f>'2024 Billing Determinents'!$P$7/'2024 Billing Determinents'!$P$13*'Allocation of Balances '!C66</f>
        <v>-482900.25721199467</v>
      </c>
      <c r="F66" s="136">
        <f>'2024 Billing Determinents'!$P$8/'2024 Billing Determinents'!$P$13*'Allocation of Balances '!C66</f>
        <v>-73934.467654546184</v>
      </c>
      <c r="G66" s="136">
        <f>'2024 Billing Determinents'!$P$9/'2024 Billing Determinents'!$P$13*'Allocation of Balances '!C66</f>
        <v>-130457.9251410935</v>
      </c>
      <c r="H66" s="136">
        <f>'2024 Billing Determinents'!$P$10/'2024 Billing Determinents'!$P$13*'Allocation of Balances '!C66</f>
        <v>-2924.215252600759</v>
      </c>
      <c r="I66" s="136">
        <f>'2024 Billing Determinents'!$P$11/'2024 Billing Determinents'!$P$13*'Allocation of Balances '!C66</f>
        <v>-103.37102272579436</v>
      </c>
      <c r="J66" s="136">
        <f>'2024 Billing Determinents'!$P$12/'2024 Billing Determinents'!$P$13*'Allocation of Balances '!C66</f>
        <v>-12049.903717039095</v>
      </c>
    </row>
    <row r="67" spans="1:10" x14ac:dyDescent="0.35">
      <c r="A67" s="135" t="s">
        <v>62</v>
      </c>
      <c r="B67" s="135">
        <v>1518</v>
      </c>
      <c r="C67" s="136">
        <v>133229.34</v>
      </c>
      <c r="D67" s="135" t="s">
        <v>80</v>
      </c>
      <c r="E67" s="136">
        <f>'2024 Billing Determinents'!$O$7/'2024 Billing Determinents'!$O$13*'Allocation of Balances '!C67</f>
        <v>125048.25492193278</v>
      </c>
      <c r="F67" s="136">
        <f>'2024 Billing Determinents'!$O$8/'2024 Billing Determinents'!$O$13*'Allocation of Balances '!C67</f>
        <v>6768.7599190566189</v>
      </c>
      <c r="G67" s="136">
        <f>'2024 Billing Determinents'!$O$9/'2024 Billing Determinents'!$O$13*'Allocation of Balances '!C67</f>
        <v>1075.6662548278412</v>
      </c>
      <c r="H67" s="136">
        <f>'2024 Billing Determinents'!$O$10/'2024 Billing Determinents'!$O$13*'Allocation of Balances '!C67</f>
        <v>331.18477565946256</v>
      </c>
      <c r="I67" s="136">
        <f>'2024 Billing Determinents'!$O$11/'2024 Billing Determinents'!$O$13*'Allocation of Balances '!C67</f>
        <v>2.7370642616484506</v>
      </c>
      <c r="J67" s="136">
        <f>'2024 Billing Determinents'!$O$12/'2024 Billing Determinents'!$O$13*'Allocation of Balances '!C67</f>
        <v>2.7370642616484506</v>
      </c>
    </row>
    <row r="68" spans="1:10" x14ac:dyDescent="0.35">
      <c r="A68" s="135" t="s">
        <v>63</v>
      </c>
      <c r="B68" s="135">
        <v>1548</v>
      </c>
      <c r="C68" s="136">
        <v>29384.717000000008</v>
      </c>
      <c r="D68" s="135" t="s">
        <v>80</v>
      </c>
      <c r="E68" s="136">
        <f>'2024 Billing Determinents'!$O$7/'2024 Billing Determinents'!$O$13*'Allocation of Balances '!C68</f>
        <v>27580.318135816426</v>
      </c>
      <c r="F68" s="136">
        <f>'2024 Billing Determinents'!$O$8/'2024 Billing Determinents'!$O$13*'Allocation of Balances '!C68</f>
        <v>1492.9000973991292</v>
      </c>
      <c r="G68" s="136">
        <f>'2024 Billing Determinents'!$O$9/'2024 Billing Determinents'!$O$13*'Allocation of Balances '!C68</f>
        <v>237.24615377187942</v>
      </c>
      <c r="H68" s="136">
        <f>'2024 Billing Determinents'!$O$10/'2024 Billing Determinents'!$O$13*'Allocation of Balances '!C68</f>
        <v>73.045253451392909</v>
      </c>
      <c r="I68" s="136">
        <f>'2024 Billing Determinents'!$O$11/'2024 Billing Determinents'!$O$13*'Allocation of Balances '!C68</f>
        <v>0.60367978059002392</v>
      </c>
      <c r="J68" s="136">
        <f>'2024 Billing Determinents'!$O$12/'2024 Billing Determinents'!$O$13*'Allocation of Balances '!C68</f>
        <v>0.60367978059002392</v>
      </c>
    </row>
    <row r="69" spans="1:10" x14ac:dyDescent="0.35">
      <c r="A69" s="135"/>
      <c r="B69" s="135"/>
      <c r="C69" s="136"/>
      <c r="D69" s="135"/>
      <c r="E69" s="135"/>
      <c r="F69" s="135"/>
      <c r="G69" s="135"/>
      <c r="H69" s="135"/>
      <c r="I69" s="135"/>
      <c r="J69" s="135"/>
    </row>
    <row r="70" spans="1:10" x14ac:dyDescent="0.35">
      <c r="A70" s="137" t="s">
        <v>82</v>
      </c>
      <c r="B70" s="137"/>
      <c r="C70" s="138">
        <f>SUM(C66:C68)</f>
        <v>-539756.08299999998</v>
      </c>
      <c r="D70" s="138"/>
      <c r="E70" s="138">
        <f t="shared" ref="E70:J70" si="6">SUM(E66:E68)</f>
        <v>-330271.68415424548</v>
      </c>
      <c r="F70" s="138">
        <f t="shared" si="6"/>
        <v>-65672.807638090424</v>
      </c>
      <c r="G70" s="138">
        <f t="shared" si="6"/>
        <v>-129145.01273249378</v>
      </c>
      <c r="H70" s="138">
        <f t="shared" si="6"/>
        <v>-2519.9852234899035</v>
      </c>
      <c r="I70" s="138">
        <f t="shared" si="6"/>
        <v>-100.03027868355588</v>
      </c>
      <c r="J70" s="138">
        <f t="shared" si="6"/>
        <v>-12046.562972996857</v>
      </c>
    </row>
    <row r="72" spans="1:10" x14ac:dyDescent="0.35">
      <c r="E72" s="119">
        <f t="shared" ref="E72:J72" si="7">+E70+E62-E50</f>
        <v>0</v>
      </c>
      <c r="F72" s="119">
        <f t="shared" si="7"/>
        <v>0</v>
      </c>
      <c r="G72" s="119">
        <f t="shared" si="7"/>
        <v>0</v>
      </c>
      <c r="H72" s="119">
        <f t="shared" si="7"/>
        <v>0</v>
      </c>
      <c r="I72" s="119">
        <f t="shared" si="7"/>
        <v>0</v>
      </c>
      <c r="J72" s="119">
        <f t="shared" si="7"/>
        <v>0</v>
      </c>
    </row>
    <row r="73" spans="1:10" x14ac:dyDescent="0.35">
      <c r="C73" s="119" t="s">
        <v>0</v>
      </c>
    </row>
  </sheetData>
  <mergeCells count="8">
    <mergeCell ref="A42:J42"/>
    <mergeCell ref="A57:J57"/>
    <mergeCell ref="A64:J64"/>
    <mergeCell ref="A1:M1"/>
    <mergeCell ref="A2:M2"/>
    <mergeCell ref="A20:M20"/>
    <mergeCell ref="A29:M29"/>
    <mergeCell ref="A41:J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390A-E88D-4318-A17F-6FD46C9EFDCC}">
  <dimension ref="B3:N72"/>
  <sheetViews>
    <sheetView topLeftCell="A24" workbookViewId="0">
      <selection activeCell="K26" sqref="K26"/>
    </sheetView>
  </sheetViews>
  <sheetFormatPr defaultRowHeight="14.5" x14ac:dyDescent="0.35"/>
  <cols>
    <col min="2" max="2" width="33.08984375" bestFit="1" customWidth="1"/>
    <col min="3" max="3" width="14" bestFit="1" customWidth="1"/>
    <col min="4" max="4" width="14" customWidth="1"/>
    <col min="5" max="5" width="13.453125" bestFit="1" customWidth="1"/>
    <col min="6" max="6" width="13.08984375" bestFit="1" customWidth="1"/>
    <col min="7" max="7" width="12.08984375" customWidth="1"/>
    <col min="8" max="8" width="14.6328125" customWidth="1"/>
    <col min="9" max="9" width="14.36328125" bestFit="1" customWidth="1"/>
    <col min="10" max="10" width="13.08984375" bestFit="1" customWidth="1"/>
    <col min="12" max="14" width="11.6328125" style="152" customWidth="1"/>
    <col min="16" max="16" width="10.6328125" bestFit="1" customWidth="1"/>
    <col min="17" max="17" width="9.90625" bestFit="1" customWidth="1"/>
    <col min="19" max="19" width="9.90625" bestFit="1" customWidth="1"/>
  </cols>
  <sheetData>
    <row r="3" spans="2:14" x14ac:dyDescent="0.35">
      <c r="B3" s="199" t="s">
        <v>117</v>
      </c>
      <c r="C3" s="199"/>
      <c r="D3" s="199"/>
      <c r="E3" s="199"/>
      <c r="F3" s="199"/>
      <c r="G3" s="199"/>
      <c r="H3" s="199"/>
      <c r="I3" s="199"/>
      <c r="J3" s="199"/>
    </row>
    <row r="4" spans="2:14" ht="58" x14ac:dyDescent="0.35">
      <c r="B4" s="120" t="s">
        <v>104</v>
      </c>
      <c r="C4" s="120" t="s">
        <v>118</v>
      </c>
      <c r="D4" s="120" t="s">
        <v>141</v>
      </c>
      <c r="E4" s="120" t="s">
        <v>134</v>
      </c>
      <c r="F4" s="120" t="s">
        <v>119</v>
      </c>
      <c r="G4" s="120" t="s">
        <v>120</v>
      </c>
      <c r="H4" s="120" t="s">
        <v>121</v>
      </c>
      <c r="I4" s="120" t="s">
        <v>122</v>
      </c>
      <c r="J4" s="120" t="s">
        <v>123</v>
      </c>
    </row>
    <row r="5" spans="2:14" x14ac:dyDescent="0.35">
      <c r="B5" s="121" t="s">
        <v>124</v>
      </c>
      <c r="C5" s="122" cm="1">
        <f t="array" ref="C5:C13">TRANSPOSE('Allocation of Balances '!E13:M13)</f>
        <v>4693479.9981524134</v>
      </c>
      <c r="D5" s="122">
        <f>+C5/2</f>
        <v>2346739.9990762067</v>
      </c>
      <c r="E5" s="123" cm="1">
        <f t="array" ref="E5:E13">'2024 Billing Determinents'!N20:N28</f>
        <v>118313</v>
      </c>
      <c r="F5" s="123" cm="1">
        <f t="array" ref="F5:F13">'2024 Billing Determinents'!E20:E28</f>
        <v>1031246130</v>
      </c>
      <c r="G5" s="123" cm="1">
        <f t="array" ref="G5:G13">'2024 Billing Determinents'!F20:F28</f>
        <v>0</v>
      </c>
      <c r="H5" s="139">
        <f>+D5/E5/12</f>
        <v>1.6529178246657923</v>
      </c>
      <c r="I5" s="124"/>
      <c r="J5" s="124"/>
    </row>
    <row r="6" spans="2:14" x14ac:dyDescent="0.35">
      <c r="B6" s="121" t="s">
        <v>125</v>
      </c>
      <c r="C6" s="122">
        <v>94029.139208557943</v>
      </c>
      <c r="D6" s="122">
        <f t="shared" ref="D6:D13" si="0">+C6/2</f>
        <v>47014.569604278971</v>
      </c>
      <c r="E6" s="123">
        <v>1560</v>
      </c>
      <c r="F6" s="123">
        <v>12254148</v>
      </c>
      <c r="G6" s="123">
        <v>0</v>
      </c>
      <c r="H6" s="139">
        <f>+D6/E6/12</f>
        <v>2.511462051510629</v>
      </c>
      <c r="I6" s="124"/>
      <c r="J6" s="124"/>
    </row>
    <row r="7" spans="2:14" x14ac:dyDescent="0.35">
      <c r="B7" s="121" t="s">
        <v>126</v>
      </c>
      <c r="C7" s="122">
        <v>932383.80637137813</v>
      </c>
      <c r="D7" s="122">
        <f t="shared" si="0"/>
        <v>466191.90318568907</v>
      </c>
      <c r="E7" s="123">
        <v>9506</v>
      </c>
      <c r="F7" s="123">
        <v>294204123</v>
      </c>
      <c r="G7" s="123">
        <v>0</v>
      </c>
      <c r="H7" s="125"/>
      <c r="I7" s="125">
        <f>+D7/F7</f>
        <v>1.5845865735392467E-3</v>
      </c>
      <c r="J7" s="124"/>
    </row>
    <row r="8" spans="2:14" x14ac:dyDescent="0.35">
      <c r="B8" s="121" t="s">
        <v>127</v>
      </c>
      <c r="C8" s="122">
        <v>1684947.0383287438</v>
      </c>
      <c r="D8" s="122">
        <f t="shared" si="0"/>
        <v>842473.51916437189</v>
      </c>
      <c r="E8" s="123">
        <v>1075</v>
      </c>
      <c r="F8" s="123">
        <v>947810445</v>
      </c>
      <c r="G8" s="123">
        <v>2196478</v>
      </c>
      <c r="H8" s="125"/>
      <c r="I8" s="124"/>
      <c r="J8" s="125">
        <f>+D8/G8</f>
        <v>0.38355654787544963</v>
      </c>
    </row>
    <row r="9" spans="2:14" x14ac:dyDescent="0.35">
      <c r="B9" s="121" t="s">
        <v>128</v>
      </c>
      <c r="C9" s="122">
        <v>150703.76308052184</v>
      </c>
      <c r="D9" s="122">
        <f t="shared" si="0"/>
        <v>75351.881540260918</v>
      </c>
      <c r="E9" s="123">
        <v>5</v>
      </c>
      <c r="F9" s="123">
        <v>91496325</v>
      </c>
      <c r="G9" s="123">
        <v>210721</v>
      </c>
      <c r="H9" s="125"/>
      <c r="I9" s="124"/>
      <c r="J9" s="125">
        <f>+D9/G9</f>
        <v>0.35759075526530776</v>
      </c>
    </row>
    <row r="10" spans="2:14" x14ac:dyDescent="0.35">
      <c r="B10" s="121" t="s">
        <v>129</v>
      </c>
      <c r="C10" s="122">
        <v>475382.73044571292</v>
      </c>
      <c r="D10" s="122">
        <f t="shared" si="0"/>
        <v>237691.36522285646</v>
      </c>
      <c r="E10" s="123">
        <v>5</v>
      </c>
      <c r="F10" s="123">
        <v>309975107</v>
      </c>
      <c r="G10" s="123">
        <v>530618</v>
      </c>
      <c r="H10" s="125"/>
      <c r="I10" s="124"/>
      <c r="J10" s="125">
        <f>+D10/G10</f>
        <v>0.44795194513351688</v>
      </c>
    </row>
    <row r="11" spans="2:14" x14ac:dyDescent="0.35">
      <c r="B11" s="121" t="s">
        <v>130</v>
      </c>
      <c r="C11" s="122">
        <v>20511.718584592327</v>
      </c>
      <c r="D11" s="122">
        <f t="shared" si="0"/>
        <v>10255.859292296163</v>
      </c>
      <c r="E11" s="123">
        <v>798</v>
      </c>
      <c r="F11" s="123">
        <v>4542089</v>
      </c>
      <c r="G11" s="123">
        <v>0</v>
      </c>
      <c r="H11" s="125"/>
      <c r="I11" s="125">
        <f>+D11/F11</f>
        <v>2.2579608837026673E-3</v>
      </c>
      <c r="J11" s="124"/>
    </row>
    <row r="12" spans="2:14" x14ac:dyDescent="0.35">
      <c r="B12" s="121" t="s">
        <v>131</v>
      </c>
      <c r="C12" s="122">
        <v>1911.1481813878011</v>
      </c>
      <c r="D12" s="122">
        <f t="shared" si="0"/>
        <v>955.57409069390053</v>
      </c>
      <c r="E12" s="123">
        <v>236</v>
      </c>
      <c r="F12" s="123">
        <v>216725</v>
      </c>
      <c r="G12" s="123">
        <v>602</v>
      </c>
      <c r="H12" s="125"/>
      <c r="I12" s="124"/>
      <c r="J12" s="125">
        <f>+D12/G12</f>
        <v>1.587332376567941</v>
      </c>
    </row>
    <row r="13" spans="2:14" x14ac:dyDescent="0.35">
      <c r="B13" s="121" t="s">
        <v>132</v>
      </c>
      <c r="C13" s="122">
        <v>50637.247646690739</v>
      </c>
      <c r="D13" s="122">
        <f t="shared" si="0"/>
        <v>25318.62382334537</v>
      </c>
      <c r="E13" s="123">
        <v>33008</v>
      </c>
      <c r="F13" s="123">
        <v>11582548</v>
      </c>
      <c r="G13" s="123">
        <v>32169</v>
      </c>
      <c r="H13" s="125"/>
      <c r="I13" s="124"/>
      <c r="J13" s="125">
        <f>+D13/G13</f>
        <v>0.78705038463568555</v>
      </c>
      <c r="M13" s="152" t="s">
        <v>142</v>
      </c>
      <c r="N13" s="152">
        <v>24</v>
      </c>
    </row>
    <row r="14" spans="2:14" x14ac:dyDescent="0.35">
      <c r="B14" s="126" t="s">
        <v>55</v>
      </c>
      <c r="C14" s="127">
        <f>SUM(C5:C13)</f>
        <v>8103986.589999998</v>
      </c>
      <c r="D14" s="127">
        <f>SUM(D5:D13)</f>
        <v>4051993.294999999</v>
      </c>
      <c r="E14" s="128">
        <f>SUM(E5:E13)</f>
        <v>164506</v>
      </c>
      <c r="F14" s="128">
        <f>SUM(F5:F13)</f>
        <v>2703327640</v>
      </c>
      <c r="G14" s="128">
        <f>SUM(G5:G13)</f>
        <v>2970588</v>
      </c>
      <c r="H14" s="129"/>
      <c r="I14" s="129"/>
      <c r="J14" s="129"/>
      <c r="M14" s="152" t="s">
        <v>143</v>
      </c>
      <c r="N14" s="152">
        <v>23</v>
      </c>
    </row>
    <row r="16" spans="2:14" x14ac:dyDescent="0.35">
      <c r="B16" s="199" t="s">
        <v>133</v>
      </c>
      <c r="C16" s="199"/>
      <c r="D16" s="199"/>
      <c r="E16" s="199"/>
      <c r="F16" s="199"/>
      <c r="G16" s="199"/>
      <c r="H16" s="199"/>
      <c r="I16" s="199"/>
      <c r="J16" s="199"/>
      <c r="L16" s="200" t="s">
        <v>144</v>
      </c>
      <c r="M16" s="200"/>
      <c r="N16" s="200"/>
    </row>
    <row r="17" spans="2:14" ht="67.5" customHeight="1" x14ac:dyDescent="0.35">
      <c r="B17" s="120" t="s">
        <v>104</v>
      </c>
      <c r="C17" s="120" t="s">
        <v>118</v>
      </c>
      <c r="D17" s="120" t="s">
        <v>141</v>
      </c>
      <c r="E17" s="120" t="s">
        <v>134</v>
      </c>
      <c r="F17" s="120" t="s">
        <v>119</v>
      </c>
      <c r="G17" s="120" t="s">
        <v>120</v>
      </c>
      <c r="H17" s="120" t="s">
        <v>121</v>
      </c>
      <c r="I17" s="120" t="s">
        <v>122</v>
      </c>
      <c r="J17" s="120" t="s">
        <v>123</v>
      </c>
      <c r="L17" s="120" t="s">
        <v>121</v>
      </c>
      <c r="M17" s="120" t="s">
        <v>122</v>
      </c>
      <c r="N17" s="120" t="s">
        <v>123</v>
      </c>
    </row>
    <row r="18" spans="2:14" x14ac:dyDescent="0.35">
      <c r="B18" s="121" t="s">
        <v>124</v>
      </c>
      <c r="C18" s="122" cm="1">
        <f t="array" ref="C18:C26">TRANSPOSE('Allocation of Balances '!E27:M27)</f>
        <v>1054284.6417698294</v>
      </c>
      <c r="D18" s="122">
        <f t="shared" ref="D18:D26" si="1">+C18/2</f>
        <v>527142.32088491472</v>
      </c>
      <c r="E18" s="123" cm="1">
        <f t="array" ref="E18:E26">'2024 Billing Determinents'!N20:N28</f>
        <v>118313</v>
      </c>
      <c r="F18" s="123" cm="1">
        <f t="array" ref="F18:F26">'2024 Billing Determinents'!E20:E28</f>
        <v>1031246130</v>
      </c>
      <c r="G18" s="123" cm="1">
        <f t="array" ref="G18:G26">'2024 Billing Determinents'!F20:F28</f>
        <v>0</v>
      </c>
      <c r="H18" s="139">
        <f>+D18/E18/12</f>
        <v>0.37129078580045777</v>
      </c>
      <c r="I18" s="124"/>
      <c r="J18" s="124"/>
      <c r="L18" s="154">
        <f t="shared" ref="L18:L26" si="2">+H18*$N$13/$N$14</f>
        <v>0.38743386344395597</v>
      </c>
      <c r="M18" s="155">
        <f t="shared" ref="M18:M26" si="3">+I18*$N$13/$N$14</f>
        <v>0</v>
      </c>
      <c r="N18" s="155">
        <f t="shared" ref="N18:N24" si="4">+J18*$N$13/$N$14</f>
        <v>0</v>
      </c>
    </row>
    <row r="19" spans="2:14" x14ac:dyDescent="0.35">
      <c r="B19" s="121" t="s">
        <v>125</v>
      </c>
      <c r="C19" s="122">
        <v>12527.911289591433</v>
      </c>
      <c r="D19" s="122">
        <f t="shared" si="1"/>
        <v>6263.9556447957166</v>
      </c>
      <c r="E19" s="123">
        <v>1560</v>
      </c>
      <c r="F19" s="123">
        <v>12254148</v>
      </c>
      <c r="G19" s="123">
        <v>0</v>
      </c>
      <c r="H19" s="139">
        <f>+D19/E19/12</f>
        <v>0.33461301521344639</v>
      </c>
      <c r="I19" s="124"/>
      <c r="J19" s="124"/>
      <c r="L19" s="154">
        <f t="shared" si="2"/>
        <v>0.34916140717924843</v>
      </c>
      <c r="M19" s="155">
        <f t="shared" si="3"/>
        <v>0</v>
      </c>
      <c r="N19" s="155">
        <f t="shared" si="4"/>
        <v>0</v>
      </c>
    </row>
    <row r="20" spans="2:14" x14ac:dyDescent="0.35">
      <c r="B20" s="121" t="s">
        <v>126</v>
      </c>
      <c r="C20" s="122">
        <v>300776.77811432065</v>
      </c>
      <c r="D20" s="122">
        <f t="shared" si="1"/>
        <v>150388.38905716033</v>
      </c>
      <c r="E20" s="123">
        <v>9506</v>
      </c>
      <c r="F20" s="123">
        <v>294204123</v>
      </c>
      <c r="G20" s="123">
        <v>0</v>
      </c>
      <c r="H20" s="125"/>
      <c r="I20" s="125">
        <f>+D20/F20</f>
        <v>5.1117022944359056E-4</v>
      </c>
      <c r="J20" s="124"/>
      <c r="L20" s="154">
        <f t="shared" si="2"/>
        <v>0</v>
      </c>
      <c r="M20" s="155">
        <f t="shared" si="3"/>
        <v>5.333950220280945E-4</v>
      </c>
      <c r="N20" s="155">
        <f t="shared" si="4"/>
        <v>0</v>
      </c>
    </row>
    <row r="21" spans="2:14" x14ac:dyDescent="0.35">
      <c r="B21" s="121" t="s">
        <v>127</v>
      </c>
      <c r="C21" s="122">
        <v>968984.96527936333</v>
      </c>
      <c r="D21" s="122">
        <f t="shared" si="1"/>
        <v>484492.48263968166</v>
      </c>
      <c r="E21" s="123">
        <v>1075</v>
      </c>
      <c r="F21" s="123">
        <v>947810445</v>
      </c>
      <c r="G21" s="123">
        <v>2196478</v>
      </c>
      <c r="H21" s="125"/>
      <c r="I21" s="124"/>
      <c r="J21" s="125">
        <f>+D21/G21</f>
        <v>0.22057697943693572</v>
      </c>
      <c r="L21" s="154">
        <f t="shared" si="2"/>
        <v>0</v>
      </c>
      <c r="M21" s="155">
        <f t="shared" si="3"/>
        <v>0</v>
      </c>
      <c r="N21" s="155">
        <f t="shared" si="4"/>
        <v>0.23016728289071556</v>
      </c>
    </row>
    <row r="22" spans="2:14" x14ac:dyDescent="0.35">
      <c r="B22" s="121" t="s">
        <v>128</v>
      </c>
      <c r="C22" s="122">
        <v>93540.39488699066</v>
      </c>
      <c r="D22" s="122">
        <f t="shared" si="1"/>
        <v>46770.19744349533</v>
      </c>
      <c r="E22" s="123">
        <v>5</v>
      </c>
      <c r="F22" s="123">
        <v>91496325</v>
      </c>
      <c r="G22" s="123">
        <v>210721</v>
      </c>
      <c r="H22" s="125"/>
      <c r="I22" s="124"/>
      <c r="J22" s="125">
        <f>+D22/G22</f>
        <v>0.22195318664725078</v>
      </c>
      <c r="L22" s="154">
        <f t="shared" si="2"/>
        <v>0</v>
      </c>
      <c r="M22" s="155">
        <f t="shared" si="3"/>
        <v>0</v>
      </c>
      <c r="N22" s="155">
        <f t="shared" si="4"/>
        <v>0.23160332519713123</v>
      </c>
    </row>
    <row r="23" spans="2:14" x14ac:dyDescent="0.35">
      <c r="B23" s="121" t="s">
        <v>129</v>
      </c>
      <c r="C23" s="122">
        <v>316900.09313398303</v>
      </c>
      <c r="D23" s="122">
        <f t="shared" si="1"/>
        <v>158450.04656699151</v>
      </c>
      <c r="E23" s="123">
        <v>5</v>
      </c>
      <c r="F23" s="123">
        <v>309975107</v>
      </c>
      <c r="G23" s="123">
        <v>530618</v>
      </c>
      <c r="H23" s="125"/>
      <c r="I23" s="124"/>
      <c r="J23" s="125">
        <f>+D23/G23</f>
        <v>0.29861415663809276</v>
      </c>
      <c r="L23" s="154">
        <f t="shared" si="2"/>
        <v>0</v>
      </c>
      <c r="M23" s="155">
        <f t="shared" si="3"/>
        <v>0</v>
      </c>
      <c r="N23" s="155">
        <f t="shared" si="4"/>
        <v>0.31159738083974897</v>
      </c>
    </row>
    <row r="24" spans="2:14" x14ac:dyDescent="0.35">
      <c r="B24" s="121" t="s">
        <v>130</v>
      </c>
      <c r="C24" s="122">
        <v>4643.5613525664166</v>
      </c>
      <c r="D24" s="122">
        <f t="shared" si="1"/>
        <v>2321.7806762832083</v>
      </c>
      <c r="E24" s="123">
        <v>798</v>
      </c>
      <c r="F24" s="123">
        <v>4542089</v>
      </c>
      <c r="G24" s="123">
        <v>0</v>
      </c>
      <c r="H24" s="125"/>
      <c r="I24" s="125">
        <f>+D24/F24</f>
        <v>5.1117022944359046E-4</v>
      </c>
      <c r="J24" s="124"/>
      <c r="L24" s="154">
        <f t="shared" si="2"/>
        <v>0</v>
      </c>
      <c r="M24" s="155">
        <f t="shared" si="3"/>
        <v>5.3339502202809439E-4</v>
      </c>
      <c r="N24" s="155">
        <f t="shared" si="4"/>
        <v>0</v>
      </c>
    </row>
    <row r="25" spans="2:14" x14ac:dyDescent="0.35">
      <c r="B25" s="121" t="s">
        <v>131</v>
      </c>
      <c r="C25" s="122">
        <v>221.56673595232431</v>
      </c>
      <c r="D25" s="122">
        <f t="shared" si="1"/>
        <v>110.78336797616215</v>
      </c>
      <c r="E25" s="123">
        <v>236</v>
      </c>
      <c r="F25" s="123">
        <v>216725</v>
      </c>
      <c r="G25" s="123">
        <v>602</v>
      </c>
      <c r="H25" s="125"/>
      <c r="I25" s="124"/>
      <c r="J25" s="125">
        <f>+D25/G25</f>
        <v>0.18402552819960491</v>
      </c>
      <c r="L25" s="154">
        <f t="shared" si="2"/>
        <v>0</v>
      </c>
      <c r="M25" s="155">
        <f t="shared" si="3"/>
        <v>0</v>
      </c>
      <c r="N25" s="155">
        <f>+J25*$N$13/$N$14</f>
        <v>0.19202663812132686</v>
      </c>
    </row>
    <row r="26" spans="2:14" x14ac:dyDescent="0.35">
      <c r="B26" s="121" t="s">
        <v>132</v>
      </c>
      <c r="C26" s="122">
        <v>11841.3074374028</v>
      </c>
      <c r="D26" s="122">
        <f t="shared" si="1"/>
        <v>5920.6537187014001</v>
      </c>
      <c r="E26" s="123">
        <v>33008</v>
      </c>
      <c r="F26" s="123">
        <v>11582548</v>
      </c>
      <c r="G26" s="123">
        <v>32169</v>
      </c>
      <c r="H26" s="125"/>
      <c r="I26" s="124"/>
      <c r="J26" s="125">
        <f>+D26/G26</f>
        <v>0.18404842297557897</v>
      </c>
      <c r="L26" s="154">
        <f t="shared" si="2"/>
        <v>0</v>
      </c>
      <c r="M26" s="155">
        <f t="shared" si="3"/>
        <v>0</v>
      </c>
      <c r="N26" s="155">
        <f>+J26*$N$13/$N$14</f>
        <v>0.19205052832234326</v>
      </c>
    </row>
    <row r="27" spans="2:14" x14ac:dyDescent="0.35">
      <c r="B27" s="126" t="s">
        <v>55</v>
      </c>
      <c r="C27" s="127">
        <f>SUM(C18:C26)</f>
        <v>2763721.2199999997</v>
      </c>
      <c r="D27" s="127">
        <f>SUM(D18:D26)</f>
        <v>1381860.6099999999</v>
      </c>
      <c r="E27" s="128">
        <f>SUM(E18:E26)</f>
        <v>164506</v>
      </c>
      <c r="F27" s="128">
        <f>SUM(F18:F26)</f>
        <v>2703327640</v>
      </c>
      <c r="G27" s="128">
        <f>SUM(G18:G26)</f>
        <v>2970588</v>
      </c>
      <c r="H27" s="129"/>
      <c r="I27" s="129"/>
      <c r="J27" s="129"/>
    </row>
    <row r="29" spans="2:14" x14ac:dyDescent="0.35">
      <c r="B29" s="199" t="s">
        <v>135</v>
      </c>
      <c r="C29" s="199"/>
      <c r="D29" s="199"/>
      <c r="E29" s="199"/>
      <c r="F29" s="199"/>
      <c r="G29" s="199"/>
      <c r="H29" s="199"/>
      <c r="I29" s="199"/>
      <c r="J29" s="199"/>
      <c r="L29" s="200" t="s">
        <v>144</v>
      </c>
      <c r="M29" s="200"/>
      <c r="N29" s="200"/>
    </row>
    <row r="30" spans="2:14" ht="62.25" customHeight="1" x14ac:dyDescent="0.35">
      <c r="B30" s="120" t="s">
        <v>104</v>
      </c>
      <c r="C30" s="120" t="s">
        <v>118</v>
      </c>
      <c r="D30" s="120" t="s">
        <v>141</v>
      </c>
      <c r="E30" s="120" t="s">
        <v>134</v>
      </c>
      <c r="F30" s="120" t="s">
        <v>119</v>
      </c>
      <c r="G30" s="120" t="s">
        <v>120</v>
      </c>
      <c r="H30" s="120" t="s">
        <v>121</v>
      </c>
      <c r="I30" s="120" t="s">
        <v>122</v>
      </c>
      <c r="J30" s="120" t="s">
        <v>123</v>
      </c>
      <c r="L30" s="120" t="s">
        <v>121</v>
      </c>
      <c r="M30" s="120" t="s">
        <v>122</v>
      </c>
      <c r="N30" s="120" t="s">
        <v>123</v>
      </c>
    </row>
    <row r="31" spans="2:14" x14ac:dyDescent="0.35">
      <c r="B31" s="121" t="s">
        <v>124</v>
      </c>
      <c r="C31" s="122" cm="1">
        <f t="array" ref="C31:C39">TRANSPOSE('Allocation of Balances '!E36:M36)</f>
        <v>3639195.3563825851</v>
      </c>
      <c r="D31" s="122">
        <f t="shared" ref="D31:D39" si="5">+C31/2</f>
        <v>1819597.6781912926</v>
      </c>
      <c r="E31" s="123" cm="1">
        <f t="array" ref="E31:E39">'2024 Billing Determinents'!N20:N28</f>
        <v>118313</v>
      </c>
      <c r="F31" s="123" cm="1">
        <f t="array" ref="F31:F39">'2024 Billing Determinents'!E20:E28</f>
        <v>1031246130</v>
      </c>
      <c r="G31" s="123" cm="1">
        <f t="array" ref="G31:G39">'2024 Billing Determinents'!F20:F28</f>
        <v>0</v>
      </c>
      <c r="H31" s="139">
        <f>+D31/E31/12</f>
        <v>1.281627038865335</v>
      </c>
      <c r="I31" s="124"/>
      <c r="J31" s="124"/>
      <c r="L31" s="154">
        <f t="shared" ref="L31:L39" si="6">+H31*$N$13/$N$14</f>
        <v>1.3373499535986104</v>
      </c>
      <c r="M31" s="155">
        <f t="shared" ref="M31:M39" si="7">+I31*$N$13/$N$14</f>
        <v>0</v>
      </c>
      <c r="N31" s="155">
        <f t="shared" ref="N31:N39" si="8">+J31*$N$13/$N$14</f>
        <v>0</v>
      </c>
    </row>
    <row r="32" spans="2:14" x14ac:dyDescent="0.35">
      <c r="B32" s="121" t="s">
        <v>125</v>
      </c>
      <c r="C32" s="122">
        <v>81501.227918966528</v>
      </c>
      <c r="D32" s="122">
        <f t="shared" si="5"/>
        <v>40750.613959483264</v>
      </c>
      <c r="E32" s="123">
        <v>1560</v>
      </c>
      <c r="F32" s="123">
        <v>12254148</v>
      </c>
      <c r="G32" s="123">
        <v>0</v>
      </c>
      <c r="H32" s="139">
        <f>+D32/E32/12</f>
        <v>2.1768490362971828</v>
      </c>
      <c r="I32" s="124"/>
      <c r="J32" s="124"/>
      <c r="L32" s="154">
        <f t="shared" si="6"/>
        <v>2.2714946465709733</v>
      </c>
      <c r="M32" s="155">
        <f t="shared" si="7"/>
        <v>0</v>
      </c>
      <c r="N32" s="155">
        <f t="shared" si="8"/>
        <v>0</v>
      </c>
    </row>
    <row r="33" spans="2:14" x14ac:dyDescent="0.35">
      <c r="B33" s="121" t="s">
        <v>126</v>
      </c>
      <c r="C33" s="122">
        <v>631607.02825705765</v>
      </c>
      <c r="D33" s="122">
        <f t="shared" si="5"/>
        <v>315803.51412852883</v>
      </c>
      <c r="E33" s="123">
        <v>9506</v>
      </c>
      <c r="F33" s="123">
        <v>294204123</v>
      </c>
      <c r="G33" s="123">
        <v>0</v>
      </c>
      <c r="H33" s="125"/>
      <c r="I33" s="125">
        <f>+D33/F33</f>
        <v>1.0734163440956565E-3</v>
      </c>
      <c r="J33" s="124"/>
      <c r="L33" s="154">
        <f t="shared" si="6"/>
        <v>0</v>
      </c>
      <c r="M33" s="155">
        <f t="shared" si="7"/>
        <v>1.1200866199259025E-3</v>
      </c>
      <c r="N33" s="155">
        <f t="shared" si="8"/>
        <v>0</v>
      </c>
    </row>
    <row r="34" spans="2:14" x14ac:dyDescent="0.35">
      <c r="B34" s="121" t="s">
        <v>127</v>
      </c>
      <c r="C34" s="122">
        <v>715962.07304938056</v>
      </c>
      <c r="D34" s="122">
        <f t="shared" si="5"/>
        <v>357981.03652469028</v>
      </c>
      <c r="E34" s="123">
        <v>1075</v>
      </c>
      <c r="F34" s="123">
        <v>947810445</v>
      </c>
      <c r="G34" s="123">
        <v>2196478</v>
      </c>
      <c r="H34" s="125"/>
      <c r="I34" s="124"/>
      <c r="J34" s="125">
        <f>+D34/G34</f>
        <v>0.16297956843851397</v>
      </c>
      <c r="L34" s="154">
        <f t="shared" si="6"/>
        <v>0</v>
      </c>
      <c r="M34" s="155">
        <f t="shared" si="7"/>
        <v>0</v>
      </c>
      <c r="N34" s="155">
        <f t="shared" si="8"/>
        <v>0.17006563663149282</v>
      </c>
    </row>
    <row r="35" spans="2:14" x14ac:dyDescent="0.35">
      <c r="B35" s="121" t="s">
        <v>128</v>
      </c>
      <c r="C35" s="122">
        <v>57163.368193531183</v>
      </c>
      <c r="D35" s="122">
        <f t="shared" si="5"/>
        <v>28581.684096765592</v>
      </c>
      <c r="E35" s="123">
        <v>5</v>
      </c>
      <c r="F35" s="123">
        <v>91496325</v>
      </c>
      <c r="G35" s="123">
        <v>210721</v>
      </c>
      <c r="H35" s="125"/>
      <c r="I35" s="124"/>
      <c r="J35" s="125">
        <f>+D35/G35</f>
        <v>0.13563756861805701</v>
      </c>
      <c r="L35" s="154">
        <f t="shared" si="6"/>
        <v>0</v>
      </c>
      <c r="M35" s="155">
        <f t="shared" si="7"/>
        <v>0</v>
      </c>
      <c r="N35" s="155">
        <f t="shared" si="8"/>
        <v>0.14153485421014644</v>
      </c>
    </row>
    <row r="36" spans="2:14" x14ac:dyDescent="0.35">
      <c r="B36" s="121" t="s">
        <v>129</v>
      </c>
      <c r="C36" s="122">
        <v>158482.63731172989</v>
      </c>
      <c r="D36" s="122">
        <f t="shared" si="5"/>
        <v>79241.318655864947</v>
      </c>
      <c r="E36" s="123">
        <v>5</v>
      </c>
      <c r="F36" s="123">
        <v>309975107</v>
      </c>
      <c r="G36" s="123">
        <v>530618</v>
      </c>
      <c r="H36" s="125"/>
      <c r="I36" s="124"/>
      <c r="J36" s="125">
        <f>+D36/G36</f>
        <v>0.14933778849542409</v>
      </c>
      <c r="L36" s="154">
        <f t="shared" si="6"/>
        <v>0</v>
      </c>
      <c r="M36" s="155">
        <f t="shared" si="7"/>
        <v>0</v>
      </c>
      <c r="N36" s="155">
        <f t="shared" si="8"/>
        <v>0.15583073582131207</v>
      </c>
    </row>
    <row r="37" spans="2:14" x14ac:dyDescent="0.35">
      <c r="B37" s="121" t="s">
        <v>130</v>
      </c>
      <c r="C37" s="122">
        <v>15868.157232025911</v>
      </c>
      <c r="D37" s="122">
        <f t="shared" si="5"/>
        <v>7934.0786160129555</v>
      </c>
      <c r="E37" s="123">
        <v>798</v>
      </c>
      <c r="F37" s="123">
        <v>4542089</v>
      </c>
      <c r="G37" s="123">
        <v>0</v>
      </c>
      <c r="H37" s="125"/>
      <c r="I37" s="125">
        <f>+D37/F37</f>
        <v>1.7467906542590766E-3</v>
      </c>
      <c r="J37" s="124"/>
      <c r="L37" s="154">
        <f t="shared" si="6"/>
        <v>0</v>
      </c>
      <c r="M37" s="155">
        <f t="shared" si="7"/>
        <v>1.8227380740094713E-3</v>
      </c>
      <c r="N37" s="155">
        <f t="shared" si="8"/>
        <v>0</v>
      </c>
    </row>
    <row r="38" spans="2:14" x14ac:dyDescent="0.35">
      <c r="B38" s="121" t="s">
        <v>131</v>
      </c>
      <c r="C38" s="122">
        <v>1689.5814454354766</v>
      </c>
      <c r="D38" s="122">
        <f t="shared" si="5"/>
        <v>844.79072271773828</v>
      </c>
      <c r="E38" s="123">
        <v>236</v>
      </c>
      <c r="F38" s="123">
        <v>216725</v>
      </c>
      <c r="G38" s="123">
        <v>602</v>
      </c>
      <c r="H38" s="125"/>
      <c r="I38" s="124"/>
      <c r="J38" s="125">
        <f>+D38/G38</f>
        <v>1.403306848368336</v>
      </c>
      <c r="L38" s="154">
        <f t="shared" si="6"/>
        <v>0</v>
      </c>
      <c r="M38" s="155">
        <f t="shared" si="7"/>
        <v>0</v>
      </c>
      <c r="N38" s="155">
        <f t="shared" si="8"/>
        <v>1.4643201896017417</v>
      </c>
    </row>
    <row r="39" spans="2:14" x14ac:dyDescent="0.35">
      <c r="B39" s="121" t="s">
        <v>132</v>
      </c>
      <c r="C39" s="122">
        <v>38795.940209287939</v>
      </c>
      <c r="D39" s="122">
        <f t="shared" si="5"/>
        <v>19397.97010464397</v>
      </c>
      <c r="E39" s="123">
        <v>33008</v>
      </c>
      <c r="F39" s="123">
        <v>11582548</v>
      </c>
      <c r="G39" s="123">
        <v>32169</v>
      </c>
      <c r="H39" s="125"/>
      <c r="I39" s="124"/>
      <c r="J39" s="125">
        <f>+D39/G39</f>
        <v>0.60300196166010656</v>
      </c>
      <c r="L39" s="154">
        <f t="shared" si="6"/>
        <v>0</v>
      </c>
      <c r="M39" s="155">
        <f t="shared" si="7"/>
        <v>0</v>
      </c>
      <c r="N39" s="155">
        <f t="shared" si="8"/>
        <v>0.62921943825402427</v>
      </c>
    </row>
    <row r="40" spans="2:14" x14ac:dyDescent="0.35">
      <c r="B40" s="126" t="s">
        <v>55</v>
      </c>
      <c r="C40" s="144">
        <f>SUM(C31:C39)</f>
        <v>5340265.37</v>
      </c>
      <c r="D40" s="144">
        <f>SUM(D31:D39)</f>
        <v>2670132.6850000001</v>
      </c>
      <c r="E40" s="128">
        <f>SUM(E31:E39)</f>
        <v>164506</v>
      </c>
      <c r="F40" s="128">
        <f>SUM(F31:F39)</f>
        <v>2703327640</v>
      </c>
      <c r="G40" s="128">
        <f>SUM(G31:G39)</f>
        <v>2970588</v>
      </c>
      <c r="H40" s="129"/>
      <c r="I40" s="129"/>
      <c r="J40" s="129"/>
    </row>
    <row r="44" spans="2:14" x14ac:dyDescent="0.35">
      <c r="B44" s="199" t="s">
        <v>136</v>
      </c>
      <c r="C44" s="199"/>
      <c r="D44" s="199"/>
      <c r="E44" s="199"/>
      <c r="F44" s="199"/>
      <c r="G44" s="199"/>
      <c r="H44" s="199"/>
      <c r="I44" s="199"/>
      <c r="J44" s="199"/>
    </row>
    <row r="45" spans="2:14" ht="63.75" customHeight="1" x14ac:dyDescent="0.35">
      <c r="B45" s="120" t="s">
        <v>104</v>
      </c>
      <c r="C45" s="120" t="s">
        <v>118</v>
      </c>
      <c r="D45" s="120" t="s">
        <v>141</v>
      </c>
      <c r="E45" s="120" t="s">
        <v>134</v>
      </c>
      <c r="F45" s="120" t="s">
        <v>119</v>
      </c>
      <c r="G45" s="120" t="s">
        <v>120</v>
      </c>
      <c r="H45" s="120" t="s">
        <v>121</v>
      </c>
      <c r="I45" s="120" t="s">
        <v>122</v>
      </c>
      <c r="J45" s="120" t="s">
        <v>123</v>
      </c>
    </row>
    <row r="46" spans="2:14" x14ac:dyDescent="0.35">
      <c r="B46" s="121" t="s">
        <v>124</v>
      </c>
      <c r="C46" s="122" cm="1">
        <f t="array" ref="C46:C51">TRANSPOSE('Allocation of Balances '!E50:J50)</f>
        <v>-136416.91319227288</v>
      </c>
      <c r="D46" s="122">
        <f t="shared" ref="D46:D51" si="9">+C46/2</f>
        <v>-68208.456596136442</v>
      </c>
      <c r="E46" s="123" cm="1">
        <f t="array" ref="E46:E51">'2024 Billing Determinents'!N7:N12</f>
        <v>45687</v>
      </c>
      <c r="F46" s="123" cm="1">
        <f t="array" ref="F46:F51">'2024 Billing Determinents'!E7:E12</f>
        <v>410478117</v>
      </c>
      <c r="G46" s="123" cm="1">
        <f t="array" ref="G46:G51">'2024 Billing Determinents'!F7:F12</f>
        <v>0</v>
      </c>
      <c r="H46" s="139">
        <f>+D46/E46/12</f>
        <v>-0.12441259110202108</v>
      </c>
      <c r="I46" s="125"/>
      <c r="J46" s="125"/>
    </row>
    <row r="47" spans="2:14" x14ac:dyDescent="0.35">
      <c r="B47" s="121" t="s">
        <v>126</v>
      </c>
      <c r="C47" s="122">
        <v>-22252.335567258233</v>
      </c>
      <c r="D47" s="122">
        <f t="shared" si="9"/>
        <v>-11126.167783629116</v>
      </c>
      <c r="E47" s="123">
        <v>2473</v>
      </c>
      <c r="F47" s="123">
        <v>91940753</v>
      </c>
      <c r="G47" s="123">
        <v>0</v>
      </c>
      <c r="H47" s="125"/>
      <c r="I47" s="125">
        <f>+D47/F47</f>
        <v>-1.2101453839114322E-4</v>
      </c>
      <c r="J47" s="125"/>
    </row>
    <row r="48" spans="2:14" x14ac:dyDescent="0.35">
      <c r="B48" s="121" t="s">
        <v>127</v>
      </c>
      <c r="C48" s="122">
        <v>62002.122932456994</v>
      </c>
      <c r="D48" s="122">
        <f t="shared" si="9"/>
        <v>31001.061466228497</v>
      </c>
      <c r="E48" s="123">
        <v>393</v>
      </c>
      <c r="F48" s="123">
        <v>404744830</v>
      </c>
      <c r="G48" s="123">
        <v>933711</v>
      </c>
      <c r="H48" s="125"/>
      <c r="I48" s="125"/>
      <c r="J48" s="125">
        <f>+D48/G48</f>
        <v>3.3201988052222256E-2</v>
      </c>
    </row>
    <row r="49" spans="2:14" x14ac:dyDescent="0.35">
      <c r="B49" s="121" t="s">
        <v>130</v>
      </c>
      <c r="C49" s="122">
        <v>-1635.5872521910894</v>
      </c>
      <c r="D49" s="122">
        <f t="shared" si="9"/>
        <v>-817.79362609554471</v>
      </c>
      <c r="E49" s="123">
        <v>388</v>
      </c>
      <c r="F49" s="123">
        <v>1872670</v>
      </c>
      <c r="G49" s="123">
        <v>0</v>
      </c>
      <c r="H49" s="125"/>
      <c r="I49" s="125">
        <f>+D49/F49</f>
        <v>-4.3669927221322746E-4</v>
      </c>
      <c r="J49" s="125"/>
    </row>
    <row r="50" spans="2:14" x14ac:dyDescent="0.35">
      <c r="B50" s="121" t="s">
        <v>131</v>
      </c>
      <c r="C50" s="122">
        <v>-84.472899128949066</v>
      </c>
      <c r="D50" s="122">
        <f t="shared" si="9"/>
        <v>-42.236449564474533</v>
      </c>
      <c r="E50" s="123">
        <v>45</v>
      </c>
      <c r="F50" s="123">
        <v>32942</v>
      </c>
      <c r="G50" s="123">
        <v>83</v>
      </c>
      <c r="H50" s="125"/>
      <c r="I50" s="125"/>
      <c r="J50" s="125">
        <f>+D50/G50</f>
        <v>-0.50887288631897032</v>
      </c>
    </row>
    <row r="51" spans="2:14" x14ac:dyDescent="0.35">
      <c r="B51" s="121" t="s">
        <v>132</v>
      </c>
      <c r="C51" s="122">
        <v>-10404.747021606967</v>
      </c>
      <c r="D51" s="122">
        <f t="shared" si="9"/>
        <v>-5202.3735108034834</v>
      </c>
      <c r="E51" s="123">
        <v>13763</v>
      </c>
      <c r="F51" s="123">
        <v>3476466</v>
      </c>
      <c r="G51" s="123">
        <v>9823</v>
      </c>
      <c r="H51" s="125"/>
      <c r="I51" s="125"/>
      <c r="J51" s="125">
        <f>+D51/G51</f>
        <v>-0.52961147417321419</v>
      </c>
    </row>
    <row r="52" spans="2:14" x14ac:dyDescent="0.35">
      <c r="B52" s="126" t="s">
        <v>55</v>
      </c>
      <c r="C52" s="127">
        <f>SUM(C46:C51)</f>
        <v>-108791.93300000114</v>
      </c>
      <c r="D52" s="127">
        <f>SUM(D46:D51)</f>
        <v>-54395.96650000057</v>
      </c>
      <c r="E52" s="130">
        <f>SUM(E46:E51)</f>
        <v>62749</v>
      </c>
      <c r="F52" s="130">
        <f>SUM(F46:F51)</f>
        <v>912545778</v>
      </c>
      <c r="G52" s="130">
        <f>SUM(G46:G51)</f>
        <v>943617</v>
      </c>
      <c r="H52" s="129"/>
      <c r="I52" s="129"/>
      <c r="J52" s="129"/>
    </row>
    <row r="54" spans="2:14" x14ac:dyDescent="0.35">
      <c r="B54" s="199" t="s">
        <v>137</v>
      </c>
      <c r="C54" s="199"/>
      <c r="D54" s="199"/>
      <c r="E54" s="199"/>
      <c r="F54" s="199"/>
      <c r="G54" s="199"/>
      <c r="H54" s="199"/>
      <c r="I54" s="199"/>
      <c r="J54" s="199"/>
      <c r="L54" s="200" t="s">
        <v>144</v>
      </c>
      <c r="M54" s="200"/>
      <c r="N54" s="200"/>
    </row>
    <row r="55" spans="2:14" ht="64.5" customHeight="1" x14ac:dyDescent="0.35">
      <c r="B55" s="120" t="s">
        <v>104</v>
      </c>
      <c r="C55" s="120" t="s">
        <v>118</v>
      </c>
      <c r="D55" s="120" t="s">
        <v>141</v>
      </c>
      <c r="E55" s="120" t="s">
        <v>134</v>
      </c>
      <c r="F55" s="120" t="s">
        <v>119</v>
      </c>
      <c r="G55" s="120" t="s">
        <v>120</v>
      </c>
      <c r="H55" s="120" t="s">
        <v>121</v>
      </c>
      <c r="I55" s="120" t="s">
        <v>122</v>
      </c>
      <c r="J55" s="120" t="s">
        <v>123</v>
      </c>
      <c r="L55" s="120" t="s">
        <v>121</v>
      </c>
      <c r="M55" s="120" t="s">
        <v>122</v>
      </c>
      <c r="N55" s="120" t="s">
        <v>123</v>
      </c>
    </row>
    <row r="56" spans="2:14" x14ac:dyDescent="0.35">
      <c r="B56" s="121" t="s">
        <v>124</v>
      </c>
      <c r="C56" s="122" cm="1">
        <f t="array" ref="C56:C61">TRANSPOSE('Allocation of Balances '!E62:J62)</f>
        <v>193854.77096197259</v>
      </c>
      <c r="D56" s="122">
        <f t="shared" ref="D56:D61" si="10">+C56/2</f>
        <v>96927.385480986297</v>
      </c>
      <c r="E56" s="123" cm="1">
        <f t="array" ref="E56:E61">'2024 Billing Determinents'!N7:N12</f>
        <v>45687</v>
      </c>
      <c r="F56" s="123" cm="1">
        <f t="array" ref="F56:F61">'2024 Billing Determinents'!E7:E12</f>
        <v>410478117</v>
      </c>
      <c r="G56" s="123" cm="1">
        <f t="array" ref="G56:G61">'2024 Billing Determinents'!F7:F12</f>
        <v>0</v>
      </c>
      <c r="H56" s="139">
        <f>+D56/E56/12</f>
        <v>0.17679607160495381</v>
      </c>
      <c r="I56" s="125"/>
      <c r="J56" s="125"/>
      <c r="L56" s="154">
        <f t="shared" ref="L56:N61" si="11">+H56*$N$13/$N$14</f>
        <v>0.18448285732690833</v>
      </c>
      <c r="M56" s="155">
        <f t="shared" si="11"/>
        <v>0</v>
      </c>
      <c r="N56" s="155">
        <f t="shared" si="11"/>
        <v>0</v>
      </c>
    </row>
    <row r="57" spans="2:14" x14ac:dyDescent="0.35">
      <c r="B57" s="121" t="s">
        <v>126</v>
      </c>
      <c r="C57" s="122">
        <v>43420.472070832206</v>
      </c>
      <c r="D57" s="122">
        <f t="shared" si="10"/>
        <v>21710.236035416103</v>
      </c>
      <c r="E57" s="123">
        <v>2473</v>
      </c>
      <c r="F57" s="123">
        <v>91940753</v>
      </c>
      <c r="G57" s="123">
        <v>0</v>
      </c>
      <c r="H57" s="125"/>
      <c r="I57" s="125">
        <f>+D57/F57</f>
        <v>2.3613289348865896E-4</v>
      </c>
      <c r="J57" s="125"/>
      <c r="L57" s="154">
        <f t="shared" si="11"/>
        <v>0</v>
      </c>
      <c r="M57" s="155">
        <f t="shared" si="11"/>
        <v>2.4639954103164414E-4</v>
      </c>
      <c r="N57" s="155">
        <f t="shared" si="11"/>
        <v>0</v>
      </c>
    </row>
    <row r="58" spans="2:14" x14ac:dyDescent="0.35">
      <c r="B58" s="121" t="s">
        <v>127</v>
      </c>
      <c r="C58" s="122">
        <v>191147.13566495077</v>
      </c>
      <c r="D58" s="122">
        <f t="shared" si="10"/>
        <v>95573.567832475383</v>
      </c>
      <c r="E58" s="123">
        <v>393</v>
      </c>
      <c r="F58" s="123">
        <v>404744830</v>
      </c>
      <c r="G58" s="123">
        <v>933711</v>
      </c>
      <c r="H58" s="125"/>
      <c r="I58" s="125"/>
      <c r="J58" s="125">
        <f>+D58/G58</f>
        <v>0.10235883247865279</v>
      </c>
      <c r="L58" s="154">
        <f t="shared" si="11"/>
        <v>0</v>
      </c>
      <c r="M58" s="155">
        <f t="shared" si="11"/>
        <v>0</v>
      </c>
      <c r="N58" s="155">
        <f t="shared" si="11"/>
        <v>0.10680921649946379</v>
      </c>
    </row>
    <row r="59" spans="2:14" x14ac:dyDescent="0.35">
      <c r="B59" s="121" t="s">
        <v>130</v>
      </c>
      <c r="C59" s="122">
        <v>884.39797129881401</v>
      </c>
      <c r="D59" s="122">
        <f t="shared" si="10"/>
        <v>442.19898564940701</v>
      </c>
      <c r="E59" s="123">
        <v>388</v>
      </c>
      <c r="F59" s="123">
        <v>1872670</v>
      </c>
      <c r="G59" s="123">
        <v>0</v>
      </c>
      <c r="H59" s="125"/>
      <c r="I59" s="125">
        <f>+D59/F59</f>
        <v>2.3613289348865899E-4</v>
      </c>
      <c r="J59" s="125"/>
      <c r="L59" s="154">
        <f t="shared" si="11"/>
        <v>0</v>
      </c>
      <c r="M59" s="155">
        <f t="shared" si="11"/>
        <v>2.4639954103164419E-4</v>
      </c>
      <c r="N59" s="155">
        <f t="shared" si="11"/>
        <v>0</v>
      </c>
    </row>
    <row r="60" spans="2:14" x14ac:dyDescent="0.35">
      <c r="B60" s="121" t="s">
        <v>131</v>
      </c>
      <c r="C60" s="122">
        <v>15.557379554606808</v>
      </c>
      <c r="D60" s="122">
        <f t="shared" si="10"/>
        <v>7.7786897773034038</v>
      </c>
      <c r="E60" s="123">
        <v>45</v>
      </c>
      <c r="F60" s="123">
        <v>32942</v>
      </c>
      <c r="G60" s="123">
        <v>83</v>
      </c>
      <c r="H60" s="125"/>
      <c r="I60" s="125"/>
      <c r="J60" s="125">
        <f>+D60/G60</f>
        <v>9.3719153943414499E-2</v>
      </c>
      <c r="L60" s="154">
        <f t="shared" si="11"/>
        <v>0</v>
      </c>
      <c r="M60" s="155">
        <f t="shared" si="11"/>
        <v>0</v>
      </c>
      <c r="N60" s="155">
        <f t="shared" si="11"/>
        <v>9.7793899767041212E-2</v>
      </c>
    </row>
    <row r="61" spans="2:14" x14ac:dyDescent="0.35">
      <c r="B61" s="121" t="s">
        <v>132</v>
      </c>
      <c r="C61" s="122">
        <v>1641.8159513898888</v>
      </c>
      <c r="D61" s="122">
        <f t="shared" si="10"/>
        <v>820.90797569494441</v>
      </c>
      <c r="E61" s="123">
        <v>13763</v>
      </c>
      <c r="F61" s="123">
        <v>3476466</v>
      </c>
      <c r="G61" s="123">
        <v>9823</v>
      </c>
      <c r="H61" s="125"/>
      <c r="I61" s="125"/>
      <c r="J61" s="125">
        <f>+D61/G61</f>
        <v>8.3569986327491033E-2</v>
      </c>
      <c r="L61" s="154">
        <f t="shared" si="11"/>
        <v>0</v>
      </c>
      <c r="M61" s="155">
        <f t="shared" si="11"/>
        <v>0</v>
      </c>
      <c r="N61" s="155">
        <f t="shared" si="11"/>
        <v>8.720346399390369E-2</v>
      </c>
    </row>
    <row r="62" spans="2:14" x14ac:dyDescent="0.35">
      <c r="B62" s="126" t="s">
        <v>55</v>
      </c>
      <c r="C62" s="127">
        <f>SUM(C56:C61)</f>
        <v>430964.14999999892</v>
      </c>
      <c r="D62" s="127">
        <f>SUM(D56:D61)</f>
        <v>215482.07499999946</v>
      </c>
      <c r="E62" s="130">
        <f>SUM(E56:E61)</f>
        <v>62749</v>
      </c>
      <c r="F62" s="130">
        <f>SUM(F56:F61)</f>
        <v>912545778</v>
      </c>
      <c r="G62" s="130">
        <f>SUM(G56:G61)</f>
        <v>943617</v>
      </c>
      <c r="H62" s="129"/>
      <c r="I62" s="129"/>
      <c r="J62" s="129"/>
      <c r="L62" s="154"/>
      <c r="M62" s="154"/>
      <c r="N62" s="154"/>
    </row>
    <row r="64" spans="2:14" x14ac:dyDescent="0.35">
      <c r="B64" s="199" t="s">
        <v>138</v>
      </c>
      <c r="C64" s="199"/>
      <c r="D64" s="199"/>
      <c r="E64" s="199"/>
      <c r="F64" s="199"/>
      <c r="G64" s="199"/>
      <c r="H64" s="199"/>
      <c r="I64" s="199"/>
      <c r="J64" s="199"/>
      <c r="L64" s="200" t="s">
        <v>144</v>
      </c>
      <c r="M64" s="200"/>
      <c r="N64" s="200"/>
    </row>
    <row r="65" spans="2:14" ht="72" customHeight="1" x14ac:dyDescent="0.35">
      <c r="B65" s="120" t="s">
        <v>104</v>
      </c>
      <c r="C65" s="120" t="s">
        <v>118</v>
      </c>
      <c r="D65" s="120" t="s">
        <v>141</v>
      </c>
      <c r="E65" s="120" t="s">
        <v>134</v>
      </c>
      <c r="F65" s="120" t="s">
        <v>119</v>
      </c>
      <c r="G65" s="120" t="s">
        <v>120</v>
      </c>
      <c r="H65" s="120" t="s">
        <v>121</v>
      </c>
      <c r="I65" s="120" t="s">
        <v>122</v>
      </c>
      <c r="J65" s="120" t="s">
        <v>123</v>
      </c>
      <c r="L65" s="120" t="s">
        <v>121</v>
      </c>
      <c r="M65" s="120" t="s">
        <v>122</v>
      </c>
      <c r="N65" s="120" t="s">
        <v>123</v>
      </c>
    </row>
    <row r="66" spans="2:14" x14ac:dyDescent="0.35">
      <c r="B66" s="121" t="s">
        <v>124</v>
      </c>
      <c r="C66" s="122" cm="1">
        <f t="array" ref="C66:C71">TRANSPOSE('Allocation of Balances '!E70:J70)</f>
        <v>-330271.68415424548</v>
      </c>
      <c r="D66" s="122">
        <f t="shared" ref="D66:D71" si="12">+C66/2</f>
        <v>-165135.84207712274</v>
      </c>
      <c r="E66" s="123" cm="1">
        <f t="array" ref="E66:E71">'2024 Billing Determinents'!N7:N12</f>
        <v>45687</v>
      </c>
      <c r="F66" s="123" cm="1">
        <f t="array" ref="F66:F71">'2024 Billing Determinents'!E7:E12</f>
        <v>410478117</v>
      </c>
      <c r="G66" s="123" cm="1">
        <f t="array" ref="G66:G71">'2024 Billing Determinents'!F7:F12</f>
        <v>0</v>
      </c>
      <c r="H66" s="139">
        <f>+D66/E66/12</f>
        <v>-0.30120866270697488</v>
      </c>
      <c r="I66" s="125"/>
      <c r="J66" s="125"/>
      <c r="L66" s="154">
        <f t="shared" ref="L66:N71" si="13">+H66*$N$13/$N$14</f>
        <v>-0.31430469152032164</v>
      </c>
      <c r="M66" s="155">
        <f t="shared" si="13"/>
        <v>0</v>
      </c>
      <c r="N66" s="155">
        <f t="shared" si="13"/>
        <v>0</v>
      </c>
    </row>
    <row r="67" spans="2:14" x14ac:dyDescent="0.35">
      <c r="B67" s="121" t="s">
        <v>126</v>
      </c>
      <c r="C67" s="122">
        <v>-65672.807638090424</v>
      </c>
      <c r="D67" s="122">
        <f t="shared" si="12"/>
        <v>-32836.403819045212</v>
      </c>
      <c r="E67" s="123">
        <v>2473</v>
      </c>
      <c r="F67" s="123">
        <v>91940753</v>
      </c>
      <c r="G67" s="123">
        <v>0</v>
      </c>
      <c r="H67" s="125"/>
      <c r="I67" s="125">
        <f>+D67/F67</f>
        <v>-3.5714743187980209E-4</v>
      </c>
      <c r="J67" s="125"/>
      <c r="L67" s="154">
        <f t="shared" si="13"/>
        <v>0</v>
      </c>
      <c r="M67" s="155">
        <f t="shared" si="13"/>
        <v>-3.726755810919674E-4</v>
      </c>
      <c r="N67" s="155">
        <f t="shared" si="13"/>
        <v>0</v>
      </c>
    </row>
    <row r="68" spans="2:14" x14ac:dyDescent="0.35">
      <c r="B68" s="121" t="s">
        <v>127</v>
      </c>
      <c r="C68" s="122">
        <v>-129145.01273249378</v>
      </c>
      <c r="D68" s="122">
        <f t="shared" si="12"/>
        <v>-64572.506366246889</v>
      </c>
      <c r="E68" s="123">
        <v>393</v>
      </c>
      <c r="F68" s="123">
        <v>404744830</v>
      </c>
      <c r="G68" s="123">
        <v>933711</v>
      </c>
      <c r="H68" s="125"/>
      <c r="I68" s="125"/>
      <c r="J68" s="125">
        <f>+D68/G68</f>
        <v>-6.9156844426430539E-2</v>
      </c>
      <c r="L68" s="154">
        <f t="shared" si="13"/>
        <v>0</v>
      </c>
      <c r="M68" s="155">
        <f t="shared" si="13"/>
        <v>0</v>
      </c>
      <c r="N68" s="155">
        <f t="shared" si="13"/>
        <v>-7.2163663749318818E-2</v>
      </c>
    </row>
    <row r="69" spans="2:14" x14ac:dyDescent="0.35">
      <c r="B69" s="121" t="s">
        <v>130</v>
      </c>
      <c r="C69" s="122">
        <v>-2519.9852234899035</v>
      </c>
      <c r="D69" s="122">
        <f t="shared" si="12"/>
        <v>-1259.9926117449518</v>
      </c>
      <c r="E69" s="123">
        <v>388</v>
      </c>
      <c r="F69" s="123">
        <v>1872670</v>
      </c>
      <c r="G69" s="123">
        <v>0</v>
      </c>
      <c r="H69" s="125"/>
      <c r="I69" s="125">
        <f>+D69/F69</f>
        <v>-6.7283216570188651E-4</v>
      </c>
      <c r="J69" s="125"/>
      <c r="L69" s="154">
        <f t="shared" si="13"/>
        <v>0</v>
      </c>
      <c r="M69" s="155">
        <f t="shared" si="13"/>
        <v>-7.0208573812370763E-4</v>
      </c>
      <c r="N69" s="155">
        <f t="shared" si="13"/>
        <v>0</v>
      </c>
    </row>
    <row r="70" spans="2:14" x14ac:dyDescent="0.35">
      <c r="B70" s="121" t="s">
        <v>131</v>
      </c>
      <c r="C70" s="122">
        <v>-100.03027868355588</v>
      </c>
      <c r="D70" s="122">
        <f t="shared" si="12"/>
        <v>-50.015139341777939</v>
      </c>
      <c r="E70" s="123">
        <v>45</v>
      </c>
      <c r="F70" s="123">
        <v>32942</v>
      </c>
      <c r="G70" s="123">
        <v>83</v>
      </c>
      <c r="H70" s="125"/>
      <c r="I70" s="125"/>
      <c r="J70" s="125">
        <f>+D70/G70</f>
        <v>-0.60259204026238478</v>
      </c>
      <c r="L70" s="154">
        <f t="shared" si="13"/>
        <v>0</v>
      </c>
      <c r="M70" s="155">
        <f t="shared" si="13"/>
        <v>0</v>
      </c>
      <c r="N70" s="155">
        <f t="shared" si="13"/>
        <v>-0.62879169418683634</v>
      </c>
    </row>
    <row r="71" spans="2:14" x14ac:dyDescent="0.35">
      <c r="B71" s="121" t="s">
        <v>132</v>
      </c>
      <c r="C71" s="122">
        <v>-12046.562972996857</v>
      </c>
      <c r="D71" s="122">
        <f t="shared" si="12"/>
        <v>-6023.2814864984284</v>
      </c>
      <c r="E71" s="123">
        <v>13763</v>
      </c>
      <c r="F71" s="123">
        <v>3476466</v>
      </c>
      <c r="G71" s="123">
        <v>9823</v>
      </c>
      <c r="H71" s="125"/>
      <c r="I71" s="125"/>
      <c r="J71" s="125">
        <f>+D71/G71</f>
        <v>-0.61318146050070532</v>
      </c>
      <c r="L71" s="154">
        <f t="shared" si="13"/>
        <v>0</v>
      </c>
      <c r="M71" s="155">
        <f t="shared" si="13"/>
        <v>0</v>
      </c>
      <c r="N71" s="155">
        <f t="shared" si="13"/>
        <v>-0.63984152400073602</v>
      </c>
    </row>
    <row r="72" spans="2:14" x14ac:dyDescent="0.35">
      <c r="B72" s="126" t="s">
        <v>55</v>
      </c>
      <c r="C72" s="127">
        <f>SUM(C66:C71)</f>
        <v>-539756.08299999998</v>
      </c>
      <c r="D72" s="127">
        <f>SUM(D66:D71)</f>
        <v>-269878.04149999999</v>
      </c>
      <c r="E72" s="130">
        <f>SUM(E66:E71)</f>
        <v>62749</v>
      </c>
      <c r="F72" s="130">
        <f>SUM(F66:F71)</f>
        <v>912545778</v>
      </c>
      <c r="G72" s="130">
        <f>SUM(G66:G71)</f>
        <v>943617</v>
      </c>
      <c r="H72" s="129"/>
      <c r="I72" s="129"/>
      <c r="J72" s="129"/>
    </row>
  </sheetData>
  <mergeCells count="10">
    <mergeCell ref="L16:N16"/>
    <mergeCell ref="L29:N29"/>
    <mergeCell ref="L54:N54"/>
    <mergeCell ref="L64:N64"/>
    <mergeCell ref="B64:J64"/>
    <mergeCell ref="B3:J3"/>
    <mergeCell ref="B16:J16"/>
    <mergeCell ref="B29:J29"/>
    <mergeCell ref="B44:J44"/>
    <mergeCell ref="B54:J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c1d15e932fca677b41ad10b7f74bd542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5882f8d0f1ee0d4a79e142a7f0e4c6d2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651E4-F337-49FF-A4EE-9F400BCCE54E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b81f47cb-3217-4b5d-bddd-03724119cb5a"/>
    <ds:schemaRef ds:uri="http://schemas.microsoft.com/office/2006/documentManagement/types"/>
    <ds:schemaRef ds:uri="c2079885-2e7d-4e77-8ef3-7a9de67f47f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0B2B35-03CE-48A6-A53B-58512800FA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83A7B-189E-4010-8430-99AEDAD43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Continuity</vt:lpstr>
      <vt:lpstr>2024 Billing Determinents</vt:lpstr>
      <vt:lpstr>Allocation of Balances </vt:lpstr>
      <vt:lpstr>2 yr Rate Riders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Perrin</dc:creator>
  <cp:keywords/>
  <dc:description/>
  <cp:lastModifiedBy>Cindy Perrin</cp:lastModifiedBy>
  <cp:revision/>
  <dcterms:created xsi:type="dcterms:W3CDTF">2025-04-04T17:25:20Z</dcterms:created>
  <dcterms:modified xsi:type="dcterms:W3CDTF">2026-01-26T16:32:10Z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