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Alectra IRR/EP/"/>
    </mc:Choice>
  </mc:AlternateContent>
  <xr:revisionPtr revIDLastSave="0" documentId="8_{51DE87B6-C354-4488-9330-0FDFF7002621}" xr6:coauthVersionLast="47" xr6:coauthVersionMax="47" xr10:uidLastSave="{00000000-0000-0000-0000-000000000000}"/>
  <bookViews>
    <workbookView xWindow="-110" yWindow="-110" windowWidth="19420" windowHeight="10300" xr2:uid="{6B1946EA-A317-4F0D-B791-BFD4B396F09F}"/>
  </bookViews>
  <sheets>
    <sheet name="DataRequest" sheetId="8" r:id="rId1"/>
    <sheet name="1. EV" sheetId="1" r:id="rId2"/>
    <sheet name="2. Res_NewElectrification" sheetId="2" r:id="rId3"/>
    <sheet name="3. Res_RetroElectrification" sheetId="3" r:id="rId4"/>
    <sheet name="4 Com_Electrication" sheetId="5" r:id="rId5"/>
    <sheet name="5. Summar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C25" i="1"/>
  <c r="E4" i="6"/>
  <c r="E5" i="6"/>
  <c r="E6" i="6"/>
  <c r="E7" i="6"/>
  <c r="E8" i="6"/>
  <c r="E3" i="6"/>
  <c r="F4" i="6"/>
  <c r="F5" i="6"/>
  <c r="F6" i="6"/>
  <c r="F7" i="6"/>
  <c r="F8" i="6"/>
  <c r="F3" i="6"/>
  <c r="D4" i="6"/>
  <c r="D5" i="6"/>
  <c r="D6" i="6"/>
  <c r="D7" i="6"/>
  <c r="D8" i="6"/>
  <c r="D3" i="6"/>
  <c r="AL6" i="1"/>
  <c r="AS6" i="1" s="1"/>
  <c r="AL7" i="1"/>
  <c r="AL8" i="1"/>
  <c r="AL9" i="1"/>
  <c r="AS9" i="1" s="1"/>
  <c r="AL10" i="1"/>
  <c r="AL5" i="1"/>
  <c r="AS5" i="1" s="1"/>
  <c r="AM5" i="1"/>
  <c r="AM10" i="1"/>
  <c r="AK10" i="1"/>
  <c r="AJ10" i="1"/>
  <c r="AI10" i="1"/>
  <c r="AS10" i="1"/>
  <c r="AQ5" i="1"/>
  <c r="AR5" i="1"/>
  <c r="AT5" i="1"/>
  <c r="AQ6" i="1"/>
  <c r="AR6" i="1"/>
  <c r="AT6" i="1"/>
  <c r="AQ7" i="1"/>
  <c r="AR7" i="1"/>
  <c r="AS7" i="1"/>
  <c r="AT7" i="1"/>
  <c r="AQ8" i="1"/>
  <c r="AR8" i="1"/>
  <c r="AS8" i="1"/>
  <c r="AT8" i="1"/>
  <c r="AQ9" i="1"/>
  <c r="AR9" i="1"/>
  <c r="AT9" i="1"/>
  <c r="AQ10" i="1"/>
  <c r="AR10" i="1"/>
  <c r="AT10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P7" i="1"/>
  <c r="P8" i="1"/>
  <c r="P9" i="1"/>
  <c r="P10" i="1"/>
  <c r="P11" i="1"/>
  <c r="P6" i="1"/>
  <c r="H35" i="1"/>
  <c r="H36" i="1"/>
  <c r="H37" i="1"/>
  <c r="H38" i="1"/>
  <c r="H39" i="1"/>
  <c r="H40" i="1"/>
  <c r="H41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C35" i="1"/>
  <c r="C36" i="1"/>
  <c r="C37" i="1"/>
  <c r="C38" i="1"/>
  <c r="C39" i="1"/>
  <c r="C40" i="1"/>
  <c r="C41" i="1"/>
  <c r="C34" i="1"/>
  <c r="C22" i="1"/>
  <c r="D22" i="1"/>
  <c r="E22" i="1"/>
  <c r="F22" i="1"/>
  <c r="G22" i="1"/>
  <c r="C23" i="1"/>
  <c r="D23" i="1"/>
  <c r="H23" i="1" s="1"/>
  <c r="E23" i="1"/>
  <c r="F23" i="1"/>
  <c r="G23" i="1"/>
  <c r="H34" i="1" l="1"/>
  <c r="H22" i="1"/>
  <c r="AO6" i="1" l="1"/>
  <c r="AO7" i="1" s="1"/>
  <c r="AO8" i="1" s="1"/>
  <c r="AO9" i="1" s="1"/>
  <c r="AO10" i="1" s="1"/>
  <c r="K5" i="1"/>
  <c r="K6" i="1" s="1"/>
  <c r="K7" i="1" s="1"/>
  <c r="K8" i="1" s="1"/>
  <c r="K9" i="1" s="1"/>
  <c r="K10" i="1" s="1"/>
  <c r="K11" i="1" s="1"/>
  <c r="AD6" i="1"/>
  <c r="AD7" i="1" s="1"/>
  <c r="AD8" i="1" s="1"/>
  <c r="AD9" i="1" s="1"/>
  <c r="AD10" i="1" s="1"/>
  <c r="M4" i="1"/>
  <c r="H5" i="1"/>
  <c r="H6" i="1"/>
  <c r="H7" i="1"/>
  <c r="H8" i="1"/>
  <c r="H9" i="1"/>
  <c r="L5" i="1" s="1"/>
  <c r="H10" i="1"/>
  <c r="G24" i="1" s="1"/>
  <c r="H11" i="1"/>
  <c r="H12" i="1"/>
  <c r="E26" i="1" s="1"/>
  <c r="H13" i="1"/>
  <c r="C27" i="1" s="1"/>
  <c r="H14" i="1"/>
  <c r="C28" i="1" s="1"/>
  <c r="H15" i="1"/>
  <c r="C29" i="1" s="1"/>
  <c r="H4" i="1"/>
  <c r="E24" i="1" l="1"/>
  <c r="D29" i="1"/>
  <c r="D27" i="1"/>
  <c r="F29" i="1"/>
  <c r="F27" i="1"/>
  <c r="E27" i="1"/>
  <c r="F24" i="1"/>
  <c r="C26" i="1"/>
  <c r="G28" i="1"/>
  <c r="D24" i="1"/>
  <c r="F28" i="1"/>
  <c r="F25" i="1"/>
  <c r="C24" i="1"/>
  <c r="G25" i="1"/>
  <c r="E28" i="1"/>
  <c r="E25" i="1"/>
  <c r="D26" i="1"/>
  <c r="L11" i="1"/>
  <c r="G29" i="1"/>
  <c r="D28" i="1"/>
  <c r="G26" i="1"/>
  <c r="D25" i="1"/>
  <c r="F26" i="1"/>
  <c r="L9" i="1"/>
  <c r="E29" i="1"/>
  <c r="G27" i="1"/>
  <c r="L7" i="1"/>
  <c r="L10" i="1"/>
  <c r="M5" i="1"/>
  <c r="L6" i="1"/>
  <c r="M6" i="1" l="1"/>
  <c r="N6" i="1" s="1"/>
  <c r="H29" i="1"/>
  <c r="H28" i="1"/>
  <c r="H24" i="1"/>
  <c r="H27" i="1"/>
  <c r="H25" i="1"/>
  <c r="H26" i="1"/>
  <c r="M7" i="1" l="1"/>
  <c r="N7" i="1" s="1"/>
  <c r="U6" i="1" l="1"/>
  <c r="M8" i="1"/>
  <c r="M9" i="1" s="1"/>
  <c r="N8" i="1"/>
  <c r="U7" i="1" l="1"/>
  <c r="M10" i="1"/>
  <c r="N9" i="1"/>
  <c r="U8" i="1" l="1"/>
  <c r="M11" i="1"/>
  <c r="N11" i="1" s="1"/>
  <c r="N10" i="1"/>
  <c r="U9" i="1" l="1"/>
  <c r="U10" i="1" l="1"/>
  <c r="U11" i="1"/>
  <c r="T6" i="3" l="1"/>
  <c r="L7" i="3"/>
  <c r="L8" i="3" s="1"/>
  <c r="L9" i="3" s="1"/>
  <c r="L10" i="3" s="1"/>
  <c r="L11" i="3" s="1"/>
  <c r="AK10" i="5"/>
  <c r="AI10" i="5"/>
  <c r="AH10" i="5"/>
  <c r="C4" i="3"/>
  <c r="D4" i="3"/>
  <c r="E4" i="3"/>
  <c r="F4" i="3"/>
  <c r="B4" i="3"/>
  <c r="W11" i="2" l="1"/>
  <c r="AS11" i="5" l="1"/>
  <c r="G4" i="3" l="1"/>
  <c r="C4" i="6"/>
  <c r="C5" i="6" s="1"/>
  <c r="C6" i="6" s="1"/>
  <c r="C7" i="6" s="1"/>
  <c r="C8" i="6" s="1"/>
  <c r="N9" i="3" l="1"/>
  <c r="N7" i="3"/>
  <c r="N11" i="3"/>
  <c r="N8" i="3"/>
  <c r="N6" i="3"/>
  <c r="N10" i="3"/>
  <c r="AH4" i="5"/>
  <c r="AR5" i="5"/>
  <c r="AS12" i="5"/>
  <c r="AR6" i="5" s="1"/>
  <c r="AS13" i="5"/>
  <c r="AR7" i="5" s="1"/>
  <c r="AS14" i="5"/>
  <c r="AP8" i="5" s="1"/>
  <c r="AS15" i="5"/>
  <c r="AR9" i="5" s="1"/>
  <c r="T5" i="5"/>
  <c r="T6" i="5"/>
  <c r="T7" i="5"/>
  <c r="T8" i="5"/>
  <c r="T9" i="5"/>
  <c r="T10" i="5"/>
  <c r="T4" i="5"/>
  <c r="L5" i="5"/>
  <c r="L6" i="5" s="1"/>
  <c r="L7" i="5" s="1"/>
  <c r="L8" i="5" s="1"/>
  <c r="L9" i="5" s="1"/>
  <c r="L10" i="5" s="1"/>
  <c r="J5" i="5"/>
  <c r="J6" i="5"/>
  <c r="J7" i="5"/>
  <c r="J8" i="5"/>
  <c r="J9" i="5"/>
  <c r="J10" i="5"/>
  <c r="J4" i="5"/>
  <c r="V4" i="5" s="1"/>
  <c r="B5" i="5"/>
  <c r="B6" i="5" s="1"/>
  <c r="B7" i="5" s="1"/>
  <c r="B8" i="5" s="1"/>
  <c r="B9" i="5" s="1"/>
  <c r="B10" i="5" s="1"/>
  <c r="R11" i="3"/>
  <c r="R10" i="3"/>
  <c r="R9" i="3"/>
  <c r="R8" i="3"/>
  <c r="R7" i="3"/>
  <c r="R6" i="3"/>
  <c r="U6" i="2"/>
  <c r="U7" i="2"/>
  <c r="U8" i="2"/>
  <c r="U9" i="2"/>
  <c r="U10" i="2"/>
  <c r="U11" i="2"/>
  <c r="U5" i="2"/>
  <c r="A5" i="2"/>
  <c r="A6" i="2" s="1"/>
  <c r="A7" i="2" s="1"/>
  <c r="A8" i="2" s="1"/>
  <c r="A9" i="2" s="1"/>
  <c r="A10" i="2" s="1"/>
  <c r="A11" i="2" s="1"/>
  <c r="T9" i="3" l="1"/>
  <c r="T7" i="3"/>
  <c r="T8" i="3"/>
  <c r="T10" i="3"/>
  <c r="V6" i="5"/>
  <c r="AI6" i="5" s="1"/>
  <c r="AK6" i="5" s="1"/>
  <c r="V5" i="5"/>
  <c r="AI5" i="5" s="1"/>
  <c r="AK5" i="5" s="1"/>
  <c r="V9" i="5"/>
  <c r="AI9" i="5" s="1"/>
  <c r="AK9" i="5" s="1"/>
  <c r="V8" i="5"/>
  <c r="AI8" i="5" s="1"/>
  <c r="AK8" i="5" s="1"/>
  <c r="V10" i="5"/>
  <c r="AH5" i="5"/>
  <c r="V7" i="5"/>
  <c r="AI7" i="5" s="1"/>
  <c r="AK7" i="5" s="1"/>
  <c r="AH9" i="5"/>
  <c r="AH8" i="5"/>
  <c r="AP6" i="5"/>
  <c r="AH7" i="5"/>
  <c r="AQ6" i="5"/>
  <c r="AH6" i="5"/>
  <c r="AQ8" i="5"/>
  <c r="AR8" i="5"/>
  <c r="AP7" i="5"/>
  <c r="AP9" i="5"/>
  <c r="AQ5" i="5"/>
  <c r="AQ7" i="5"/>
  <c r="AQ9" i="5"/>
  <c r="AP5" i="5"/>
  <c r="T11" i="3"/>
  <c r="AS6" i="5" l="1"/>
  <c r="AS8" i="5"/>
  <c r="AS9" i="5"/>
  <c r="AS7" i="5"/>
  <c r="AS5" i="5"/>
  <c r="H7" i="2" l="1"/>
  <c r="L11" i="2"/>
  <c r="K11" i="2"/>
  <c r="J11" i="2"/>
  <c r="I11" i="2"/>
  <c r="H11" i="2"/>
  <c r="L10" i="2"/>
  <c r="K10" i="2"/>
  <c r="J10" i="2"/>
  <c r="I10" i="2"/>
  <c r="H10" i="2"/>
  <c r="L9" i="2"/>
  <c r="K9" i="2"/>
  <c r="J9" i="2"/>
  <c r="I9" i="2"/>
  <c r="H9" i="2"/>
  <c r="L8" i="2"/>
  <c r="K8" i="2"/>
  <c r="J8" i="2"/>
  <c r="I8" i="2"/>
  <c r="H8" i="2"/>
  <c r="L7" i="2"/>
  <c r="K7" i="2"/>
  <c r="J7" i="2"/>
  <c r="I7" i="2"/>
  <c r="L6" i="2"/>
  <c r="K6" i="2"/>
  <c r="J6" i="2"/>
  <c r="I6" i="2"/>
  <c r="H6" i="2"/>
  <c r="AA5" i="1"/>
  <c r="AA6" i="1"/>
  <c r="AA7" i="1"/>
  <c r="AA8" i="1"/>
  <c r="AA9" i="1"/>
  <c r="AA10" i="1"/>
  <c r="AA11" i="1"/>
  <c r="AA12" i="1"/>
  <c r="AA13" i="1"/>
  <c r="AA14" i="1"/>
  <c r="AA15" i="1"/>
  <c r="AA4" i="1"/>
  <c r="AB16" i="1"/>
  <c r="Z16" i="1"/>
  <c r="Y5" i="1"/>
  <c r="Y6" i="1"/>
  <c r="Y7" i="1"/>
  <c r="Y8" i="1"/>
  <c r="Y9" i="1"/>
  <c r="Y10" i="1"/>
  <c r="Y11" i="1"/>
  <c r="Y12" i="1"/>
  <c r="Y13" i="1"/>
  <c r="Y14" i="1"/>
  <c r="Y15" i="1"/>
  <c r="X16" i="1"/>
  <c r="BK6" i="1"/>
  <c r="BK5" i="1"/>
  <c r="BK4" i="1"/>
  <c r="Y16" i="1" l="1"/>
  <c r="M10" i="2"/>
  <c r="P10" i="2" s="1"/>
  <c r="M11" i="2"/>
  <c r="P11" i="2" s="1"/>
  <c r="M8" i="2"/>
  <c r="P8" i="2" s="1"/>
  <c r="P5" i="2"/>
  <c r="Q5" i="2" s="1"/>
  <c r="M9" i="2"/>
  <c r="P9" i="2" s="1"/>
  <c r="M6" i="2"/>
  <c r="P6" i="2" s="1"/>
  <c r="M7" i="2"/>
  <c r="P7" i="2" s="1"/>
  <c r="AA16" i="1"/>
  <c r="Q6" i="2" l="1"/>
  <c r="W5" i="2"/>
  <c r="BC4" i="1"/>
  <c r="BB5" i="1" s="1"/>
  <c r="AF4" i="1"/>
  <c r="AF6" i="1"/>
  <c r="AF7" i="1"/>
  <c r="AF8" i="1"/>
  <c r="AF9" i="1"/>
  <c r="AF10" i="1"/>
  <c r="AF5" i="1"/>
  <c r="Y4" i="1"/>
  <c r="AG5" i="1" l="1"/>
  <c r="W6" i="2"/>
  <c r="Q7" i="2"/>
  <c r="AG6" i="1"/>
  <c r="AG9" i="1"/>
  <c r="AG8" i="1"/>
  <c r="AG7" i="1"/>
  <c r="AX5" i="1"/>
  <c r="AG10" i="1"/>
  <c r="AY5" i="1"/>
  <c r="AZ5" i="1"/>
  <c r="BA5" i="1"/>
  <c r="AP10" i="1" l="1"/>
  <c r="AK8" i="1"/>
  <c r="AM8" i="1"/>
  <c r="AI8" i="1"/>
  <c r="AP8" i="1" s="1"/>
  <c r="AJ8" i="1"/>
  <c r="AI9" i="1"/>
  <c r="AP9" i="1" s="1"/>
  <c r="AM9" i="1"/>
  <c r="AK9" i="1"/>
  <c r="AJ9" i="1"/>
  <c r="AI5" i="1"/>
  <c r="AP5" i="1" s="1"/>
  <c r="AK5" i="1"/>
  <c r="AJ5" i="1"/>
  <c r="AK6" i="1"/>
  <c r="AM6" i="1"/>
  <c r="AI6" i="1"/>
  <c r="AP6" i="1" s="1"/>
  <c r="AJ6" i="1"/>
  <c r="AK7" i="1"/>
  <c r="AI7" i="1"/>
  <c r="AP7" i="1" s="1"/>
  <c r="AM7" i="1"/>
  <c r="AJ7" i="1"/>
  <c r="Q8" i="2"/>
  <c r="W7" i="2"/>
  <c r="AU7" i="1" l="1"/>
  <c r="G4" i="6" s="1"/>
  <c r="Q9" i="2"/>
  <c r="W8" i="2"/>
  <c r="AU6" i="1"/>
  <c r="G3" i="6" s="1"/>
  <c r="AU9" i="1"/>
  <c r="AU10" i="1"/>
  <c r="AU8" i="1"/>
  <c r="AU5" i="1"/>
  <c r="G5" i="6" l="1"/>
  <c r="Q10" i="2"/>
  <c r="W9" i="2"/>
  <c r="G6" i="6" s="1"/>
  <c r="Q11" i="2" l="1"/>
  <c r="G8" i="6" s="1"/>
  <c r="W10" i="2"/>
  <c r="G7" i="6" s="1"/>
</calcChain>
</file>

<file path=xl/sharedStrings.xml><?xml version="1.0" encoding="utf-8"?>
<sst xmlns="http://schemas.openxmlformats.org/spreadsheetml/2006/main" count="251" uniqueCount="156">
  <si>
    <t>Year</t>
  </si>
  <si>
    <t>LDV-BEV</t>
  </si>
  <si>
    <t>LDV-PHEV</t>
  </si>
  <si>
    <t>MDV-BEV</t>
  </si>
  <si>
    <t>MDV-PHEV</t>
  </si>
  <si>
    <t>HDV</t>
  </si>
  <si>
    <t>Source:  ISO New England 2023 Transportation Study</t>
  </si>
  <si>
    <t>Vechicle Average Efficiency</t>
  </si>
  <si>
    <t>miles per kWh</t>
  </si>
  <si>
    <t>km per kWh</t>
  </si>
  <si>
    <t>Reference Yr</t>
  </si>
  <si>
    <t>Eff_Idx</t>
  </si>
  <si>
    <t>Annual kWh Per Vehicle</t>
  </si>
  <si>
    <t>Source: Vermont Efficiency Investment Corporation</t>
  </si>
  <si>
    <t>2023 Vermont State Electric Vehicle Forecast</t>
  </si>
  <si>
    <t>Starting Vehicle Annual Use Adjusted for Efficiency Improvements</t>
  </si>
  <si>
    <t>Calculation</t>
  </si>
  <si>
    <t>Annual Vehicle MWh Sales</t>
  </si>
  <si>
    <t>Total</t>
  </si>
  <si>
    <t>BRZ</t>
  </si>
  <si>
    <t>ERZ</t>
  </si>
  <si>
    <t>GRZ</t>
  </si>
  <si>
    <t>HRZ</t>
  </si>
  <si>
    <t>PRZ</t>
  </si>
  <si>
    <t>Share</t>
  </si>
  <si>
    <t>Pricing Zone Allocation Factors</t>
  </si>
  <si>
    <t>Registered EVs</t>
  </si>
  <si>
    <t>Source: Alectra Planning Group</t>
  </si>
  <si>
    <t>Res</t>
  </si>
  <si>
    <t>GSL50</t>
  </si>
  <si>
    <t>GSP50</t>
  </si>
  <si>
    <t>GSP500/700/1000</t>
  </si>
  <si>
    <t>LU</t>
  </si>
  <si>
    <t>LDV</t>
  </si>
  <si>
    <t>MDV</t>
  </si>
  <si>
    <t>Rate Class Allocation</t>
  </si>
  <si>
    <t>Month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</si>
  <si>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</si>
  <si>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</si>
  <si>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</si>
  <si>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</si>
  <si>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</si>
  <si>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</si>
  <si>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</si>
  <si>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</si>
  <si>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</si>
  <si>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</si>
  <si>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</si>
  <si>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</si>
  <si>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Starting Monthly and Annual Charging kWh per Vehicle</t>
  </si>
  <si>
    <t>Allocation to zones based on Number of Registered Evs</t>
  </si>
  <si>
    <t>Allocation to Rates</t>
  </si>
  <si>
    <t>Starting Year Annual Charging kWh Per Vehicle Type</t>
  </si>
  <si>
    <t>Monthly Charging Pattern Used to Allocate Annual Charging to Billing Months</t>
  </si>
  <si>
    <t>Customer forecast by rate zone</t>
  </si>
  <si>
    <t>Incremental New Cust</t>
  </si>
  <si>
    <t>Source: Itron customer forecast models</t>
  </si>
  <si>
    <t>Calculation fron Customer Forecast</t>
  </si>
  <si>
    <t>Percent of New Homes</t>
  </si>
  <si>
    <t>Source: Discussions with Planning, Rates, and Itron</t>
  </si>
  <si>
    <t>New All Electric Homes</t>
  </si>
  <si>
    <t>Electric Sales</t>
  </si>
  <si>
    <t>MWh</t>
  </si>
  <si>
    <t>Source: Itron</t>
  </si>
  <si>
    <t>SAE Spreadsheet Inputs</t>
  </si>
  <si>
    <t>MidCase Scenario</t>
  </si>
  <si>
    <t>Allocated to Pricing Zones based on Zone New Customer Forecast</t>
  </si>
  <si>
    <t>Retrofit All Electric Homes</t>
  </si>
  <si>
    <t>Conversions</t>
  </si>
  <si>
    <t>Percent</t>
  </si>
  <si>
    <t>Percent of Homes with Electric Heat</t>
  </si>
  <si>
    <t>HtPmp</t>
  </si>
  <si>
    <t>Wt Htr</t>
  </si>
  <si>
    <t>Electric UEC (Annual kWh)</t>
  </si>
  <si>
    <t xml:space="preserve">HtPmp </t>
  </si>
  <si>
    <t>WaterHt</t>
  </si>
  <si>
    <t>Calculation: New All Electric Homes * Total UEC / 1000</t>
  </si>
  <si>
    <t>Electric Sales (MWh)</t>
  </si>
  <si>
    <t>Heating Allocated to Months based on HDD</t>
  </si>
  <si>
    <t>Water Heating Allocated to Months based on Electric Water Heat Profile</t>
  </si>
  <si>
    <t>Brampton</t>
  </si>
  <si>
    <t>Mississauga</t>
  </si>
  <si>
    <t>Hamilton</t>
  </si>
  <si>
    <t>York Region (Alectra)</t>
  </si>
  <si>
    <t>Guelph</t>
  </si>
  <si>
    <t>Simcoe County</t>
  </si>
  <si>
    <t>St. Catharines</t>
  </si>
  <si>
    <t>RetroFit Commercial Electrification Demand Impact (MW)</t>
  </si>
  <si>
    <t>Retrofit + New Const</t>
  </si>
  <si>
    <t>MW</t>
  </si>
  <si>
    <t>%</t>
  </si>
  <si>
    <t>2024 Recorded MWh</t>
  </si>
  <si>
    <t>Sum</t>
  </si>
  <si>
    <t>Rate Class Allocations</t>
  </si>
  <si>
    <t>Rate Allocations Based on 2024 Billed Sales</t>
  </si>
  <si>
    <t>Estimated ElecHeat LF</t>
  </si>
  <si>
    <t>Electric Load Factor Derived from ComStock Hourly Electric Heat Profiles for Commercial Buildings in New York</t>
  </si>
  <si>
    <t>Source: National Energy Renewable Labratories (NREL) Commercial Building Simulation</t>
  </si>
  <si>
    <t>Estimated Sales</t>
  </si>
  <si>
    <t>MW Dmd</t>
  </si>
  <si>
    <t>Hours</t>
  </si>
  <si>
    <t>MWh = Dmd * Hours * Heating Load Factor</t>
  </si>
  <si>
    <t xml:space="preserve">Commercial heating load factors varied from .08 to 0.15 </t>
  </si>
  <si>
    <t>Adjusted to reflect colder weather in Toronto</t>
  </si>
  <si>
    <t>Medium Expected Case</t>
  </si>
  <si>
    <t>Forecast by Pricing Zone Based on Zone Level Demand Forecasts</t>
  </si>
  <si>
    <t>Adjustments (MWh)</t>
  </si>
  <si>
    <t>EV</t>
  </si>
  <si>
    <t>Res Electrification</t>
  </si>
  <si>
    <t>Com Electrification</t>
  </si>
  <si>
    <t>Cum New Homes</t>
  </si>
  <si>
    <t>3-EP-11</t>
  </si>
  <si>
    <t xml:space="preserve">Please list the assumptions regarding electrification, separating the impact of EVs from building electrification. </t>
  </si>
  <si>
    <t>Data Request</t>
  </si>
  <si>
    <t>Response:</t>
  </si>
  <si>
    <t>The assumptions and impact calculations are presented in the forecast tabs</t>
  </si>
  <si>
    <t xml:space="preserve">1. EV </t>
  </si>
  <si>
    <t xml:space="preserve">2. Res _NewElectrification </t>
  </si>
  <si>
    <t>Residential New Electric Home Forecast and MWh calculations and assumptions</t>
  </si>
  <si>
    <t>Electric Vehicle MWh calculations and assumptions</t>
  </si>
  <si>
    <t>3. Res_RetroFitElectrification</t>
  </si>
  <si>
    <t>Residentail Electric Home Conversions and MWh calculations and assumptions</t>
  </si>
  <si>
    <t>Commercial Buidling Electrificatoin and MWh calculation and assumptions</t>
  </si>
  <si>
    <t>4. Com_Electrification</t>
  </si>
  <si>
    <t>5. Summary</t>
  </si>
  <si>
    <t>Electrification MWh Forecast by Type (EV, Residential, and Commercial)</t>
  </si>
  <si>
    <t>Calculatios</t>
  </si>
  <si>
    <t>Convesions * Total UEC /1000</t>
  </si>
  <si>
    <t>Saturations Calibrated into NRCan end-use saturation estimates for Ontario</t>
  </si>
  <si>
    <t>Source: Electric Heat Saturation Estimate from Calibrated SAE Spreadsheets</t>
  </si>
  <si>
    <t>Sum of resistant, heat pump, and ground source heat pump saturations for 2024</t>
  </si>
  <si>
    <t>Existing Customer Base</t>
  </si>
  <si>
    <t>Existing Housing Stock * Share that heat with Gas * Retrofit Percent</t>
  </si>
  <si>
    <t>1. EV Stock Forecast</t>
  </si>
  <si>
    <t>* Starts with actual 2024 stock, 2025 and 2026 sales reduced by 50%</t>
  </si>
  <si>
    <t>* Starts with actual 2024 stock</t>
  </si>
  <si>
    <t>2. Calculations - 2026 EV Forecast</t>
  </si>
  <si>
    <t xml:space="preserve"> Actual Registered EVs</t>
  </si>
  <si>
    <t>Vehicle Allocation Factors</t>
  </si>
  <si>
    <t>Based on System Planning Vehicle Forecast</t>
  </si>
  <si>
    <t>Cumulative EV Vehicles by Type</t>
  </si>
  <si>
    <t xml:space="preserve"> Annual EV Sales</t>
  </si>
  <si>
    <t>2026 Cum EVs</t>
  </si>
  <si>
    <t>3. Calculations Miles Per Vehcile</t>
  </si>
  <si>
    <t>4. Results</t>
  </si>
  <si>
    <t>Number of Vehicles * kWh per Vehicle /1000</t>
  </si>
  <si>
    <t>Adjusted Vehicle Numbers</t>
  </si>
  <si>
    <t xml:space="preserve"> Annual EV Sales (col L) = Current Year Stock - Prior Year Stock</t>
  </si>
  <si>
    <t xml:space="preserve">Cumulaltive EVs  (col M) = Prior Year Stock Plus Current Y ear Sales  </t>
  </si>
  <si>
    <t>Cumulative Starting in 2026 (col N), Stock Additions Starting in 2026</t>
  </si>
  <si>
    <t>2026 Cumulative Forecast Allocated to Type Base on Allocation Factors</t>
  </si>
  <si>
    <t>Derived from system planning vehicle forecast</t>
  </si>
  <si>
    <t>Source:  Alectra Utilities System Planning</t>
  </si>
  <si>
    <t xml:space="preserve"> Cumulative EV</t>
  </si>
  <si>
    <t>Source: Alectra Utilities System Planning</t>
  </si>
  <si>
    <t>New Construction Commercial Electrification Demand Impact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</si>
</sst>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/>
    </xf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0" fontId="3" fillId="0" borderId="0" xfId="0" applyFont="1"/>
    <xf numFmtId="43" fontId="0" fillId="0" borderId="0" xfId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7" fontId="0" fillId="0" borderId="0" xfId="2" applyNumberFormat="1" applyFont="1"/>
    <xf numFmtId="0" fontId="0" fillId="0" borderId="0" xfId="0" applyAlignment="1">
      <alignment horizontal="center"/>
    </xf>
    <xf numFmtId="9" fontId="4" fillId="0" borderId="0" xfId="2" applyFont="1" applyBorder="1"/>
    <xf numFmtId="43" fontId="7" fillId="0" borderId="0" xfId="1" applyFont="1"/>
    <xf numFmtId="165" fontId="4" fillId="0" borderId="0" xfId="1" applyNumberFormat="1" applyFont="1"/>
    <xf numFmtId="165" fontId="3" fillId="0" borderId="0" xfId="1" applyNumberFormat="1" applyFont="1"/>
    <xf numFmtId="165" fontId="7" fillId="0" borderId="0" xfId="1" applyNumberFormat="1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7" fontId="6" fillId="0" borderId="0" xfId="0" applyNumberFormat="1" applyFont="1" applyAlignment="1">
      <alignment horizontal="right"/>
    </xf>
    <xf numFmtId="3" fontId="6" fillId="0" borderId="0" xfId="0" applyNumberFormat="1" applyFont="1"/>
    <xf numFmtId="167" fontId="0" fillId="0" borderId="0" xfId="0" applyNumberFormat="1" applyAlignment="1">
      <alignment horizontal="right"/>
    </xf>
    <xf numFmtId="167" fontId="4" fillId="0" borderId="0" xfId="2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43" fontId="3" fillId="0" borderId="0" xfId="0" applyNumberFormat="1" applyFont="1"/>
    <xf numFmtId="165" fontId="3" fillId="0" borderId="0" xfId="0" applyNumberFormat="1" applyFont="1"/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0" fillId="2" borderId="7" xfId="0" applyFill="1" applyBorder="1"/>
    <xf numFmtId="165" fontId="0" fillId="2" borderId="9" xfId="1" applyNumberFormat="1" applyFont="1" applyFill="1" applyBorder="1"/>
    <xf numFmtId="165" fontId="0" fillId="2" borderId="1" xfId="1" applyNumberFormat="1" applyFont="1" applyFill="1" applyBorder="1"/>
    <xf numFmtId="0" fontId="0" fillId="2" borderId="4" xfId="0" applyFill="1" applyBorder="1"/>
    <xf numFmtId="165" fontId="0" fillId="2" borderId="5" xfId="1" applyNumberFormat="1" applyFont="1" applyFill="1" applyBorder="1"/>
    <xf numFmtId="165" fontId="0" fillId="2" borderId="2" xfId="1" applyNumberFormat="1" applyFont="1" applyFill="1" applyBorder="1"/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0" fillId="0" borderId="10" xfId="0" applyBorder="1"/>
    <xf numFmtId="0" fontId="3" fillId="0" borderId="10" xfId="0" applyFont="1" applyBorder="1" applyAlignment="1">
      <alignment horizontal="right"/>
    </xf>
    <xf numFmtId="165" fontId="0" fillId="0" borderId="10" xfId="1" applyNumberFormat="1" applyFont="1" applyBorder="1"/>
    <xf numFmtId="165" fontId="3" fillId="0" borderId="10" xfId="1" applyNumberFormat="1" applyFont="1" applyBorder="1"/>
    <xf numFmtId="0" fontId="0" fillId="0" borderId="9" xfId="0" applyBorder="1"/>
    <xf numFmtId="0" fontId="3" fillId="0" borderId="9" xfId="0" applyFont="1" applyBorder="1" applyAlignment="1">
      <alignment horizontal="right"/>
    </xf>
    <xf numFmtId="165" fontId="0" fillId="0" borderId="9" xfId="1" applyNumberFormat="1" applyFont="1" applyBorder="1"/>
    <xf numFmtId="165" fontId="3" fillId="0" borderId="9" xfId="1" applyNumberFormat="1" applyFont="1" applyBorder="1"/>
    <xf numFmtId="0" fontId="6" fillId="0" borderId="9" xfId="0" applyFont="1" applyBorder="1"/>
    <xf numFmtId="167" fontId="4" fillId="0" borderId="0" xfId="2" applyNumberFormat="1" applyFont="1" applyAlignment="1">
      <alignment horizontal="center"/>
    </xf>
    <xf numFmtId="9" fontId="0" fillId="0" borderId="0" xfId="2" applyFont="1"/>
    <xf numFmtId="165" fontId="0" fillId="0" borderId="0" xfId="1" applyNumberFormat="1" applyFont="1" applyBorder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0" fillId="0" borderId="10" xfId="0" applyNumberFormat="1" applyBorder="1"/>
    <xf numFmtId="0" fontId="0" fillId="0" borderId="10" xfId="0" applyBorder="1" applyAlignment="1">
      <alignment horizontal="right"/>
    </xf>
    <xf numFmtId="2" fontId="7" fillId="0" borderId="0" xfId="0" applyNumberFormat="1" applyFont="1"/>
    <xf numFmtId="2" fontId="0" fillId="0" borderId="0" xfId="0" applyNumberFormat="1"/>
    <xf numFmtId="166" fontId="0" fillId="0" borderId="0" xfId="0" applyNumberFormat="1"/>
    <xf numFmtId="3" fontId="4" fillId="0" borderId="0" xfId="2" applyNumberFormat="1" applyFont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/>
    </xf>
    <xf numFmtId="3" fontId="3" fillId="0" borderId="0" xfId="0" applyNumberFormat="1" applyFont="1"/>
    <xf numFmtId="167" fontId="0" fillId="3" borderId="0" xfId="2" applyNumberFormat="1" applyFont="1" applyFill="1"/>
    <xf numFmtId="167" fontId="7" fillId="3" borderId="0" xfId="0" applyNumberFormat="1" applyFont="1" applyFill="1" applyAlignment="1">
      <alignment horizontal="right"/>
    </xf>
    <xf numFmtId="167" fontId="6" fillId="3" borderId="0" xfId="0" applyNumberFormat="1" applyFont="1" applyFill="1" applyAlignment="1">
      <alignment horizontal="right"/>
    </xf>
    <xf numFmtId="3" fontId="6" fillId="3" borderId="0" xfId="0" applyNumberFormat="1" applyFont="1" applyFill="1"/>
    <xf numFmtId="0" fontId="7" fillId="3" borderId="0" xfId="0" applyFont="1" applyFill="1"/>
    <xf numFmtId="0" fontId="0" fillId="3" borderId="0" xfId="0" applyFill="1"/>
    <xf numFmtId="0" fontId="3" fillId="3" borderId="0" xfId="0" applyFont="1" applyFill="1"/>
    <xf numFmtId="164" fontId="0" fillId="3" borderId="0" xfId="1" applyNumberFormat="1" applyFont="1" applyFill="1"/>
    <xf numFmtId="43" fontId="3" fillId="3" borderId="0" xfId="0" applyNumberFormat="1" applyFont="1" applyFill="1"/>
    <xf numFmtId="0" fontId="8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43" fontId="11" fillId="3" borderId="0" xfId="0" applyNumberFormat="1" applyFont="1" applyFill="1"/>
    <xf numFmtId="167" fontId="12" fillId="3" borderId="0" xfId="2" applyNumberFormat="1" applyFont="1" applyFill="1"/>
    <xf numFmtId="3" fontId="12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6667-8978-46CF-85F2-2681F9CC7232}">
  <dimension ref="A1:M8"/>
  <sheetViews>
    <sheetView tabSelected="1" workbookViewId="0">
      <selection activeCell="I11" sqref="I11"/>
    </sheetView>
  </sheetViews>
  <sheetFormatPr defaultRowHeight="14.5" x14ac:dyDescent="0.35"/>
  <cols>
    <col min="1" max="1" width="20.26953125" customWidth="1"/>
    <col min="2" max="2" width="10.453125" customWidth="1"/>
    <col min="3" max="3" width="29.54296875" customWidth="1"/>
  </cols>
  <sheetData>
    <row r="1" spans="1:13" x14ac:dyDescent="0.35">
      <c r="A1" s="7" t="s">
        <v>113</v>
      </c>
      <c r="B1" s="7" t="s">
        <v>111</v>
      </c>
      <c r="C1" s="7" t="s">
        <v>112</v>
      </c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x14ac:dyDescent="0.35">
      <c r="A3" s="7" t="s">
        <v>114</v>
      </c>
      <c r="C3" s="7" t="s">
        <v>115</v>
      </c>
      <c r="D3" s="7"/>
      <c r="E3" s="7"/>
      <c r="F3" s="7"/>
    </row>
    <row r="4" spans="1:13" x14ac:dyDescent="0.35">
      <c r="C4" s="7" t="s">
        <v>116</v>
      </c>
      <c r="D4" s="7" t="s">
        <v>119</v>
      </c>
      <c r="E4" s="7"/>
    </row>
    <row r="5" spans="1:13" x14ac:dyDescent="0.35">
      <c r="C5" s="7" t="s">
        <v>117</v>
      </c>
      <c r="D5" s="7" t="s">
        <v>118</v>
      </c>
      <c r="E5" s="7"/>
    </row>
    <row r="6" spans="1:13" x14ac:dyDescent="0.35">
      <c r="C6" s="7" t="s">
        <v>120</v>
      </c>
      <c r="D6" s="7" t="s">
        <v>121</v>
      </c>
      <c r="E6" s="7"/>
    </row>
    <row r="7" spans="1:13" x14ac:dyDescent="0.35">
      <c r="C7" s="7" t="s">
        <v>123</v>
      </c>
      <c r="D7" s="7" t="s">
        <v>122</v>
      </c>
      <c r="E7" s="7"/>
    </row>
    <row r="8" spans="1:13" x14ac:dyDescent="0.35">
      <c r="C8" s="7" t="s">
        <v>124</v>
      </c>
      <c r="D8" s="7" t="s">
        <v>125</v>
      </c>
      <c r="E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43A7-41D1-4DD6-AEDE-8333CCC4D896}">
  <dimension ref="B1:BK41"/>
  <sheetViews>
    <sheetView workbookViewId="0">
      <selection activeCell="N24" sqref="N24"/>
    </sheetView>
  </sheetViews>
  <sheetFormatPr defaultRowHeight="14.5" x14ac:dyDescent="0.35"/>
  <cols>
    <col min="3" max="3" width="12.1796875" customWidth="1"/>
    <col min="4" max="4" width="12.81640625" customWidth="1"/>
    <col min="5" max="5" width="12.1796875" customWidth="1"/>
    <col min="6" max="6" width="10.54296875" customWidth="1"/>
    <col min="8" max="8" width="10.54296875" bestFit="1" customWidth="1"/>
    <col min="9" max="9" width="24.7265625" bestFit="1" customWidth="1"/>
    <col min="10" max="10" width="1.81640625" customWidth="1"/>
    <col min="11" max="11" width="11.26953125" customWidth="1"/>
    <col min="12" max="12" width="18.26953125" customWidth="1"/>
    <col min="13" max="13" width="16.7265625" customWidth="1"/>
    <col min="14" max="14" width="18.7265625" customWidth="1"/>
    <col min="15" max="15" width="8.26953125" customWidth="1"/>
    <col min="16" max="16" width="10.54296875" customWidth="1"/>
    <col min="17" max="17" width="10.7265625" customWidth="1"/>
    <col min="19" max="19" width="11.453125" customWidth="1"/>
    <col min="21" max="21" width="13.26953125" customWidth="1"/>
    <col min="22" max="22" width="2.1796875" customWidth="1"/>
    <col min="23" max="23" width="9.54296875" customWidth="1"/>
    <col min="24" max="24" width="15.26953125" customWidth="1"/>
    <col min="25" max="25" width="12.26953125" customWidth="1"/>
    <col min="26" max="26" width="13.1796875" customWidth="1"/>
    <col min="27" max="27" width="11.1796875" customWidth="1"/>
    <col min="28" max="28" width="11.54296875" bestFit="1" customWidth="1"/>
    <col min="29" max="29" width="2.1796875" customWidth="1"/>
    <col min="30" max="30" width="14.453125" customWidth="1"/>
    <col min="31" max="31" width="15.1796875" customWidth="1"/>
    <col min="32" max="32" width="13.1796875" customWidth="1"/>
    <col min="33" max="33" width="9.7265625" customWidth="1"/>
    <col min="34" max="34" width="1.81640625" customWidth="1"/>
    <col min="35" max="35" width="14.81640625" customWidth="1"/>
    <col min="36" max="36" width="9.54296875" bestFit="1" customWidth="1"/>
    <col min="37" max="37" width="10.7265625" customWidth="1"/>
    <col min="38" max="38" width="12" customWidth="1"/>
    <col min="39" max="39" width="11.54296875" bestFit="1" customWidth="1"/>
    <col min="40" max="40" width="10" customWidth="1"/>
    <col min="41" max="41" width="8.81640625" customWidth="1"/>
    <col min="42" max="42" width="18.26953125" customWidth="1"/>
    <col min="43" max="43" width="11.7265625" customWidth="1"/>
    <col min="44" max="44" width="13.453125" customWidth="1"/>
    <col min="45" max="45" width="12.26953125" customWidth="1"/>
    <col min="46" max="46" width="10.54296875" customWidth="1"/>
    <col min="47" max="47" width="14.1796875" customWidth="1"/>
    <col min="48" max="48" width="3.26953125" customWidth="1"/>
    <col min="49" max="49" width="14.54296875" customWidth="1"/>
    <col min="50" max="53" width="9.54296875" bestFit="1" customWidth="1"/>
    <col min="54" max="54" width="10.54296875" bestFit="1" customWidth="1"/>
    <col min="55" max="55" width="12" customWidth="1"/>
    <col min="56" max="56" width="5" customWidth="1"/>
    <col min="57" max="57" width="19.81640625" bestFit="1" customWidth="1"/>
    <col min="61" max="61" width="16" bestFit="1" customWidth="1"/>
  </cols>
  <sheetData>
    <row r="1" spans="2:63" x14ac:dyDescent="0.35">
      <c r="B1" s="7" t="s">
        <v>133</v>
      </c>
      <c r="C1" s="7"/>
      <c r="L1" s="7" t="s">
        <v>136</v>
      </c>
      <c r="U1" s="50"/>
      <c r="V1" s="54"/>
      <c r="W1" s="7" t="s">
        <v>143</v>
      </c>
      <c r="AM1" s="50"/>
      <c r="AN1" s="54"/>
      <c r="AP1" s="7" t="s">
        <v>144</v>
      </c>
    </row>
    <row r="2" spans="2:63" x14ac:dyDescent="0.35">
      <c r="B2" s="7"/>
      <c r="I2" s="50"/>
      <c r="J2" s="54"/>
      <c r="P2" s="96" t="s">
        <v>140</v>
      </c>
      <c r="Q2" s="96"/>
      <c r="R2" s="96"/>
      <c r="S2" s="96"/>
      <c r="T2" s="96"/>
      <c r="U2" s="97"/>
      <c r="V2" s="54"/>
      <c r="X2" s="7" t="s">
        <v>49</v>
      </c>
      <c r="AD2" s="7" t="s">
        <v>7</v>
      </c>
      <c r="AI2" s="7" t="s">
        <v>12</v>
      </c>
      <c r="AM2" s="50"/>
      <c r="AN2" s="54"/>
      <c r="AP2" s="7" t="s">
        <v>17</v>
      </c>
      <c r="AW2" s="7" t="s">
        <v>25</v>
      </c>
      <c r="BE2" s="7" t="s">
        <v>35</v>
      </c>
    </row>
    <row r="3" spans="2:63" x14ac:dyDescent="0.35">
      <c r="B3" s="75" t="s">
        <v>0</v>
      </c>
      <c r="C3" s="75" t="s">
        <v>1</v>
      </c>
      <c r="D3" s="75" t="s">
        <v>2</v>
      </c>
      <c r="E3" s="75" t="s">
        <v>3</v>
      </c>
      <c r="F3" s="75" t="s">
        <v>4</v>
      </c>
      <c r="G3" s="75" t="s">
        <v>5</v>
      </c>
      <c r="H3" s="73" t="s">
        <v>18</v>
      </c>
      <c r="I3" s="51" t="s">
        <v>137</v>
      </c>
      <c r="J3" s="55"/>
      <c r="K3" s="27"/>
      <c r="L3" s="27" t="s">
        <v>141</v>
      </c>
      <c r="M3" s="27" t="s">
        <v>153</v>
      </c>
      <c r="N3" s="27" t="s">
        <v>142</v>
      </c>
      <c r="O3" s="27"/>
      <c r="P3" s="27" t="s">
        <v>1</v>
      </c>
      <c r="Q3" s="27" t="s">
        <v>2</v>
      </c>
      <c r="R3" s="27" t="s">
        <v>3</v>
      </c>
      <c r="S3" s="27" t="s">
        <v>4</v>
      </c>
      <c r="T3" s="27" t="s">
        <v>5</v>
      </c>
      <c r="U3" s="51" t="s">
        <v>18</v>
      </c>
      <c r="V3" s="54"/>
      <c r="W3" s="1" t="s">
        <v>36</v>
      </c>
      <c r="X3" s="1" t="s">
        <v>1</v>
      </c>
      <c r="Y3" s="1" t="s">
        <v>2</v>
      </c>
      <c r="Z3" s="1" t="s">
        <v>3</v>
      </c>
      <c r="AA3" s="1" t="s">
        <v>4</v>
      </c>
      <c r="AB3" s="1" t="s">
        <v>5</v>
      </c>
      <c r="AE3" s="1" t="s">
        <v>8</v>
      </c>
      <c r="AF3" s="1" t="s">
        <v>9</v>
      </c>
      <c r="AG3" s="1" t="s">
        <v>11</v>
      </c>
      <c r="AI3" s="1" t="s">
        <v>1</v>
      </c>
      <c r="AJ3" s="1" t="s">
        <v>2</v>
      </c>
      <c r="AK3" s="1" t="s">
        <v>3</v>
      </c>
      <c r="AL3" s="1" t="s">
        <v>4</v>
      </c>
      <c r="AM3" s="65" t="s">
        <v>5</v>
      </c>
      <c r="AN3" s="54"/>
      <c r="AO3" s="1" t="s">
        <v>0</v>
      </c>
      <c r="AP3" s="1" t="s">
        <v>1</v>
      </c>
      <c r="AQ3" s="1" t="s">
        <v>2</v>
      </c>
      <c r="AR3" s="1" t="s">
        <v>3</v>
      </c>
      <c r="AS3" s="1" t="s">
        <v>4</v>
      </c>
      <c r="AT3" s="1" t="s">
        <v>5</v>
      </c>
      <c r="AU3" s="1" t="s">
        <v>18</v>
      </c>
      <c r="AX3" s="1" t="s">
        <v>19</v>
      </c>
      <c r="AY3" s="1" t="s">
        <v>20</v>
      </c>
      <c r="AZ3" s="1" t="s">
        <v>21</v>
      </c>
      <c r="BA3" s="1" t="s">
        <v>22</v>
      </c>
      <c r="BB3" s="1" t="s">
        <v>23</v>
      </c>
      <c r="BC3" s="1" t="s">
        <v>18</v>
      </c>
      <c r="BE3" s="14"/>
      <c r="BF3" s="14" t="s">
        <v>28</v>
      </c>
      <c r="BG3" s="14" t="s">
        <v>29</v>
      </c>
      <c r="BH3" s="14" t="s">
        <v>30</v>
      </c>
      <c r="BI3" s="14" t="s">
        <v>31</v>
      </c>
      <c r="BJ3" s="14" t="s">
        <v>32</v>
      </c>
      <c r="BK3" s="14" t="s">
        <v>18</v>
      </c>
    </row>
    <row r="4" spans="2:63" x14ac:dyDescent="0.35">
      <c r="B4" s="75">
        <v>2020</v>
      </c>
      <c r="C4" s="72">
        <v>11071</v>
      </c>
      <c r="D4" s="72">
        <v>7334</v>
      </c>
      <c r="E4" s="72">
        <v>0</v>
      </c>
      <c r="F4" s="72">
        <v>0</v>
      </c>
      <c r="G4" s="72">
        <v>0</v>
      </c>
      <c r="H4" s="74">
        <f>SUM(C4:G4)</f>
        <v>18405</v>
      </c>
      <c r="I4" s="50"/>
      <c r="J4" s="54"/>
      <c r="K4" s="63" t="s">
        <v>0</v>
      </c>
      <c r="L4" s="18"/>
      <c r="M4" s="37">
        <f>I8</f>
        <v>59308</v>
      </c>
      <c r="N4" s="37"/>
      <c r="O4" s="37"/>
      <c r="U4" s="50"/>
      <c r="V4" s="54"/>
      <c r="W4" t="s">
        <v>37</v>
      </c>
      <c r="X4" s="6">
        <v>434</v>
      </c>
      <c r="Y4" s="17">
        <f>X4*0.5</f>
        <v>217</v>
      </c>
      <c r="Z4" s="6">
        <v>2325</v>
      </c>
      <c r="AA4" s="6">
        <f>Z4*0.5</f>
        <v>1162.5</v>
      </c>
      <c r="AB4" s="61">
        <v>12400</v>
      </c>
      <c r="AC4" s="10"/>
      <c r="AD4" s="25" t="s">
        <v>10</v>
      </c>
      <c r="AE4" s="16">
        <v>3.1</v>
      </c>
      <c r="AF4" s="16">
        <f>AE4*1.609</f>
        <v>4.9878999999999998</v>
      </c>
      <c r="AG4" s="66">
        <v>1</v>
      </c>
      <c r="AM4" s="50"/>
      <c r="AN4" s="54"/>
      <c r="AW4" t="s">
        <v>26</v>
      </c>
      <c r="AX4" s="6">
        <v>7731</v>
      </c>
      <c r="AY4" s="6">
        <v>9927</v>
      </c>
      <c r="AZ4" s="6">
        <v>3083</v>
      </c>
      <c r="BA4" s="6">
        <v>8493</v>
      </c>
      <c r="BB4" s="6">
        <v>26415</v>
      </c>
      <c r="BC4" s="4">
        <f>SUM(AX4:BB4)</f>
        <v>55649</v>
      </c>
      <c r="BE4" t="s">
        <v>33</v>
      </c>
      <c r="BF4" s="15">
        <v>0.8</v>
      </c>
      <c r="BG4" s="15">
        <v>0.2</v>
      </c>
      <c r="BH4" s="15">
        <v>0</v>
      </c>
      <c r="BI4" s="15">
        <v>0</v>
      </c>
      <c r="BJ4" s="15">
        <v>0</v>
      </c>
      <c r="BK4" s="15">
        <f>SUM(BF4:BJ4)</f>
        <v>1</v>
      </c>
    </row>
    <row r="5" spans="2:63" ht="12" customHeight="1" x14ac:dyDescent="0.35">
      <c r="B5" s="75">
        <v>2021</v>
      </c>
      <c r="C5" s="72">
        <v>14123.108187666667</v>
      </c>
      <c r="D5" s="72">
        <v>9438.9819435666668</v>
      </c>
      <c r="E5" s="72">
        <v>59.431656122029068</v>
      </c>
      <c r="F5" s="72">
        <v>12.421466431446905</v>
      </c>
      <c r="G5" s="72">
        <v>7.7248693491945541</v>
      </c>
      <c r="H5" s="74">
        <f t="shared" ref="H5:H15" si="0">SUM(C5:G5)</f>
        <v>23641.668123136002</v>
      </c>
      <c r="I5" s="52">
        <v>21055</v>
      </c>
      <c r="J5" s="56"/>
      <c r="K5" s="7">
        <f>B9</f>
        <v>2025</v>
      </c>
      <c r="L5" s="76">
        <f>(H9-I8)*0.5</f>
        <v>5800.2029245283193</v>
      </c>
      <c r="M5" s="6">
        <f>M4+L5</f>
        <v>65108.202924528319</v>
      </c>
      <c r="N5" s="6"/>
      <c r="O5" s="6"/>
      <c r="U5" s="50"/>
      <c r="V5" s="54"/>
      <c r="W5" t="s">
        <v>38</v>
      </c>
      <c r="X5" s="6">
        <v>392</v>
      </c>
      <c r="Y5" s="17">
        <f t="shared" ref="Y5:Y16" si="1">X5*0.5</f>
        <v>196</v>
      </c>
      <c r="Z5" s="6">
        <v>2072</v>
      </c>
      <c r="AA5" s="6">
        <f t="shared" ref="AA5:AA15" si="2">Z5*0.5</f>
        <v>1036</v>
      </c>
      <c r="AB5" s="61">
        <v>11200</v>
      </c>
      <c r="AC5" s="10"/>
      <c r="AD5">
        <v>2026</v>
      </c>
      <c r="AE5" s="8">
        <v>3.3922857142857143</v>
      </c>
      <c r="AF5" s="8">
        <f>AE5*1.609</f>
        <v>5.4581877142857147</v>
      </c>
      <c r="AG5" s="67">
        <f>AF5/$AF$4</f>
        <v>1.0942857142857143</v>
      </c>
      <c r="AI5" s="6">
        <f>$X$16/AG5</f>
        <v>3998.9556135770235</v>
      </c>
      <c r="AJ5" s="6">
        <f>$Y$16/AG5</f>
        <v>1999.4778067885118</v>
      </c>
      <c r="AK5" s="6">
        <f>$Z$16/AG5</f>
        <v>24123.498694516969</v>
      </c>
      <c r="AL5" s="6">
        <f>$AA$16/AG5</f>
        <v>12061.749347258485</v>
      </c>
      <c r="AM5" s="52">
        <f>$AB$16/AG5</f>
        <v>120836.81462140993</v>
      </c>
      <c r="AN5" s="54"/>
      <c r="AO5">
        <v>2026</v>
      </c>
      <c r="AP5" s="6">
        <f>P6*AI5/1000</f>
        <v>58640.145518760502</v>
      </c>
      <c r="AQ5" s="6">
        <f t="shared" ref="AQ5:AT10" si="3">Q6*AJ5/1000</f>
        <v>4941.9832540559282</v>
      </c>
      <c r="AR5" s="6">
        <f t="shared" si="3"/>
        <v>3244.6572119514035</v>
      </c>
      <c r="AS5" s="6">
        <f t="shared" si="3"/>
        <v>180.25873399730028</v>
      </c>
      <c r="AT5" s="6">
        <f t="shared" si="3"/>
        <v>2971.6457146432981</v>
      </c>
      <c r="AU5" s="4">
        <f>SUM(AP5:AT5)</f>
        <v>69978.690433408425</v>
      </c>
      <c r="AW5" t="s">
        <v>24</v>
      </c>
      <c r="AX5" s="13">
        <f>AX4/$BC$4</f>
        <v>0.13892432927815415</v>
      </c>
      <c r="AY5" s="13">
        <f>AY4/$BC$4</f>
        <v>0.17838595482398606</v>
      </c>
      <c r="AZ5" s="13">
        <f>AZ4/$BC$4</f>
        <v>5.5400815827777679E-2</v>
      </c>
      <c r="BA5" s="13">
        <f>BA4/$BC$4</f>
        <v>0.15261729770525975</v>
      </c>
      <c r="BB5" s="13">
        <f>BB4/$BC$4</f>
        <v>0.47467160236482236</v>
      </c>
      <c r="BC5" s="4"/>
      <c r="BE5" t="s">
        <v>34</v>
      </c>
      <c r="BF5" s="15">
        <v>0</v>
      </c>
      <c r="BG5" s="15">
        <v>0.5</v>
      </c>
      <c r="BH5" s="15">
        <v>0.25</v>
      </c>
      <c r="BI5" s="15">
        <v>0.25</v>
      </c>
      <c r="BJ5" s="15">
        <v>0</v>
      </c>
      <c r="BK5" s="15">
        <f>SUM(BF5:BJ5)</f>
        <v>1</v>
      </c>
    </row>
    <row r="6" spans="2:63" x14ac:dyDescent="0.35">
      <c r="B6" s="75">
        <v>2022</v>
      </c>
      <c r="C6" s="72">
        <v>17612.862139598412</v>
      </c>
      <c r="D6" s="72">
        <v>11573.882408675719</v>
      </c>
      <c r="E6" s="72">
        <v>150.78305352165188</v>
      </c>
      <c r="F6" s="72">
        <v>27.569309953183485</v>
      </c>
      <c r="G6" s="72">
        <v>31.351901966815209</v>
      </c>
      <c r="H6" s="74">
        <f t="shared" si="0"/>
        <v>29396.448813715782</v>
      </c>
      <c r="I6" s="52">
        <v>28346</v>
      </c>
      <c r="J6" s="56"/>
      <c r="K6" s="7">
        <f>K5+1</f>
        <v>2026</v>
      </c>
      <c r="L6" s="76">
        <f>(H10-H9)*0.5</f>
        <v>17309.540842205613</v>
      </c>
      <c r="M6" s="6">
        <f t="shared" ref="M6:M11" si="4">M5+L6</f>
        <v>82417.74376673394</v>
      </c>
      <c r="N6" s="6">
        <f t="shared" ref="N6:N10" si="5">M6-$M$5</f>
        <v>17309.540842205621</v>
      </c>
      <c r="O6" s="6"/>
      <c r="P6" s="4">
        <f>C36-C$35</f>
        <v>14663.865065085709</v>
      </c>
      <c r="Q6" s="4">
        <f t="shared" ref="Q6:T11" si="6">D36-D$35</f>
        <v>2471.6369630496483</v>
      </c>
      <c r="R6" s="4">
        <f t="shared" si="6"/>
        <v>134.5019332825417</v>
      </c>
      <c r="S6" s="4">
        <f t="shared" si="6"/>
        <v>14.944659253615754</v>
      </c>
      <c r="T6" s="4">
        <f t="shared" si="6"/>
        <v>24.592221534088509</v>
      </c>
      <c r="U6" s="64">
        <f t="shared" ref="U6:U11" si="7">SUM(P6:T6)</f>
        <v>17309.540842205603</v>
      </c>
      <c r="V6" s="54"/>
      <c r="W6" t="s">
        <v>39</v>
      </c>
      <c r="X6" s="6">
        <v>403</v>
      </c>
      <c r="Y6" s="17">
        <f t="shared" si="1"/>
        <v>201.5</v>
      </c>
      <c r="Z6" s="6">
        <v>2263</v>
      </c>
      <c r="AA6" s="6">
        <f t="shared" si="2"/>
        <v>1131.5</v>
      </c>
      <c r="AB6" s="61">
        <v>12090</v>
      </c>
      <c r="AD6">
        <f>AD5+1</f>
        <v>2027</v>
      </c>
      <c r="AE6" s="8">
        <v>3.418857142857143</v>
      </c>
      <c r="AF6" s="8">
        <f t="shared" ref="AF6:AF10" si="8">AE6*1.609</f>
        <v>5.5009411428571431</v>
      </c>
      <c r="AG6" s="67">
        <f t="shared" ref="AG6:AG10" si="9">AF6/$AF$4</f>
        <v>1.102857142857143</v>
      </c>
      <c r="AI6" s="6">
        <f t="shared" ref="AI6:AI9" si="10">$X$16/AG6</f>
        <v>3967.8756476683934</v>
      </c>
      <c r="AJ6" s="6">
        <f t="shared" ref="AJ6:AJ9" si="11">$Y$16/AG6</f>
        <v>1983.9378238341967</v>
      </c>
      <c r="AK6" s="6">
        <f t="shared" ref="AK6:AK9" si="12">$Z$16/AG6</f>
        <v>23936.010362694298</v>
      </c>
      <c r="AL6" s="6">
        <f t="shared" ref="AL6:AL10" si="13">$AA$16/AG6</f>
        <v>11968.005181347149</v>
      </c>
      <c r="AM6" s="52">
        <f>$AB$16/AG6</f>
        <v>119897.66839378237</v>
      </c>
      <c r="AN6" s="54"/>
      <c r="AO6">
        <f>AO5+1</f>
        <v>2027</v>
      </c>
      <c r="AP6" s="6">
        <f t="shared" ref="AP6:AP9" si="14">P7*AI6/1000</f>
        <v>220937.3337210177</v>
      </c>
      <c r="AQ6" s="6">
        <f t="shared" si="3"/>
        <v>24987.674800618581</v>
      </c>
      <c r="AR6" s="6">
        <f t="shared" si="3"/>
        <v>12890.851512450028</v>
      </c>
      <c r="AS6" s="6">
        <f t="shared" si="3"/>
        <v>716.1584173583351</v>
      </c>
      <c r="AT6" s="6">
        <f t="shared" si="3"/>
        <v>12843.97476697447</v>
      </c>
      <c r="AU6" s="4">
        <f>SUM(AP6:AT6)</f>
        <v>272375.99321841908</v>
      </c>
      <c r="BE6" t="s">
        <v>5</v>
      </c>
      <c r="BF6" s="15">
        <v>0</v>
      </c>
      <c r="BG6" s="15">
        <v>0</v>
      </c>
      <c r="BH6" s="15">
        <v>0</v>
      </c>
      <c r="BI6" s="15">
        <v>0.7</v>
      </c>
      <c r="BJ6" s="15">
        <v>0.3</v>
      </c>
      <c r="BK6" s="15">
        <f>SUM(BF6:BJ6)</f>
        <v>1</v>
      </c>
    </row>
    <row r="7" spans="2:63" x14ac:dyDescent="0.35">
      <c r="B7" s="75">
        <v>2023</v>
      </c>
      <c r="C7" s="72">
        <v>23387.526846899917</v>
      </c>
      <c r="D7" s="72">
        <v>14974.471608171894</v>
      </c>
      <c r="E7" s="72">
        <v>426.77029485281901</v>
      </c>
      <c r="F7" s="72">
        <v>47.418921650313223</v>
      </c>
      <c r="G7" s="72">
        <v>99.896885689040232</v>
      </c>
      <c r="H7" s="74">
        <f t="shared" si="0"/>
        <v>38936.084557263981</v>
      </c>
      <c r="I7" s="52">
        <v>41992</v>
      </c>
      <c r="J7" s="56"/>
      <c r="K7">
        <f t="shared" ref="K7:K11" si="15">K6+1</f>
        <v>2027</v>
      </c>
      <c r="L7" s="22">
        <f>H11-H10</f>
        <v>51672.483233053135</v>
      </c>
      <c r="M7" s="6">
        <f t="shared" si="4"/>
        <v>134090.22699978709</v>
      </c>
      <c r="N7" s="6">
        <f t="shared" si="5"/>
        <v>68982.024075258771</v>
      </c>
      <c r="O7" s="6"/>
      <c r="P7" s="4">
        <f t="shared" ref="P7:P11" si="16">C37-C$35</f>
        <v>55681.516594615328</v>
      </c>
      <c r="Q7" s="4">
        <f t="shared" si="6"/>
        <v>12594.988865289597</v>
      </c>
      <c r="R7" s="4">
        <f t="shared" si="6"/>
        <v>538.55472641928623</v>
      </c>
      <c r="S7" s="4">
        <f t="shared" si="6"/>
        <v>59.839414046587379</v>
      </c>
      <c r="T7" s="4">
        <f t="shared" si="6"/>
        <v>107.12447488795812</v>
      </c>
      <c r="U7" s="64">
        <f t="shared" si="7"/>
        <v>68982.024075258756</v>
      </c>
      <c r="V7" s="54"/>
      <c r="W7" t="s">
        <v>40</v>
      </c>
      <c r="X7" s="6">
        <v>360</v>
      </c>
      <c r="Y7" s="17">
        <f t="shared" si="1"/>
        <v>180</v>
      </c>
      <c r="Z7" s="6">
        <v>2160</v>
      </c>
      <c r="AA7" s="6">
        <f t="shared" si="2"/>
        <v>1080</v>
      </c>
      <c r="AB7" s="61">
        <v>11250</v>
      </c>
      <c r="AD7">
        <f t="shared" ref="AD7:AD10" si="17">AD6+1</f>
        <v>2028</v>
      </c>
      <c r="AE7" s="8">
        <v>3.4454285714285717</v>
      </c>
      <c r="AF7" s="8">
        <f t="shared" si="8"/>
        <v>5.5436945714285715</v>
      </c>
      <c r="AG7" s="67">
        <f t="shared" si="9"/>
        <v>1.1114285714285714</v>
      </c>
      <c r="AI7" s="6">
        <f t="shared" si="10"/>
        <v>3937.2750642673523</v>
      </c>
      <c r="AJ7" s="6">
        <f t="shared" si="11"/>
        <v>1968.6375321336761</v>
      </c>
      <c r="AK7" s="6">
        <f t="shared" si="12"/>
        <v>23751.413881748071</v>
      </c>
      <c r="AL7" s="6">
        <f t="shared" si="13"/>
        <v>11875.706940874035</v>
      </c>
      <c r="AM7" s="52">
        <f t="shared" ref="AM7:AM9" si="18">$AB$16/AG7</f>
        <v>118973.00771208227</v>
      </c>
      <c r="AN7" s="54"/>
      <c r="AO7">
        <f t="shared" ref="AO7:AO10" si="19">AO6+1</f>
        <v>2028</v>
      </c>
      <c r="AP7" s="6">
        <f t="shared" si="14"/>
        <v>444699.84854175051</v>
      </c>
      <c r="AQ7" s="6">
        <f t="shared" si="3"/>
        <v>48257.412812934279</v>
      </c>
      <c r="AR7" s="6">
        <f t="shared" si="3"/>
        <v>23306.145479909992</v>
      </c>
      <c r="AS7" s="6">
        <f t="shared" si="3"/>
        <v>1294.7858599949993</v>
      </c>
      <c r="AT7" s="6">
        <f t="shared" si="3"/>
        <v>23946.352056842723</v>
      </c>
      <c r="AU7" s="4">
        <f t="shared" ref="AU7:AU10" si="20">SUM(AP7:AT7)</f>
        <v>541504.54475143249</v>
      </c>
    </row>
    <row r="8" spans="2:63" x14ac:dyDescent="0.35">
      <c r="B8" s="75">
        <v>2024</v>
      </c>
      <c r="C8" s="72">
        <v>31349.417334769561</v>
      </c>
      <c r="D8" s="72">
        <v>19441.379187261831</v>
      </c>
      <c r="E8" s="72">
        <v>655.88109046187571</v>
      </c>
      <c r="F8" s="72">
        <v>72.875676717986195</v>
      </c>
      <c r="G8" s="72">
        <v>143.03719795215301</v>
      </c>
      <c r="H8" s="74">
        <f t="shared" si="0"/>
        <v>51662.590487163405</v>
      </c>
      <c r="I8" s="53">
        <v>59308</v>
      </c>
      <c r="J8" s="57"/>
      <c r="K8">
        <f t="shared" si="15"/>
        <v>2028</v>
      </c>
      <c r="L8" s="22">
        <f>H12-H11</f>
        <v>69768.730897459056</v>
      </c>
      <c r="M8" s="6">
        <f t="shared" si="4"/>
        <v>203858.95789724615</v>
      </c>
      <c r="N8" s="6">
        <f t="shared" si="5"/>
        <v>138750.75497271784</v>
      </c>
      <c r="O8" s="6"/>
      <c r="P8" s="4">
        <f t="shared" si="16"/>
        <v>112946.0962932495</v>
      </c>
      <c r="Q8" s="4">
        <f t="shared" si="6"/>
        <v>24513.102094843867</v>
      </c>
      <c r="R8" s="4">
        <f t="shared" si="6"/>
        <v>981.25297281016833</v>
      </c>
      <c r="S8" s="4">
        <f t="shared" si="6"/>
        <v>109.02810809001868</v>
      </c>
      <c r="T8" s="4">
        <f t="shared" si="6"/>
        <v>201.27550372428601</v>
      </c>
      <c r="U8" s="64">
        <f t="shared" si="7"/>
        <v>138750.75497271787</v>
      </c>
      <c r="V8" s="54"/>
      <c r="W8" t="s">
        <v>41</v>
      </c>
      <c r="X8" s="6">
        <v>341</v>
      </c>
      <c r="Y8" s="17">
        <f t="shared" si="1"/>
        <v>170.5</v>
      </c>
      <c r="Z8" s="6">
        <v>2170</v>
      </c>
      <c r="AA8" s="6">
        <f t="shared" si="2"/>
        <v>1085</v>
      </c>
      <c r="AB8" s="61">
        <v>10540</v>
      </c>
      <c r="AD8">
        <f t="shared" si="17"/>
        <v>2029</v>
      </c>
      <c r="AE8" s="8">
        <v>3.472</v>
      </c>
      <c r="AF8" s="8">
        <f t="shared" si="8"/>
        <v>5.5864479999999999</v>
      </c>
      <c r="AG8" s="67">
        <f t="shared" si="9"/>
        <v>1.1200000000000001</v>
      </c>
      <c r="AI8" s="6">
        <f t="shared" si="10"/>
        <v>3907.1428571428569</v>
      </c>
      <c r="AJ8" s="6">
        <f t="shared" si="11"/>
        <v>1953.5714285714284</v>
      </c>
      <c r="AK8" s="6">
        <f t="shared" si="12"/>
        <v>23569.642857142855</v>
      </c>
      <c r="AL8" s="6">
        <f t="shared" si="13"/>
        <v>11784.821428571428</v>
      </c>
      <c r="AM8" s="52">
        <f t="shared" si="18"/>
        <v>118062.49999999999</v>
      </c>
      <c r="AN8" s="54"/>
      <c r="AO8">
        <f t="shared" si="19"/>
        <v>2029</v>
      </c>
      <c r="AP8" s="6">
        <f t="shared" si="14"/>
        <v>744655.29239967046</v>
      </c>
      <c r="AQ8" s="6">
        <f t="shared" si="3"/>
        <v>74476.148872080521</v>
      </c>
      <c r="AR8" s="6">
        <f t="shared" si="3"/>
        <v>34564.637470778289</v>
      </c>
      <c r="AS8" s="6">
        <f t="shared" si="3"/>
        <v>1920.2576372654601</v>
      </c>
      <c r="AT8" s="6">
        <f t="shared" si="3"/>
        <v>36676.547210630444</v>
      </c>
      <c r="AU8" s="4">
        <f t="shared" si="20"/>
        <v>892292.88359042525</v>
      </c>
    </row>
    <row r="9" spans="2:63" x14ac:dyDescent="0.35">
      <c r="B9" s="75">
        <v>2025</v>
      </c>
      <c r="C9" s="72">
        <v>44379.508649357536</v>
      </c>
      <c r="D9" s="72">
        <v>25314.640985822527</v>
      </c>
      <c r="E9" s="72">
        <v>920.3073885573167</v>
      </c>
      <c r="F9" s="72">
        <v>102.25637650636853</v>
      </c>
      <c r="G9" s="72">
        <v>191.69244881290166</v>
      </c>
      <c r="H9" s="74">
        <f t="shared" si="0"/>
        <v>70908.405849056639</v>
      </c>
      <c r="I9" s="50"/>
      <c r="J9" s="54"/>
      <c r="K9">
        <f t="shared" si="15"/>
        <v>2029</v>
      </c>
      <c r="L9" s="22">
        <f>H13-H12</f>
        <v>91900.597851120256</v>
      </c>
      <c r="M9" s="6">
        <f t="shared" si="4"/>
        <v>295759.5557483664</v>
      </c>
      <c r="N9" s="6">
        <f t="shared" si="5"/>
        <v>230651.35282383807</v>
      </c>
      <c r="O9" s="6"/>
      <c r="P9" s="4">
        <f t="shared" si="16"/>
        <v>190588.19183903816</v>
      </c>
      <c r="Q9" s="4">
        <f t="shared" si="6"/>
        <v>38123.074376933357</v>
      </c>
      <c r="R9" s="4">
        <f t="shared" si="6"/>
        <v>1466.4896570676447</v>
      </c>
      <c r="S9" s="4">
        <f t="shared" si="6"/>
        <v>162.94329522973828</v>
      </c>
      <c r="T9" s="4">
        <f t="shared" si="6"/>
        <v>310.65365556913036</v>
      </c>
      <c r="U9" s="64">
        <f t="shared" si="7"/>
        <v>230651.35282383804</v>
      </c>
      <c r="V9" s="54"/>
      <c r="W9" t="s">
        <v>42</v>
      </c>
      <c r="X9" s="6">
        <v>300</v>
      </c>
      <c r="Y9" s="17">
        <f t="shared" si="1"/>
        <v>150</v>
      </c>
      <c r="Z9" s="6">
        <v>2100</v>
      </c>
      <c r="AA9" s="6">
        <f t="shared" si="2"/>
        <v>1050</v>
      </c>
      <c r="AB9" s="61">
        <v>9750</v>
      </c>
      <c r="AD9">
        <f t="shared" si="17"/>
        <v>2030</v>
      </c>
      <c r="AE9" s="8">
        <v>3.4985714285714287</v>
      </c>
      <c r="AF9" s="8">
        <f t="shared" si="8"/>
        <v>5.6292014285714282</v>
      </c>
      <c r="AG9" s="67">
        <f t="shared" si="9"/>
        <v>1.1285714285714286</v>
      </c>
      <c r="AI9" s="6">
        <f t="shared" si="10"/>
        <v>3877.4683544303798</v>
      </c>
      <c r="AJ9" s="6">
        <f t="shared" si="11"/>
        <v>1938.7341772151899</v>
      </c>
      <c r="AK9" s="6">
        <f t="shared" si="12"/>
        <v>23390.632911392404</v>
      </c>
      <c r="AL9" s="6">
        <f t="shared" si="13"/>
        <v>11695.316455696202</v>
      </c>
      <c r="AM9" s="52">
        <f t="shared" si="18"/>
        <v>117165.82278481012</v>
      </c>
      <c r="AN9" s="54"/>
      <c r="AO9">
        <f t="shared" si="19"/>
        <v>2030</v>
      </c>
      <c r="AP9" s="6">
        <f t="shared" si="14"/>
        <v>1120501.7036150428</v>
      </c>
      <c r="AQ9" s="6">
        <f t="shared" si="3"/>
        <v>104007.95043482371</v>
      </c>
      <c r="AR9" s="6">
        <f t="shared" si="3"/>
        <v>46858.405486420626</v>
      </c>
      <c r="AS9" s="6">
        <f t="shared" si="3"/>
        <v>2603.2447492455904</v>
      </c>
      <c r="AT9" s="6">
        <f t="shared" si="3"/>
        <v>51748.249189884584</v>
      </c>
      <c r="AU9" s="4">
        <f t="shared" si="20"/>
        <v>1325719.5534754177</v>
      </c>
    </row>
    <row r="10" spans="2:63" x14ac:dyDescent="0.35">
      <c r="B10" s="75">
        <v>2026</v>
      </c>
      <c r="C10" s="72">
        <v>70950.926603247368</v>
      </c>
      <c r="D10" s="72">
        <v>32926.165890740886</v>
      </c>
      <c r="E10" s="72">
        <v>1254.1873409134375</v>
      </c>
      <c r="F10" s="72">
        <v>139.35414899038196</v>
      </c>
      <c r="G10" s="72">
        <v>256.85354957578409</v>
      </c>
      <c r="H10" s="74">
        <f t="shared" si="0"/>
        <v>105527.48753346787</v>
      </c>
      <c r="I10" s="50"/>
      <c r="J10" s="54"/>
      <c r="K10">
        <f t="shared" si="15"/>
        <v>2030</v>
      </c>
      <c r="L10" s="22">
        <f>H14-H13</f>
        <v>114641.20293845912</v>
      </c>
      <c r="M10" s="6">
        <f t="shared" si="4"/>
        <v>410400.75868682552</v>
      </c>
      <c r="N10" s="6">
        <f t="shared" si="5"/>
        <v>345292.55576229718</v>
      </c>
      <c r="O10" s="6"/>
      <c r="P10" s="4">
        <f t="shared" si="16"/>
        <v>288977.65273435751</v>
      </c>
      <c r="Q10" s="4">
        <f t="shared" si="6"/>
        <v>53647.349728069159</v>
      </c>
      <c r="R10" s="4">
        <f t="shared" si="6"/>
        <v>2003.297886975869</v>
      </c>
      <c r="S10" s="4">
        <f t="shared" si="6"/>
        <v>222.58865410842992</v>
      </c>
      <c r="T10" s="4">
        <f t="shared" si="6"/>
        <v>441.6667587861931</v>
      </c>
      <c r="U10" s="64">
        <f t="shared" si="7"/>
        <v>345292.55576229712</v>
      </c>
      <c r="V10" s="54"/>
      <c r="W10" t="s">
        <v>43</v>
      </c>
      <c r="X10" s="6">
        <v>310</v>
      </c>
      <c r="Y10" s="17">
        <f t="shared" si="1"/>
        <v>155</v>
      </c>
      <c r="Z10" s="6">
        <v>2170</v>
      </c>
      <c r="AA10" s="6">
        <f t="shared" si="2"/>
        <v>1085</v>
      </c>
      <c r="AB10" s="61">
        <v>10075</v>
      </c>
      <c r="AD10">
        <f t="shared" si="17"/>
        <v>2031</v>
      </c>
      <c r="AE10" s="8">
        <v>3.5251428571428574</v>
      </c>
      <c r="AF10" s="8">
        <f t="shared" si="8"/>
        <v>5.6719548571428575</v>
      </c>
      <c r="AG10" s="67">
        <f t="shared" si="9"/>
        <v>1.1371428571428572</v>
      </c>
      <c r="AI10" s="6">
        <f>$X$16/AG10</f>
        <v>3848.2412060301504</v>
      </c>
      <c r="AJ10" s="6">
        <f>$Y$16/AG10</f>
        <v>1924.1206030150752</v>
      </c>
      <c r="AK10" s="6">
        <f>$Z$16/AG10</f>
        <v>23214.321608040198</v>
      </c>
      <c r="AL10" s="6">
        <f t="shared" si="13"/>
        <v>11607.160804020099</v>
      </c>
      <c r="AM10" s="52">
        <f>$AB$16/AG10</f>
        <v>116282.66331658291</v>
      </c>
      <c r="AN10" s="54"/>
      <c r="AO10">
        <f t="shared" si="19"/>
        <v>2031</v>
      </c>
      <c r="AP10" s="6">
        <f>P11*AI10/1000</f>
        <v>1478147.8010769954</v>
      </c>
      <c r="AQ10" s="6">
        <f t="shared" si="3"/>
        <v>112513.58671951687</v>
      </c>
      <c r="AR10" s="6">
        <f t="shared" si="3"/>
        <v>61821.11492392989</v>
      </c>
      <c r="AS10" s="6">
        <f>S11*AL10/1000</f>
        <v>3434.5063846627718</v>
      </c>
      <c r="AT10" s="6">
        <f t="shared" si="3"/>
        <v>68262.652618319858</v>
      </c>
      <c r="AU10" s="4">
        <f t="shared" si="20"/>
        <v>1724179.6617234249</v>
      </c>
    </row>
    <row r="11" spans="2:63" x14ac:dyDescent="0.35">
      <c r="B11" s="75">
        <v>2027</v>
      </c>
      <c r="C11" s="72">
        <v>113050.19508520512</v>
      </c>
      <c r="D11" s="72">
        <v>42015.58017705167</v>
      </c>
      <c r="E11" s="72">
        <v>1622.0354500085161</v>
      </c>
      <c r="F11" s="72">
        <v>180.22616111205735</v>
      </c>
      <c r="G11" s="72">
        <v>331.9338931436273</v>
      </c>
      <c r="H11" s="74">
        <f t="shared" si="0"/>
        <v>157199.970766521</v>
      </c>
      <c r="I11" s="50"/>
      <c r="J11" s="54"/>
      <c r="K11">
        <f t="shared" si="15"/>
        <v>2031</v>
      </c>
      <c r="L11" s="22">
        <f>H15-H14</f>
        <v>100838.7360086051</v>
      </c>
      <c r="M11" s="6">
        <f t="shared" si="4"/>
        <v>511239.49469543062</v>
      </c>
      <c r="N11" s="6">
        <f>M11-$M$5</f>
        <v>446131.29177090229</v>
      </c>
      <c r="O11" s="6"/>
      <c r="P11" s="4">
        <f t="shared" si="16"/>
        <v>384109.9665896084</v>
      </c>
      <c r="Q11" s="4">
        <f t="shared" si="6"/>
        <v>58475.329739315384</v>
      </c>
      <c r="R11" s="4">
        <f t="shared" si="6"/>
        <v>2663.0592945054386</v>
      </c>
      <c r="S11" s="4">
        <f t="shared" si="6"/>
        <v>295.89547716727094</v>
      </c>
      <c r="T11" s="4">
        <f t="shared" si="6"/>
        <v>587.04067030588044</v>
      </c>
      <c r="U11" s="64">
        <f t="shared" si="7"/>
        <v>446131.2917709024</v>
      </c>
      <c r="V11" s="54"/>
      <c r="W11" t="s">
        <v>44</v>
      </c>
      <c r="X11" s="6">
        <v>310</v>
      </c>
      <c r="Y11" s="17">
        <f t="shared" si="1"/>
        <v>155</v>
      </c>
      <c r="Z11" s="6">
        <v>2170</v>
      </c>
      <c r="AA11" s="6">
        <f t="shared" si="2"/>
        <v>1085</v>
      </c>
      <c r="AB11" s="61">
        <v>10075</v>
      </c>
      <c r="AE11" s="8"/>
      <c r="AF11" s="8"/>
      <c r="AG11" s="68"/>
      <c r="AI11" s="6"/>
      <c r="AJ11" s="6"/>
      <c r="AK11" s="6"/>
      <c r="AL11" s="6"/>
      <c r="AM11" s="52"/>
      <c r="AN11" s="54"/>
      <c r="AP11" s="5"/>
      <c r="AQ11" s="5"/>
      <c r="AR11" s="5"/>
      <c r="AS11" s="5"/>
      <c r="AT11" s="5"/>
      <c r="AU11" s="4"/>
    </row>
    <row r="12" spans="2:63" x14ac:dyDescent="0.35">
      <c r="B12" s="75">
        <v>2028</v>
      </c>
      <c r="C12" s="72">
        <v>171118.56058563417</v>
      </c>
      <c r="D12" s="72">
        <v>53170.849666445181</v>
      </c>
      <c r="E12" s="72">
        <v>2033.310360148816</v>
      </c>
      <c r="F12" s="72">
        <v>225.92337334986846</v>
      </c>
      <c r="G12" s="72">
        <v>420.0576784020318</v>
      </c>
      <c r="H12" s="74">
        <f t="shared" si="0"/>
        <v>226968.70166398006</v>
      </c>
      <c r="I12" s="50"/>
      <c r="J12" s="54"/>
      <c r="U12" s="50"/>
      <c r="V12" s="54"/>
      <c r="W12" t="s">
        <v>45</v>
      </c>
      <c r="X12" s="6">
        <v>330</v>
      </c>
      <c r="Y12" s="17">
        <f t="shared" si="1"/>
        <v>165</v>
      </c>
      <c r="Z12" s="6">
        <v>2160</v>
      </c>
      <c r="AA12" s="6">
        <f t="shared" si="2"/>
        <v>1080</v>
      </c>
      <c r="AB12" s="61">
        <v>10200</v>
      </c>
      <c r="AI12" s="6"/>
      <c r="AJ12" s="5"/>
      <c r="AK12" s="6"/>
      <c r="AL12" s="5"/>
      <c r="AM12" s="52"/>
      <c r="AN12" s="54"/>
      <c r="AP12" s="5"/>
      <c r="AQ12" s="5"/>
      <c r="AR12" s="5"/>
      <c r="AS12" s="5"/>
      <c r="AT12" s="5"/>
      <c r="AU12" s="4"/>
    </row>
    <row r="13" spans="2:63" x14ac:dyDescent="0.35">
      <c r="B13" s="75">
        <v>2029</v>
      </c>
      <c r="C13" s="72">
        <v>249413.52602003212</v>
      </c>
      <c r="D13" s="72">
        <v>66162.045275270342</v>
      </c>
      <c r="E13" s="72">
        <v>2492.1321225941665</v>
      </c>
      <c r="F13" s="72">
        <v>276.90356917712961</v>
      </c>
      <c r="G13" s="72">
        <v>524.6925280265001</v>
      </c>
      <c r="H13" s="74">
        <f t="shared" si="0"/>
        <v>318869.29951510031</v>
      </c>
      <c r="I13" s="50"/>
      <c r="J13" s="54"/>
      <c r="L13" s="12" t="s">
        <v>147</v>
      </c>
      <c r="P13" s="12" t="s">
        <v>150</v>
      </c>
      <c r="U13" s="50"/>
      <c r="V13" s="54"/>
      <c r="W13" t="s">
        <v>46</v>
      </c>
      <c r="X13" s="6">
        <v>372</v>
      </c>
      <c r="Y13" s="17">
        <f t="shared" si="1"/>
        <v>186</v>
      </c>
      <c r="Z13" s="6">
        <v>2263</v>
      </c>
      <c r="AA13" s="6">
        <f t="shared" si="2"/>
        <v>1131.5</v>
      </c>
      <c r="AB13" s="61">
        <v>10850</v>
      </c>
      <c r="AE13" s="12"/>
      <c r="AF13" s="12"/>
      <c r="AG13" s="12"/>
      <c r="AM13" s="50"/>
      <c r="AN13" s="54"/>
      <c r="AW13" s="12" t="s">
        <v>50</v>
      </c>
      <c r="BE13" s="12" t="s">
        <v>51</v>
      </c>
    </row>
    <row r="14" spans="2:63" x14ac:dyDescent="0.35">
      <c r="B14" s="75">
        <v>2030</v>
      </c>
      <c r="C14" s="72">
        <v>348293.97140636301</v>
      </c>
      <c r="D14" s="72">
        <v>81221.053450507345</v>
      </c>
      <c r="E14" s="72">
        <v>3008.7152327376957</v>
      </c>
      <c r="F14" s="72">
        <v>334.30169252641065</v>
      </c>
      <c r="G14" s="72">
        <v>652.460671424927</v>
      </c>
      <c r="H14" s="74">
        <f t="shared" si="0"/>
        <v>433510.50245355943</v>
      </c>
      <c r="I14" s="50"/>
      <c r="J14" s="54"/>
      <c r="L14" s="12" t="s">
        <v>134</v>
      </c>
      <c r="P14" s="12" t="s">
        <v>151</v>
      </c>
      <c r="U14" s="50"/>
      <c r="V14" s="54"/>
      <c r="W14" t="s">
        <v>47</v>
      </c>
      <c r="X14" s="6">
        <v>390</v>
      </c>
      <c r="Y14" s="17">
        <f t="shared" si="1"/>
        <v>195</v>
      </c>
      <c r="Z14" s="6">
        <v>2220</v>
      </c>
      <c r="AA14" s="6">
        <f t="shared" si="2"/>
        <v>1110</v>
      </c>
      <c r="AB14" s="61">
        <v>11400</v>
      </c>
      <c r="AE14" s="12"/>
      <c r="AF14" s="12"/>
      <c r="AG14" s="12"/>
      <c r="AI14" s="12" t="s">
        <v>16</v>
      </c>
      <c r="AM14" s="50"/>
      <c r="AN14" s="54"/>
      <c r="AP14" s="12" t="s">
        <v>16</v>
      </c>
      <c r="AW14" s="12" t="s">
        <v>27</v>
      </c>
      <c r="BE14" s="12" t="s">
        <v>59</v>
      </c>
    </row>
    <row r="15" spans="2:63" ht="18.5" x14ac:dyDescent="0.45">
      <c r="B15" s="75">
        <v>2031</v>
      </c>
      <c r="C15" s="72">
        <v>444064.36539247725</v>
      </c>
      <c r="D15" s="72">
        <v>85413.256197760944</v>
      </c>
      <c r="E15" s="72">
        <v>3666.6642179255196</v>
      </c>
      <c r="F15" s="72">
        <v>407.40713532505777</v>
      </c>
      <c r="G15" s="72">
        <v>797.54551867580653</v>
      </c>
      <c r="H15" s="95">
        <f t="shared" si="0"/>
        <v>534349.23846216453</v>
      </c>
      <c r="I15" s="50"/>
      <c r="J15" s="54"/>
      <c r="P15" s="12"/>
      <c r="U15" s="50"/>
      <c r="V15" s="54"/>
      <c r="W15" t="s">
        <v>48</v>
      </c>
      <c r="X15" s="6">
        <v>434</v>
      </c>
      <c r="Y15" s="17">
        <f t="shared" si="1"/>
        <v>217</v>
      </c>
      <c r="Z15" s="6">
        <v>2325</v>
      </c>
      <c r="AA15" s="6">
        <f t="shared" si="2"/>
        <v>1162.5</v>
      </c>
      <c r="AB15" s="61">
        <v>12400</v>
      </c>
      <c r="AI15" s="12" t="s">
        <v>15</v>
      </c>
      <c r="AM15" s="50"/>
      <c r="AN15" s="54"/>
      <c r="AP15" s="12" t="s">
        <v>145</v>
      </c>
    </row>
    <row r="16" spans="2:63" x14ac:dyDescent="0.35">
      <c r="B16" s="20"/>
      <c r="C16" s="48"/>
      <c r="D16" s="48"/>
      <c r="E16" s="48"/>
      <c r="F16" s="49"/>
      <c r="G16" s="49"/>
      <c r="H16" s="22"/>
      <c r="I16" s="50"/>
      <c r="J16" s="54"/>
      <c r="L16" s="12" t="s">
        <v>148</v>
      </c>
      <c r="M16" s="6"/>
      <c r="N16" s="6"/>
      <c r="O16" s="6"/>
      <c r="U16" s="50"/>
      <c r="V16" s="54"/>
      <c r="W16" s="7" t="s">
        <v>18</v>
      </c>
      <c r="X16" s="18">
        <f>SUM(X4:X15)</f>
        <v>4376</v>
      </c>
      <c r="Y16" s="19">
        <f t="shared" si="1"/>
        <v>2188</v>
      </c>
      <c r="Z16" s="18">
        <f>SUM(Z4:Z15)</f>
        <v>26398</v>
      </c>
      <c r="AA16" s="18">
        <f>SUM(AA4:AA15)</f>
        <v>13199</v>
      </c>
      <c r="AB16" s="62">
        <f>SUM(AB4:AB15)</f>
        <v>132230</v>
      </c>
      <c r="AM16" s="50"/>
      <c r="AN16" s="54"/>
    </row>
    <row r="17" spans="2:40" ht="16" x14ac:dyDescent="0.4">
      <c r="B17" s="87" t="s">
        <v>152</v>
      </c>
      <c r="C17" s="88"/>
      <c r="D17" s="88"/>
      <c r="E17" s="89"/>
      <c r="F17" s="49"/>
      <c r="G17" s="49"/>
      <c r="H17" s="22"/>
      <c r="I17" s="50"/>
      <c r="J17" s="58"/>
      <c r="K17" s="12"/>
      <c r="L17" s="12" t="s">
        <v>135</v>
      </c>
      <c r="M17" s="6"/>
      <c r="N17" s="6"/>
      <c r="O17" s="6"/>
      <c r="U17" s="50"/>
      <c r="V17" s="54"/>
      <c r="AM17" s="50"/>
      <c r="AN17" s="54"/>
    </row>
    <row r="18" spans="2:40" x14ac:dyDescent="0.35">
      <c r="B18" s="20"/>
      <c r="C18" s="48"/>
      <c r="D18" s="48"/>
      <c r="E18" s="48"/>
      <c r="F18" s="49"/>
      <c r="G18" s="49"/>
      <c r="H18" s="22"/>
      <c r="I18" s="50"/>
      <c r="J18" s="58"/>
      <c r="K18" s="12"/>
      <c r="M18" s="6"/>
      <c r="N18" s="6"/>
      <c r="O18" s="6"/>
      <c r="U18" s="50"/>
      <c r="V18" s="54"/>
      <c r="W18" s="12" t="s">
        <v>52</v>
      </c>
      <c r="AM18" s="50"/>
      <c r="AN18" s="54"/>
    </row>
    <row r="19" spans="2:40" x14ac:dyDescent="0.35">
      <c r="B19" s="30" t="s">
        <v>138</v>
      </c>
      <c r="C19" s="48"/>
      <c r="D19" s="48"/>
      <c r="E19" s="48"/>
      <c r="F19" s="49"/>
      <c r="G19" s="49"/>
      <c r="H19" s="22"/>
      <c r="I19" s="50"/>
      <c r="J19" s="54"/>
      <c r="L19" s="12" t="s">
        <v>149</v>
      </c>
      <c r="M19" s="6"/>
      <c r="N19" s="6"/>
      <c r="O19" s="6"/>
      <c r="U19" s="50"/>
      <c r="V19" s="54"/>
      <c r="W19" s="12" t="s">
        <v>53</v>
      </c>
      <c r="AD19" s="12" t="s">
        <v>13</v>
      </c>
      <c r="AM19" s="50"/>
      <c r="AN19" s="54"/>
    </row>
    <row r="20" spans="2:40" ht="16" x14ac:dyDescent="0.4">
      <c r="B20" s="28" t="s">
        <v>139</v>
      </c>
      <c r="C20" s="48"/>
      <c r="D20" s="48"/>
      <c r="E20" s="48"/>
      <c r="F20" s="49"/>
      <c r="G20" s="49"/>
      <c r="H20" s="22"/>
      <c r="I20" s="50"/>
      <c r="J20" s="58"/>
      <c r="K20" s="12"/>
      <c r="L20" s="12"/>
      <c r="M20" s="6"/>
      <c r="N20" s="6"/>
      <c r="O20" s="6"/>
      <c r="U20" s="50"/>
      <c r="V20" s="54"/>
      <c r="W20" s="11" t="s">
        <v>6</v>
      </c>
      <c r="AD20" s="12" t="s">
        <v>14</v>
      </c>
      <c r="AM20" s="50"/>
      <c r="AN20" s="54"/>
    </row>
    <row r="21" spans="2:40" x14ac:dyDescent="0.35">
      <c r="B21" s="30" t="s">
        <v>0</v>
      </c>
      <c r="C21" s="59"/>
      <c r="D21" s="59"/>
      <c r="E21" s="59"/>
      <c r="F21" s="59"/>
      <c r="G21" s="59"/>
      <c r="H21" s="60"/>
      <c r="I21" s="50"/>
      <c r="J21" s="58"/>
      <c r="K21" s="12"/>
      <c r="M21" s="6"/>
      <c r="N21" s="6"/>
      <c r="O21" s="6"/>
      <c r="U21" s="50"/>
      <c r="V21" s="54"/>
      <c r="AM21" s="50"/>
      <c r="AN21" s="54"/>
    </row>
    <row r="22" spans="2:40" x14ac:dyDescent="0.35">
      <c r="B22" s="20">
        <v>2024</v>
      </c>
      <c r="C22" s="59">
        <f>C8/$H8</f>
        <v>0.60681078976399661</v>
      </c>
      <c r="D22" s="59">
        <f t="shared" ref="D22:G23" si="21">D8/$H8</f>
        <v>0.37631444733868752</v>
      </c>
      <c r="E22" s="59">
        <f t="shared" si="21"/>
        <v>1.2695474312788136E-2</v>
      </c>
      <c r="F22" s="59">
        <f t="shared" si="21"/>
        <v>1.4106082569764597E-3</v>
      </c>
      <c r="G22" s="59">
        <f t="shared" si="21"/>
        <v>2.7686803275513922E-3</v>
      </c>
      <c r="H22" s="60">
        <f t="shared" ref="H22:H23" si="22">SUM(C22:G22)</f>
        <v>1.0000000000000002</v>
      </c>
      <c r="I22" s="50"/>
      <c r="J22" s="54"/>
      <c r="M22" s="6"/>
      <c r="N22" s="6"/>
      <c r="O22" s="6"/>
      <c r="U22" s="50"/>
      <c r="V22" s="54"/>
      <c r="AM22" s="50"/>
      <c r="AN22" s="54"/>
    </row>
    <row r="23" spans="2:40" x14ac:dyDescent="0.35">
      <c r="B23" s="20">
        <v>2025</v>
      </c>
      <c r="C23" s="59">
        <f>C9/$H9</f>
        <v>0.62587091217123958</v>
      </c>
      <c r="D23" s="59">
        <f t="shared" si="21"/>
        <v>0.35700479629608417</v>
      </c>
      <c r="E23" s="59">
        <f t="shared" si="21"/>
        <v>1.2978819330903918E-2</v>
      </c>
      <c r="F23" s="59">
        <f t="shared" si="21"/>
        <v>1.4420910367671019E-3</v>
      </c>
      <c r="G23" s="59">
        <f t="shared" si="21"/>
        <v>2.703381165005445E-3</v>
      </c>
      <c r="H23" s="60">
        <f t="shared" si="22"/>
        <v>1.0000000000000002</v>
      </c>
      <c r="I23" s="50"/>
      <c r="J23" s="54"/>
      <c r="M23" s="6"/>
      <c r="N23" s="6"/>
      <c r="O23" s="6"/>
      <c r="U23" s="50"/>
      <c r="V23" s="54"/>
      <c r="AM23" s="50"/>
      <c r="AN23" s="54"/>
    </row>
    <row r="24" spans="2:40" x14ac:dyDescent="0.35">
      <c r="B24" s="20">
        <v>2026</v>
      </c>
      <c r="C24" s="59">
        <f>C10/$H10</f>
        <v>0.67234545483465058</v>
      </c>
      <c r="D24" s="59">
        <f>D10/$H10</f>
        <v>0.31201506508243559</v>
      </c>
      <c r="E24" s="59">
        <f>E10/$H10</f>
        <v>1.1884935102957645E-2</v>
      </c>
      <c r="F24" s="59">
        <f>F10/$H10</f>
        <v>1.3205483447730718E-3</v>
      </c>
      <c r="G24" s="59">
        <f>G10/$H10</f>
        <v>2.4339966351830692E-3</v>
      </c>
      <c r="H24" s="60">
        <f t="shared" ref="H24:H29" si="23">SUM(C24:G24)</f>
        <v>0.99999999999999989</v>
      </c>
      <c r="I24" s="50"/>
      <c r="J24" s="54"/>
      <c r="M24" s="6"/>
      <c r="N24" s="6"/>
      <c r="O24" s="6"/>
      <c r="U24" s="50"/>
      <c r="V24" s="54"/>
    </row>
    <row r="25" spans="2:40" x14ac:dyDescent="0.35">
      <c r="B25" s="20">
        <v>2027</v>
      </c>
      <c r="C25" s="59">
        <f>C11/$H11</f>
        <v>0.71914895743276763</v>
      </c>
      <c r="D25" s="59">
        <f t="shared" ref="D25:G25" si="24">D11/$H11</f>
        <v>0.26727473276349845</v>
      </c>
      <c r="E25" s="59">
        <f t="shared" si="24"/>
        <v>1.0318293585547932E-2</v>
      </c>
      <c r="F25" s="59">
        <f t="shared" si="24"/>
        <v>1.1464770650608815E-3</v>
      </c>
      <c r="G25" s="59">
        <f t="shared" si="24"/>
        <v>2.1115391531250816E-3</v>
      </c>
      <c r="H25" s="60">
        <f t="shared" si="23"/>
        <v>1</v>
      </c>
      <c r="I25" s="50"/>
      <c r="J25" s="54"/>
    </row>
    <row r="26" spans="2:40" x14ac:dyDescent="0.35">
      <c r="B26" s="20">
        <v>2028</v>
      </c>
      <c r="C26" s="59">
        <f t="shared" ref="C26:G26" si="25">C12/$H12</f>
        <v>0.75393020857549675</v>
      </c>
      <c r="D26" s="59">
        <f t="shared" si="25"/>
        <v>0.23426511795076896</v>
      </c>
      <c r="E26" s="59">
        <f t="shared" si="25"/>
        <v>8.958549549968645E-3</v>
      </c>
      <c r="F26" s="59">
        <f t="shared" si="25"/>
        <v>9.953943944409605E-4</v>
      </c>
      <c r="G26" s="59">
        <f t="shared" si="25"/>
        <v>1.8507295293247693E-3</v>
      </c>
      <c r="H26" s="60">
        <f t="shared" si="23"/>
        <v>1.0000000000000002</v>
      </c>
      <c r="I26" s="50"/>
    </row>
    <row r="27" spans="2:40" x14ac:dyDescent="0.35">
      <c r="B27" s="20">
        <v>2029</v>
      </c>
      <c r="C27" s="59">
        <f t="shared" ref="C27:G27" si="26">C13/$H13</f>
        <v>0.78218105787954961</v>
      </c>
      <c r="D27" s="59">
        <f t="shared" si="26"/>
        <v>0.20748954313219228</v>
      </c>
      <c r="E27" s="59">
        <f t="shared" si="26"/>
        <v>7.8155285767049811E-3</v>
      </c>
      <c r="F27" s="59">
        <f t="shared" si="26"/>
        <v>8.6839206407833135E-4</v>
      </c>
      <c r="G27" s="59">
        <f t="shared" si="26"/>
        <v>1.6454783474746299E-3</v>
      </c>
      <c r="H27" s="60">
        <f t="shared" si="23"/>
        <v>0.99999999999999978</v>
      </c>
      <c r="I27" s="50"/>
    </row>
    <row r="28" spans="2:40" x14ac:dyDescent="0.35">
      <c r="B28" s="20">
        <v>2030</v>
      </c>
      <c r="C28" s="59">
        <f t="shared" ref="C28:G28" si="27">C14/$H14</f>
        <v>0.80342683610917731</v>
      </c>
      <c r="D28" s="59">
        <f t="shared" si="27"/>
        <v>0.1873565991846029</v>
      </c>
      <c r="E28" s="59">
        <f t="shared" si="27"/>
        <v>6.9403514233429891E-3</v>
      </c>
      <c r="F28" s="59">
        <f t="shared" si="27"/>
        <v>7.7115015814922111E-4</v>
      </c>
      <c r="G28" s="59">
        <f t="shared" si="27"/>
        <v>1.5050631247274637E-3</v>
      </c>
      <c r="H28" s="60">
        <f t="shared" si="23"/>
        <v>0.99999999999999989</v>
      </c>
    </row>
    <row r="29" spans="2:40" x14ac:dyDescent="0.35">
      <c r="B29" s="20">
        <v>2031</v>
      </c>
      <c r="C29" s="59">
        <f t="shared" ref="C29:G29" si="28">C15/$H15</f>
        <v>0.83103770610860517</v>
      </c>
      <c r="D29" s="59">
        <f t="shared" si="28"/>
        <v>0.15984537835887414</v>
      </c>
      <c r="E29" s="59">
        <f t="shared" si="28"/>
        <v>6.8619246627505837E-3</v>
      </c>
      <c r="F29" s="59">
        <f t="shared" si="28"/>
        <v>7.6243607363895378E-4</v>
      </c>
      <c r="G29" s="59">
        <f t="shared" si="28"/>
        <v>1.492554796131291E-3</v>
      </c>
      <c r="H29" s="60">
        <f t="shared" si="23"/>
        <v>1</v>
      </c>
    </row>
    <row r="31" spans="2:40" x14ac:dyDescent="0.35">
      <c r="B31" s="30" t="s">
        <v>146</v>
      </c>
      <c r="C31" s="48"/>
      <c r="D31" s="48"/>
      <c r="E31" s="48"/>
      <c r="F31" s="49"/>
      <c r="G31" s="49"/>
      <c r="H31" s="22"/>
    </row>
    <row r="32" spans="2:40" x14ac:dyDescent="0.35">
      <c r="B32" s="28" t="s">
        <v>139</v>
      </c>
      <c r="C32" s="48"/>
      <c r="D32" s="48"/>
      <c r="E32" s="48"/>
      <c r="F32" s="49"/>
      <c r="G32" s="49"/>
      <c r="H32" s="22"/>
      <c r="Y32" s="9"/>
      <c r="Z32" s="9"/>
      <c r="AA32" s="9"/>
    </row>
    <row r="33" spans="2:8" x14ac:dyDescent="0.35">
      <c r="B33" s="30" t="s">
        <v>0</v>
      </c>
      <c r="C33" s="59"/>
      <c r="D33" s="59"/>
      <c r="E33" s="59"/>
      <c r="F33" s="59"/>
      <c r="G33" s="59"/>
      <c r="H33" s="60"/>
    </row>
    <row r="34" spans="2:8" x14ac:dyDescent="0.35">
      <c r="B34" s="20">
        <v>2024</v>
      </c>
      <c r="C34" s="69">
        <f>$M4*C22</f>
        <v>35988.734319323114</v>
      </c>
      <c r="D34" s="69">
        <f t="shared" ref="D34:G34" si="29">$M4*D22</f>
        <v>22318.457242762881</v>
      </c>
      <c r="E34" s="69">
        <f t="shared" si="29"/>
        <v>752.94319054283881</v>
      </c>
      <c r="F34" s="69">
        <f t="shared" si="29"/>
        <v>83.660354504759866</v>
      </c>
      <c r="G34" s="69">
        <f t="shared" si="29"/>
        <v>164.20489286641796</v>
      </c>
      <c r="H34" s="69">
        <f t="shared" ref="H34:H41" si="30">SUM(C34:G34)</f>
        <v>59308.000000000007</v>
      </c>
    </row>
    <row r="35" spans="2:8" x14ac:dyDescent="0.35">
      <c r="B35" s="20">
        <v>2025</v>
      </c>
      <c r="C35" s="69">
        <f t="shared" ref="C35:G41" si="31">$M5*C23</f>
        <v>40749.330354204707</v>
      </c>
      <c r="D35" s="69">
        <f t="shared" si="31"/>
        <v>23243.940722275343</v>
      </c>
      <c r="E35" s="69">
        <f t="shared" si="31"/>
        <v>845.02760271728312</v>
      </c>
      <c r="F35" s="69">
        <f t="shared" si="31"/>
        <v>93.891955857475907</v>
      </c>
      <c r="G35" s="69">
        <f t="shared" si="31"/>
        <v>176.01228947352229</v>
      </c>
      <c r="H35" s="69">
        <f t="shared" si="30"/>
        <v>65108.202924528334</v>
      </c>
    </row>
    <row r="36" spans="2:8" x14ac:dyDescent="0.35">
      <c r="B36" s="20">
        <v>2026</v>
      </c>
      <c r="C36" s="69">
        <f t="shared" si="31"/>
        <v>55413.195419290416</v>
      </c>
      <c r="D36" s="69">
        <f t="shared" si="31"/>
        <v>25715.577685324992</v>
      </c>
      <c r="E36" s="69">
        <f t="shared" si="31"/>
        <v>979.52953599982482</v>
      </c>
      <c r="F36" s="69">
        <f t="shared" si="31"/>
        <v>108.83661511109166</v>
      </c>
      <c r="G36" s="69">
        <f t="shared" si="31"/>
        <v>200.6045110076108</v>
      </c>
      <c r="H36" s="69">
        <f t="shared" si="30"/>
        <v>82417.74376673394</v>
      </c>
    </row>
    <row r="37" spans="2:8" x14ac:dyDescent="0.35">
      <c r="B37" s="20">
        <v>2027</v>
      </c>
      <c r="C37" s="69">
        <f t="shared" si="31"/>
        <v>96430.846948820035</v>
      </c>
      <c r="D37" s="69">
        <f t="shared" si="31"/>
        <v>35838.92958756494</v>
      </c>
      <c r="E37" s="69">
        <f t="shared" si="31"/>
        <v>1383.5823291365693</v>
      </c>
      <c r="F37" s="69">
        <f t="shared" si="31"/>
        <v>153.73136990406329</v>
      </c>
      <c r="G37" s="69">
        <f t="shared" si="31"/>
        <v>283.1367643614804</v>
      </c>
      <c r="H37" s="69">
        <f t="shared" si="30"/>
        <v>134090.22699978712</v>
      </c>
    </row>
    <row r="38" spans="2:8" x14ac:dyDescent="0.35">
      <c r="B38" s="20">
        <v>2028</v>
      </c>
      <c r="C38" s="69">
        <f t="shared" si="31"/>
        <v>153695.42664745421</v>
      </c>
      <c r="D38" s="69">
        <f t="shared" si="31"/>
        <v>47757.042817119211</v>
      </c>
      <c r="E38" s="69">
        <f t="shared" si="31"/>
        <v>1826.2805755274514</v>
      </c>
      <c r="F38" s="69">
        <f t="shared" si="31"/>
        <v>202.92006394749458</v>
      </c>
      <c r="G38" s="69">
        <f t="shared" si="31"/>
        <v>377.2877931978083</v>
      </c>
      <c r="H38" s="69">
        <f t="shared" si="30"/>
        <v>203858.9578972462</v>
      </c>
    </row>
    <row r="39" spans="2:8" x14ac:dyDescent="0.35">
      <c r="B39" s="20">
        <v>2029</v>
      </c>
      <c r="C39" s="69">
        <f t="shared" si="31"/>
        <v>231337.52219324285</v>
      </c>
      <c r="D39" s="69">
        <f t="shared" si="31"/>
        <v>61367.0150992087</v>
      </c>
      <c r="E39" s="69">
        <f t="shared" si="31"/>
        <v>2311.5172597849278</v>
      </c>
      <c r="F39" s="69">
        <f t="shared" si="31"/>
        <v>256.8352510872142</v>
      </c>
      <c r="G39" s="69">
        <f t="shared" si="31"/>
        <v>486.66594504265265</v>
      </c>
      <c r="H39" s="69">
        <f t="shared" si="30"/>
        <v>295759.55574836634</v>
      </c>
    </row>
    <row r="40" spans="2:8" x14ac:dyDescent="0.35">
      <c r="B40" s="20">
        <v>2030</v>
      </c>
      <c r="C40" s="69">
        <f t="shared" si="31"/>
        <v>329726.98308856221</v>
      </c>
      <c r="D40" s="69">
        <f t="shared" si="31"/>
        <v>76891.290450344502</v>
      </c>
      <c r="E40" s="69">
        <f t="shared" si="31"/>
        <v>2848.3254896931521</v>
      </c>
      <c r="F40" s="69">
        <f t="shared" si="31"/>
        <v>316.48060996590584</v>
      </c>
      <c r="G40" s="69">
        <f t="shared" si="31"/>
        <v>617.67904825971539</v>
      </c>
      <c r="H40" s="69">
        <f t="shared" si="30"/>
        <v>410400.75868682552</v>
      </c>
    </row>
    <row r="41" spans="2:8" x14ac:dyDescent="0.35">
      <c r="B41" s="20">
        <v>2031</v>
      </c>
      <c r="C41" s="69">
        <f t="shared" si="31"/>
        <v>424859.2969438131</v>
      </c>
      <c r="D41" s="69">
        <f t="shared" si="31"/>
        <v>81719.270461590728</v>
      </c>
      <c r="E41" s="69">
        <f t="shared" si="31"/>
        <v>3508.0868972227217</v>
      </c>
      <c r="F41" s="69">
        <f t="shared" si="31"/>
        <v>389.78743302474686</v>
      </c>
      <c r="G41" s="69">
        <f t="shared" si="31"/>
        <v>763.05295977940273</v>
      </c>
      <c r="H41" s="69">
        <f t="shared" si="30"/>
        <v>511239.49469543068</v>
      </c>
    </row>
  </sheetData>
  <mergeCells count="1">
    <mergeCell ref="P2:U2"/>
  </mergeCells>
  <pageMargins left="0.7" right="0.7" top="0.75" bottom="0.75" header="0.3" footer="0.3"/>
  <pageSetup orientation="portrait" r:id="rId1"/>
  <ignoredErrors>
    <ignoredError sqref="H4:H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65D8-C277-4246-8DEB-76623EE16221}">
  <dimension ref="A2:Y15"/>
  <sheetViews>
    <sheetView topLeftCell="B1" workbookViewId="0">
      <selection activeCell="O14" sqref="O14"/>
    </sheetView>
  </sheetViews>
  <sheetFormatPr defaultRowHeight="14.5" x14ac:dyDescent="0.35"/>
  <cols>
    <col min="7" max="7" width="3.54296875" customWidth="1"/>
    <col min="14" max="14" width="2.54296875" customWidth="1"/>
    <col min="15" max="15" width="38.453125" bestFit="1" customWidth="1"/>
    <col min="16" max="17" width="21.26953125" customWidth="1"/>
    <col min="18" max="18" width="5.453125" customWidth="1"/>
    <col min="19" max="19" width="10.7265625" bestFit="1" customWidth="1"/>
    <col min="20" max="20" width="12.453125" customWidth="1"/>
    <col min="21" max="21" width="10.453125" customWidth="1"/>
    <col min="22" max="22" width="4.26953125" customWidth="1"/>
    <col min="23" max="23" width="14.1796875" customWidth="1"/>
  </cols>
  <sheetData>
    <row r="2" spans="1:25" x14ac:dyDescent="0.35">
      <c r="A2" s="20"/>
      <c r="B2" s="96" t="s">
        <v>54</v>
      </c>
      <c r="C2" s="96"/>
      <c r="D2" s="96"/>
      <c r="E2" s="96"/>
      <c r="F2" s="96"/>
      <c r="G2" s="20"/>
      <c r="H2" s="96" t="s">
        <v>55</v>
      </c>
      <c r="I2" s="96"/>
      <c r="J2" s="96"/>
      <c r="K2" s="96"/>
      <c r="L2" s="96"/>
      <c r="M2" s="20"/>
      <c r="O2" s="96" t="s">
        <v>60</v>
      </c>
      <c r="P2" s="96"/>
      <c r="Q2" s="24"/>
      <c r="S2" s="96" t="s">
        <v>73</v>
      </c>
      <c r="T2" s="96"/>
      <c r="U2" s="96"/>
      <c r="W2" s="27" t="s">
        <v>61</v>
      </c>
    </row>
    <row r="3" spans="1:25" x14ac:dyDescent="0.35">
      <c r="A3" s="20" t="s">
        <v>0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20"/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18</v>
      </c>
      <c r="O3" s="71" t="s">
        <v>58</v>
      </c>
      <c r="P3" s="1" t="s">
        <v>60</v>
      </c>
      <c r="Q3" s="1" t="s">
        <v>110</v>
      </c>
      <c r="S3" s="1" t="s">
        <v>74</v>
      </c>
      <c r="T3" s="1" t="s">
        <v>75</v>
      </c>
      <c r="U3" s="1" t="s">
        <v>18</v>
      </c>
      <c r="W3" s="1" t="s">
        <v>62</v>
      </c>
      <c r="Y3" s="29" t="s">
        <v>66</v>
      </c>
    </row>
    <row r="4" spans="1:25" x14ac:dyDescent="0.35">
      <c r="A4" s="20">
        <v>2024</v>
      </c>
      <c r="B4" s="21">
        <v>160939</v>
      </c>
      <c r="C4" s="21">
        <v>185204</v>
      </c>
      <c r="D4" s="21">
        <v>52423</v>
      </c>
      <c r="E4" s="21">
        <v>235162</v>
      </c>
      <c r="F4" s="21">
        <v>351734</v>
      </c>
      <c r="G4" s="20"/>
      <c r="H4" s="22"/>
      <c r="I4" s="22"/>
      <c r="J4" s="22"/>
      <c r="K4" s="22"/>
      <c r="L4" s="22"/>
      <c r="M4" s="23"/>
      <c r="O4" s="71"/>
      <c r="Y4" s="25" t="s">
        <v>78</v>
      </c>
    </row>
    <row r="5" spans="1:25" x14ac:dyDescent="0.35">
      <c r="A5" s="20">
        <f>A4+1</f>
        <v>2025</v>
      </c>
      <c r="B5" s="21">
        <v>161941</v>
      </c>
      <c r="C5" s="21">
        <v>185331</v>
      </c>
      <c r="D5" s="21">
        <v>52683</v>
      </c>
      <c r="E5" s="21">
        <v>235779</v>
      </c>
      <c r="F5" s="21">
        <v>354274</v>
      </c>
      <c r="G5" s="20"/>
      <c r="H5" s="22"/>
      <c r="I5" s="22"/>
      <c r="J5" s="22"/>
      <c r="K5" s="22"/>
      <c r="L5" s="22"/>
      <c r="M5" s="23"/>
      <c r="O5" s="77">
        <v>0.01</v>
      </c>
      <c r="P5" s="6">
        <f>ROUND(M5*O5,0)</f>
        <v>0</v>
      </c>
      <c r="Q5" s="6">
        <f>P5</f>
        <v>0</v>
      </c>
      <c r="S5" s="6">
        <v>5420.7929415250201</v>
      </c>
      <c r="T5" s="6">
        <v>2236.5129817435877</v>
      </c>
      <c r="U5" s="3">
        <f>S5+T5</f>
        <v>7657.3059232686082</v>
      </c>
      <c r="W5" s="5">
        <f>Q5*U5/1000</f>
        <v>0</v>
      </c>
      <c r="Y5" s="7" t="s">
        <v>79</v>
      </c>
    </row>
    <row r="6" spans="1:25" x14ac:dyDescent="0.35">
      <c r="A6" s="20">
        <f t="shared" ref="A6:A10" si="0">A5+1</f>
        <v>2026</v>
      </c>
      <c r="B6" s="21">
        <v>161985</v>
      </c>
      <c r="C6" s="21">
        <v>185485</v>
      </c>
      <c r="D6" s="21">
        <v>52930</v>
      </c>
      <c r="E6" s="21">
        <v>236609</v>
      </c>
      <c r="F6" s="21">
        <v>356459</v>
      </c>
      <c r="G6" s="20"/>
      <c r="H6" s="22">
        <f>(B6-B5)</f>
        <v>44</v>
      </c>
      <c r="I6" s="22">
        <f t="shared" ref="I6:L11" si="1">(C6-C5)</f>
        <v>154</v>
      </c>
      <c r="J6" s="22">
        <f t="shared" si="1"/>
        <v>247</v>
      </c>
      <c r="K6" s="22">
        <f t="shared" si="1"/>
        <v>830</v>
      </c>
      <c r="L6" s="22">
        <f t="shared" si="1"/>
        <v>2185</v>
      </c>
      <c r="M6" s="23">
        <f t="shared" ref="M6:M11" si="2">SUM(H6:L6)</f>
        <v>3460</v>
      </c>
      <c r="O6" s="77">
        <v>0.1</v>
      </c>
      <c r="P6" s="6">
        <f t="shared" ref="P6:P11" si="3">ROUND(M6*O6,0)</f>
        <v>346</v>
      </c>
      <c r="Q6" s="6">
        <f>Q5+P6</f>
        <v>346</v>
      </c>
      <c r="S6" s="6">
        <v>5374.8763555597161</v>
      </c>
      <c r="T6" s="6">
        <v>2221.9560785608287</v>
      </c>
      <c r="U6" s="3">
        <f t="shared" ref="U6:U11" si="4">S6+T6</f>
        <v>7596.8324341205443</v>
      </c>
      <c r="W6" s="5">
        <f t="shared" ref="W6:W10" si="5">Q6*U6/1000</f>
        <v>2628.5040222057087</v>
      </c>
    </row>
    <row r="7" spans="1:25" x14ac:dyDescent="0.35">
      <c r="A7" s="20">
        <f t="shared" si="0"/>
        <v>2027</v>
      </c>
      <c r="B7" s="21">
        <v>162626</v>
      </c>
      <c r="C7" s="21">
        <v>185653</v>
      </c>
      <c r="D7" s="21">
        <v>53309</v>
      </c>
      <c r="E7" s="21">
        <v>237379</v>
      </c>
      <c r="F7" s="21">
        <v>358539</v>
      </c>
      <c r="G7" s="20"/>
      <c r="H7" s="22">
        <f>(B7-B6)</f>
        <v>641</v>
      </c>
      <c r="I7" s="22">
        <f t="shared" si="1"/>
        <v>168</v>
      </c>
      <c r="J7" s="22">
        <f t="shared" si="1"/>
        <v>379</v>
      </c>
      <c r="K7" s="22">
        <f t="shared" si="1"/>
        <v>770</v>
      </c>
      <c r="L7" s="22">
        <f t="shared" si="1"/>
        <v>2080</v>
      </c>
      <c r="M7" s="23">
        <f t="shared" si="2"/>
        <v>4038</v>
      </c>
      <c r="O7" s="77">
        <v>0.2</v>
      </c>
      <c r="P7" s="6">
        <f t="shared" si="3"/>
        <v>808</v>
      </c>
      <c r="Q7" s="6">
        <f t="shared" ref="Q7:Q11" si="6">Q6+P7</f>
        <v>1154</v>
      </c>
      <c r="S7" s="6">
        <v>5330.8506499329142</v>
      </c>
      <c r="T7" s="6">
        <v>2208.9101753822424</v>
      </c>
      <c r="U7" s="3">
        <f t="shared" si="4"/>
        <v>7539.7608253151566</v>
      </c>
      <c r="W7" s="5">
        <f t="shared" si="5"/>
        <v>8700.8839924136901</v>
      </c>
    </row>
    <row r="8" spans="1:25" x14ac:dyDescent="0.35">
      <c r="A8" s="20">
        <f t="shared" si="0"/>
        <v>2028</v>
      </c>
      <c r="B8" s="21">
        <v>163552</v>
      </c>
      <c r="C8" s="21">
        <v>185866</v>
      </c>
      <c r="D8" s="21">
        <v>53773</v>
      </c>
      <c r="E8" s="21">
        <v>238098</v>
      </c>
      <c r="F8" s="21">
        <v>360628</v>
      </c>
      <c r="G8" s="20"/>
      <c r="H8" s="22">
        <f t="shared" ref="H8:H11" si="7">(B8-B7)</f>
        <v>926</v>
      </c>
      <c r="I8" s="22">
        <f t="shared" si="1"/>
        <v>213</v>
      </c>
      <c r="J8" s="22">
        <f t="shared" si="1"/>
        <v>464</v>
      </c>
      <c r="K8" s="22">
        <f t="shared" si="1"/>
        <v>719</v>
      </c>
      <c r="L8" s="22">
        <f t="shared" si="1"/>
        <v>2089</v>
      </c>
      <c r="M8" s="23">
        <f t="shared" si="2"/>
        <v>4411</v>
      </c>
      <c r="O8" s="77">
        <v>0.3</v>
      </c>
      <c r="P8" s="6">
        <f t="shared" si="3"/>
        <v>1323</v>
      </c>
      <c r="Q8" s="6">
        <f t="shared" si="6"/>
        <v>2477</v>
      </c>
      <c r="S8" s="6">
        <v>5289.3544425253494</v>
      </c>
      <c r="T8" s="6">
        <v>2197.1812529459494</v>
      </c>
      <c r="U8" s="3">
        <f t="shared" si="4"/>
        <v>7486.5356954712988</v>
      </c>
      <c r="W8" s="5">
        <f t="shared" si="5"/>
        <v>18544.148917682407</v>
      </c>
    </row>
    <row r="9" spans="1:25" x14ac:dyDescent="0.35">
      <c r="A9" s="20">
        <f t="shared" si="0"/>
        <v>2029</v>
      </c>
      <c r="B9" s="21">
        <v>164443</v>
      </c>
      <c r="C9" s="21">
        <v>186098</v>
      </c>
      <c r="D9" s="21">
        <v>54245</v>
      </c>
      <c r="E9" s="21">
        <v>238757</v>
      </c>
      <c r="F9" s="21">
        <v>362711</v>
      </c>
      <c r="G9" s="20"/>
      <c r="H9" s="22">
        <f t="shared" si="7"/>
        <v>891</v>
      </c>
      <c r="I9" s="22">
        <f t="shared" si="1"/>
        <v>232</v>
      </c>
      <c r="J9" s="22">
        <f t="shared" si="1"/>
        <v>472</v>
      </c>
      <c r="K9" s="22">
        <f t="shared" si="1"/>
        <v>659</v>
      </c>
      <c r="L9" s="22">
        <f t="shared" si="1"/>
        <v>2083</v>
      </c>
      <c r="M9" s="23">
        <f t="shared" si="2"/>
        <v>4337</v>
      </c>
      <c r="O9" s="77">
        <v>0.4</v>
      </c>
      <c r="P9" s="6">
        <f t="shared" si="3"/>
        <v>1735</v>
      </c>
      <c r="Q9" s="6">
        <f t="shared" si="6"/>
        <v>4212</v>
      </c>
      <c r="S9" s="6">
        <v>5250.065763935113</v>
      </c>
      <c r="T9" s="6">
        <v>2186.6490682218136</v>
      </c>
      <c r="U9" s="3">
        <f t="shared" si="4"/>
        <v>7436.7148321569266</v>
      </c>
      <c r="W9" s="5">
        <f t="shared" si="5"/>
        <v>31323.442873044976</v>
      </c>
    </row>
    <row r="10" spans="1:25" x14ac:dyDescent="0.35">
      <c r="A10" s="20">
        <f t="shared" si="0"/>
        <v>2030</v>
      </c>
      <c r="B10" s="21">
        <v>165357</v>
      </c>
      <c r="C10" s="21">
        <v>186343</v>
      </c>
      <c r="D10" s="21">
        <v>54727</v>
      </c>
      <c r="E10" s="21">
        <v>239363</v>
      </c>
      <c r="F10" s="21">
        <v>364799</v>
      </c>
      <c r="G10" s="20"/>
      <c r="H10" s="22">
        <f t="shared" si="7"/>
        <v>914</v>
      </c>
      <c r="I10" s="22">
        <f t="shared" si="1"/>
        <v>245</v>
      </c>
      <c r="J10" s="22">
        <f t="shared" si="1"/>
        <v>482</v>
      </c>
      <c r="K10" s="22">
        <f t="shared" si="1"/>
        <v>606</v>
      </c>
      <c r="L10" s="22">
        <f t="shared" si="1"/>
        <v>2088</v>
      </c>
      <c r="M10" s="23">
        <f t="shared" si="2"/>
        <v>4335</v>
      </c>
      <c r="O10" s="77">
        <v>0.5</v>
      </c>
      <c r="P10" s="6">
        <f t="shared" si="3"/>
        <v>2168</v>
      </c>
      <c r="Q10" s="6">
        <f t="shared" si="6"/>
        <v>6380</v>
      </c>
      <c r="S10" s="6">
        <v>5213.5962399276677</v>
      </c>
      <c r="T10" s="6">
        <v>2177.1812513423656</v>
      </c>
      <c r="U10" s="3">
        <f t="shared" si="4"/>
        <v>7390.7774912700334</v>
      </c>
      <c r="W10" s="5">
        <f t="shared" si="5"/>
        <v>47153.160394302817</v>
      </c>
    </row>
    <row r="11" spans="1:25" x14ac:dyDescent="0.35">
      <c r="A11" s="20">
        <f>A10+1</f>
        <v>2031</v>
      </c>
      <c r="B11" s="21">
        <v>166288</v>
      </c>
      <c r="C11" s="21">
        <v>186597</v>
      </c>
      <c r="D11" s="21">
        <v>55218</v>
      </c>
      <c r="E11" s="21">
        <v>239919</v>
      </c>
      <c r="F11" s="21">
        <v>366896</v>
      </c>
      <c r="G11" s="20"/>
      <c r="H11" s="22">
        <f t="shared" si="7"/>
        <v>931</v>
      </c>
      <c r="I11" s="22">
        <f t="shared" si="1"/>
        <v>254</v>
      </c>
      <c r="J11" s="22">
        <f t="shared" si="1"/>
        <v>491</v>
      </c>
      <c r="K11" s="22">
        <f t="shared" si="1"/>
        <v>556</v>
      </c>
      <c r="L11" s="22">
        <f t="shared" si="1"/>
        <v>2097</v>
      </c>
      <c r="M11" s="23">
        <f t="shared" si="2"/>
        <v>4329</v>
      </c>
      <c r="O11" s="77">
        <v>0.6</v>
      </c>
      <c r="P11" s="6">
        <f t="shared" si="3"/>
        <v>2597</v>
      </c>
      <c r="Q11" s="6">
        <f t="shared" si="6"/>
        <v>8977</v>
      </c>
      <c r="S11" s="6">
        <v>5179.9521264463792</v>
      </c>
      <c r="T11" s="6">
        <v>2168.8594862351865</v>
      </c>
      <c r="U11" s="3">
        <f t="shared" si="4"/>
        <v>7348.8116126815657</v>
      </c>
      <c r="W11" s="5">
        <f>Q11*U11/1000</f>
        <v>65970.281847042424</v>
      </c>
    </row>
    <row r="12" spans="1:25" x14ac:dyDescent="0.35">
      <c r="A12" s="20"/>
      <c r="B12" s="21"/>
      <c r="C12" s="21"/>
      <c r="D12" s="21"/>
      <c r="E12" s="21"/>
      <c r="F12" s="21"/>
      <c r="G12" s="20"/>
      <c r="H12" s="22"/>
      <c r="I12" s="22"/>
      <c r="J12" s="22"/>
      <c r="K12" s="22"/>
      <c r="L12" s="22"/>
      <c r="M12" s="23"/>
      <c r="O12" s="13"/>
      <c r="P12" s="6"/>
      <c r="Q12" s="6"/>
      <c r="S12" s="6"/>
      <c r="T12" s="6"/>
      <c r="U12" s="3"/>
      <c r="W12" s="5"/>
    </row>
    <row r="14" spans="1:25" x14ac:dyDescent="0.35">
      <c r="B14" s="12" t="s">
        <v>56</v>
      </c>
      <c r="H14" s="12" t="s">
        <v>57</v>
      </c>
      <c r="O14" s="86" t="s">
        <v>154</v>
      </c>
      <c r="P14" s="26" t="s">
        <v>16</v>
      </c>
      <c r="Q14" s="26"/>
      <c r="S14" s="12" t="s">
        <v>63</v>
      </c>
      <c r="W14" s="12" t="s">
        <v>76</v>
      </c>
    </row>
    <row r="15" spans="1:25" x14ac:dyDescent="0.35">
      <c r="O15" s="12" t="s">
        <v>65</v>
      </c>
      <c r="S15" s="12" t="s">
        <v>64</v>
      </c>
    </row>
  </sheetData>
  <mergeCells count="4">
    <mergeCell ref="B2:F2"/>
    <mergeCell ref="H2:L2"/>
    <mergeCell ref="O2:P2"/>
    <mergeCell ref="S2:U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9E3C-5471-47A6-9E9B-26AD82C8E123}">
  <dimension ref="A2:V16"/>
  <sheetViews>
    <sheetView workbookViewId="0">
      <selection activeCell="M11" sqref="M11"/>
    </sheetView>
  </sheetViews>
  <sheetFormatPr defaultRowHeight="14.5" x14ac:dyDescent="0.35"/>
  <cols>
    <col min="9" max="9" width="32.453125" bestFit="1" customWidth="1"/>
    <col min="10" max="10" width="42" customWidth="1"/>
    <col min="11" max="11" width="2.7265625" customWidth="1"/>
    <col min="12" max="12" width="14.54296875" customWidth="1"/>
    <col min="13" max="13" width="38.453125" bestFit="1" customWidth="1"/>
    <col min="14" max="14" width="18.453125" customWidth="1"/>
    <col min="15" max="15" width="3.54296875" customWidth="1"/>
    <col min="17" max="17" width="11.54296875" customWidth="1"/>
    <col min="18" max="18" width="11.26953125" customWidth="1"/>
    <col min="19" max="19" width="4.453125" customWidth="1"/>
    <col min="20" max="20" width="19.81640625" bestFit="1" customWidth="1"/>
  </cols>
  <sheetData>
    <row r="2" spans="1:22" x14ac:dyDescent="0.35">
      <c r="A2" s="20"/>
      <c r="B2" s="96" t="s">
        <v>131</v>
      </c>
      <c r="C2" s="96"/>
      <c r="D2" s="96"/>
      <c r="E2" s="96"/>
      <c r="F2" s="96"/>
      <c r="M2" s="96" t="s">
        <v>67</v>
      </c>
      <c r="N2" s="96"/>
      <c r="P2" s="96" t="s">
        <v>73</v>
      </c>
      <c r="Q2" s="96"/>
      <c r="R2" s="96"/>
      <c r="T2" s="7" t="s">
        <v>77</v>
      </c>
    </row>
    <row r="3" spans="1:22" x14ac:dyDescent="0.35">
      <c r="A3" s="20"/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18</v>
      </c>
      <c r="I3" s="26" t="s">
        <v>70</v>
      </c>
      <c r="J3" s="31">
        <v>0.26400000000000001</v>
      </c>
      <c r="K3" s="31"/>
      <c r="L3" s="78" t="s">
        <v>0</v>
      </c>
      <c r="M3" s="73" t="s">
        <v>69</v>
      </c>
      <c r="N3" s="27" t="s">
        <v>68</v>
      </c>
      <c r="P3" s="27" t="s">
        <v>71</v>
      </c>
      <c r="Q3" s="27" t="s">
        <v>72</v>
      </c>
      <c r="R3" s="27" t="s">
        <v>18</v>
      </c>
    </row>
    <row r="4" spans="1:22" x14ac:dyDescent="0.35">
      <c r="A4" s="20"/>
      <c r="B4" s="23">
        <f>'2. Res_NewElectrification'!B4</f>
        <v>160939</v>
      </c>
      <c r="C4" s="23">
        <f>'2. Res_NewElectrification'!C4</f>
        <v>185204</v>
      </c>
      <c r="D4" s="23">
        <f>'2. Res_NewElectrification'!D4</f>
        <v>52423</v>
      </c>
      <c r="E4" s="23">
        <f>'2. Res_NewElectrification'!E4</f>
        <v>235162</v>
      </c>
      <c r="F4" s="23">
        <f>'2. Res_NewElectrification'!F4</f>
        <v>351734</v>
      </c>
      <c r="G4" s="23">
        <f>SUM(B4:F4)</f>
        <v>985462</v>
      </c>
      <c r="I4" s="26"/>
      <c r="J4" s="31"/>
      <c r="K4" s="31"/>
      <c r="L4" s="79"/>
      <c r="M4" s="73"/>
      <c r="N4" s="27"/>
      <c r="P4" s="27"/>
      <c r="Q4" s="27"/>
      <c r="R4" s="27"/>
    </row>
    <row r="5" spans="1:22" x14ac:dyDescent="0.35">
      <c r="A5" s="20"/>
      <c r="B5" s="23"/>
      <c r="C5" s="23"/>
      <c r="D5" s="23"/>
      <c r="E5" s="23"/>
      <c r="F5" s="23"/>
      <c r="G5" s="22"/>
      <c r="H5" s="22"/>
      <c r="I5" s="32" t="s">
        <v>129</v>
      </c>
      <c r="J5" s="32"/>
      <c r="K5" s="32"/>
      <c r="L5" s="80"/>
      <c r="M5" s="77">
        <v>3.0000000000000001E-3</v>
      </c>
      <c r="N5" s="6"/>
      <c r="P5" s="6"/>
      <c r="Q5" s="6"/>
      <c r="R5" s="3"/>
      <c r="T5" s="6"/>
      <c r="V5" s="4"/>
    </row>
    <row r="6" spans="1:22" x14ac:dyDescent="0.35">
      <c r="A6" s="20"/>
      <c r="B6" s="12"/>
      <c r="G6" s="1"/>
      <c r="H6" s="22"/>
      <c r="I6" s="12" t="s">
        <v>130</v>
      </c>
      <c r="J6" s="32"/>
      <c r="K6" s="32"/>
      <c r="L6" s="81">
        <v>2026</v>
      </c>
      <c r="M6" s="77">
        <v>6.0000000000000001E-3</v>
      </c>
      <c r="N6" s="6">
        <f>$G$4*(1-$J$3)*M6</f>
        <v>4351.8001919999997</v>
      </c>
      <c r="P6" s="6">
        <v>5374.8763555597161</v>
      </c>
      <c r="Q6" s="6">
        <v>2221.9560785608287</v>
      </c>
      <c r="R6" s="3">
        <f t="shared" ref="R6:R11" si="0">P6+Q6</f>
        <v>7596.8324341205443</v>
      </c>
      <c r="T6" s="6">
        <f>N6*R6/1000</f>
        <v>33059.896845397612</v>
      </c>
      <c r="V6" s="4"/>
    </row>
    <row r="7" spans="1:22" x14ac:dyDescent="0.35">
      <c r="A7" s="20"/>
      <c r="B7" s="12"/>
      <c r="H7" s="22"/>
      <c r="I7" s="47" t="s">
        <v>128</v>
      </c>
      <c r="J7" s="32"/>
      <c r="K7" s="32"/>
      <c r="L7" s="81">
        <f>L6+1</f>
        <v>2027</v>
      </c>
      <c r="M7" s="77">
        <v>8.9999999999999993E-3</v>
      </c>
      <c r="N7" s="6">
        <f t="shared" ref="N7:N11" si="1">$G$4*(1-$J$3)*M7</f>
        <v>6527.700288</v>
      </c>
      <c r="P7" s="6">
        <v>5330.8506499329142</v>
      </c>
      <c r="Q7" s="6">
        <v>2208.9101753822424</v>
      </c>
      <c r="R7" s="3">
        <f t="shared" si="0"/>
        <v>7539.7608253151566</v>
      </c>
      <c r="T7" s="6">
        <f t="shared" ref="T7:T10" si="2">N7*R7/1000</f>
        <v>49217.298910860867</v>
      </c>
      <c r="V7" s="4"/>
    </row>
    <row r="8" spans="1:22" x14ac:dyDescent="0.35">
      <c r="A8" s="20"/>
      <c r="B8" s="23"/>
      <c r="C8" s="23"/>
      <c r="D8" s="23"/>
      <c r="E8" s="23"/>
      <c r="F8" s="23"/>
      <c r="G8" s="22"/>
      <c r="H8" s="22"/>
      <c r="L8" s="81">
        <f t="shared" ref="L8:L11" si="3">L7+1</f>
        <v>2028</v>
      </c>
      <c r="M8" s="77">
        <v>1.35E-2</v>
      </c>
      <c r="N8" s="6">
        <f t="shared" si="1"/>
        <v>9791.550432</v>
      </c>
      <c r="P8" s="6">
        <v>5289.3544425253494</v>
      </c>
      <c r="Q8" s="6">
        <v>2197.1812529459494</v>
      </c>
      <c r="R8" s="3">
        <f t="shared" si="0"/>
        <v>7486.5356954712988</v>
      </c>
      <c r="T8" s="6">
        <f t="shared" si="2"/>
        <v>73304.791823175416</v>
      </c>
      <c r="V8" s="4"/>
    </row>
    <row r="9" spans="1:22" x14ac:dyDescent="0.35">
      <c r="A9" s="20"/>
      <c r="B9" s="23"/>
      <c r="C9" s="23"/>
      <c r="D9" s="23"/>
      <c r="E9" s="23"/>
      <c r="F9" s="23"/>
      <c r="G9" s="22"/>
      <c r="H9" s="22"/>
      <c r="I9" s="22"/>
      <c r="J9" s="22"/>
      <c r="K9" s="22"/>
      <c r="L9" s="81">
        <f t="shared" si="3"/>
        <v>2029</v>
      </c>
      <c r="M9" s="77">
        <v>1.7999999999999999E-2</v>
      </c>
      <c r="N9" s="6">
        <f t="shared" si="1"/>
        <v>13055.400576</v>
      </c>
      <c r="P9" s="6">
        <v>5250.065763935113</v>
      </c>
      <c r="Q9" s="6">
        <v>2186.6490682218136</v>
      </c>
      <c r="R9" s="3">
        <f t="shared" si="0"/>
        <v>7436.7148321569266</v>
      </c>
      <c r="T9" s="6">
        <f t="shared" si="2"/>
        <v>97089.291103289273</v>
      </c>
      <c r="V9" s="4"/>
    </row>
    <row r="10" spans="1:22" x14ac:dyDescent="0.35">
      <c r="A10" s="20"/>
      <c r="B10" s="23"/>
      <c r="C10" s="23"/>
      <c r="D10" s="23"/>
      <c r="E10" s="23"/>
      <c r="F10" s="23"/>
      <c r="G10" s="22"/>
      <c r="H10" s="22"/>
      <c r="I10" s="22"/>
      <c r="J10" s="22"/>
      <c r="K10" s="22"/>
      <c r="L10" s="81">
        <f t="shared" si="3"/>
        <v>2030</v>
      </c>
      <c r="M10" s="77">
        <v>2.4E-2</v>
      </c>
      <c r="N10" s="6">
        <f t="shared" si="1"/>
        <v>17407.200767999999</v>
      </c>
      <c r="P10" s="6">
        <v>5213.5962399276677</v>
      </c>
      <c r="Q10" s="6">
        <v>2177.1812513423656</v>
      </c>
      <c r="R10" s="3">
        <f t="shared" si="0"/>
        <v>7390.7774912700334</v>
      </c>
      <c r="T10" s="6">
        <f t="shared" si="2"/>
        <v>128652.74762215283</v>
      </c>
      <c r="V10" s="4"/>
    </row>
    <row r="11" spans="1:22" ht="18.5" x14ac:dyDescent="0.45">
      <c r="A11" s="20"/>
      <c r="B11" s="23"/>
      <c r="C11" s="23"/>
      <c r="D11" s="23"/>
      <c r="E11" s="23"/>
      <c r="F11" s="23"/>
      <c r="G11" s="22"/>
      <c r="H11" s="22"/>
      <c r="I11" s="22"/>
      <c r="J11" s="22"/>
      <c r="K11" s="22"/>
      <c r="L11" s="81">
        <f t="shared" si="3"/>
        <v>2031</v>
      </c>
      <c r="M11" s="94">
        <v>0.03</v>
      </c>
      <c r="N11" s="6">
        <f t="shared" si="1"/>
        <v>21759.000959999998</v>
      </c>
      <c r="P11" s="6">
        <v>5179.9521264463792</v>
      </c>
      <c r="Q11" s="6">
        <v>2168.8594862351865</v>
      </c>
      <c r="R11" s="3">
        <f t="shared" si="0"/>
        <v>7348.8116126815657</v>
      </c>
      <c r="T11" s="6">
        <f>N11*R11/1000</f>
        <v>159902.79893519732</v>
      </c>
      <c r="U11" s="4"/>
      <c r="V11" s="4"/>
    </row>
    <row r="12" spans="1:22" x14ac:dyDescent="0.35">
      <c r="P12" s="6"/>
      <c r="Q12" s="6"/>
      <c r="R12" s="3"/>
    </row>
    <row r="13" spans="1:22" x14ac:dyDescent="0.35">
      <c r="M13" s="86" t="s">
        <v>154</v>
      </c>
      <c r="N13" s="26" t="s">
        <v>16</v>
      </c>
      <c r="P13" s="12" t="s">
        <v>63</v>
      </c>
      <c r="T13" s="12" t="s">
        <v>126</v>
      </c>
    </row>
    <row r="14" spans="1:22" x14ac:dyDescent="0.35">
      <c r="M14" s="12" t="s">
        <v>65</v>
      </c>
      <c r="N14" s="12"/>
      <c r="P14" s="12" t="s">
        <v>64</v>
      </c>
      <c r="T14" s="12" t="s">
        <v>127</v>
      </c>
    </row>
    <row r="15" spans="1:22" x14ac:dyDescent="0.35">
      <c r="N15" s="12" t="s">
        <v>68</v>
      </c>
    </row>
    <row r="16" spans="1:22" x14ac:dyDescent="0.35">
      <c r="N16" s="12" t="s">
        <v>132</v>
      </c>
      <c r="O16" s="12"/>
      <c r="P16" s="12"/>
      <c r="Q16" s="12"/>
      <c r="R16" s="12"/>
      <c r="S16" s="12"/>
    </row>
  </sheetData>
  <mergeCells count="3">
    <mergeCell ref="B2:F2"/>
    <mergeCell ref="M2:N2"/>
    <mergeCell ref="P2: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1ABA-30C2-4D1D-AF40-28B2E32DAFDC}">
  <dimension ref="B1:AS22"/>
  <sheetViews>
    <sheetView workbookViewId="0">
      <selection activeCell="V10" sqref="V10"/>
    </sheetView>
  </sheetViews>
  <sheetFormatPr defaultRowHeight="14.5" x14ac:dyDescent="0.35"/>
  <cols>
    <col min="2" max="10" width="10.54296875" customWidth="1"/>
    <col min="12" max="20" width="10.54296875" customWidth="1"/>
    <col min="21" max="21" width="4.26953125" customWidth="1"/>
    <col min="22" max="22" width="20.1796875" customWidth="1"/>
    <col min="23" max="23" width="3.453125" customWidth="1"/>
    <col min="24" max="24" width="22.453125" customWidth="1"/>
    <col min="32" max="32" width="13.26953125" customWidth="1"/>
    <col min="33" max="33" width="5.26953125" customWidth="1"/>
    <col min="35" max="35" width="12.26953125" bestFit="1" customWidth="1"/>
    <col min="36" max="36" width="14.26953125" customWidth="1"/>
    <col min="37" max="37" width="12.1796875" bestFit="1" customWidth="1"/>
    <col min="38" max="38" width="7.26953125" customWidth="1"/>
    <col min="39" max="39" width="60.26953125" bestFit="1" customWidth="1"/>
    <col min="40" max="40" width="4.1796875" customWidth="1"/>
    <col min="41" max="45" width="19.81640625" customWidth="1"/>
  </cols>
  <sheetData>
    <row r="1" spans="2:45" x14ac:dyDescent="0.35">
      <c r="C1" s="96" t="s">
        <v>87</v>
      </c>
      <c r="D1" s="96"/>
      <c r="E1" s="96"/>
      <c r="F1" s="96"/>
      <c r="G1" s="96"/>
      <c r="H1" s="96"/>
      <c r="I1" s="96"/>
      <c r="M1" s="96" t="s">
        <v>155</v>
      </c>
      <c r="N1" s="96"/>
      <c r="O1" s="96"/>
      <c r="P1" s="96"/>
      <c r="Q1" s="96"/>
      <c r="R1" s="96"/>
      <c r="S1" s="96"/>
      <c r="V1" s="27" t="s">
        <v>88</v>
      </c>
      <c r="AH1" s="98" t="s">
        <v>98</v>
      </c>
      <c r="AI1" s="98"/>
      <c r="AJ1" s="98"/>
      <c r="AK1" s="98"/>
      <c r="AL1" s="98"/>
      <c r="AM1" s="14"/>
      <c r="AN1" s="14"/>
    </row>
    <row r="2" spans="2:45" ht="43.5" x14ac:dyDescent="0.35">
      <c r="B2" s="90"/>
      <c r="C2" s="91" t="s">
        <v>80</v>
      </c>
      <c r="D2" s="91" t="s">
        <v>81</v>
      </c>
      <c r="E2" s="91" t="s">
        <v>82</v>
      </c>
      <c r="F2" s="91" t="s">
        <v>83</v>
      </c>
      <c r="G2" s="91" t="s">
        <v>84</v>
      </c>
      <c r="H2" s="91" t="s">
        <v>85</v>
      </c>
      <c r="I2" s="91" t="s">
        <v>86</v>
      </c>
      <c r="J2" s="92" t="s">
        <v>18</v>
      </c>
      <c r="L2" s="82"/>
      <c r="M2" s="91" t="s">
        <v>80</v>
      </c>
      <c r="N2" s="91" t="s">
        <v>81</v>
      </c>
      <c r="O2" s="91" t="s">
        <v>82</v>
      </c>
      <c r="P2" s="91" t="s">
        <v>83</v>
      </c>
      <c r="Q2" s="91" t="s">
        <v>84</v>
      </c>
      <c r="R2" s="91" t="s">
        <v>85</v>
      </c>
      <c r="S2" s="91" t="s">
        <v>86</v>
      </c>
      <c r="T2" s="92" t="s">
        <v>18</v>
      </c>
      <c r="V2" s="73" t="s">
        <v>89</v>
      </c>
      <c r="X2" s="30" t="s">
        <v>95</v>
      </c>
      <c r="Y2" s="35">
        <v>0.2</v>
      </c>
      <c r="Z2" s="14"/>
      <c r="AH2" s="1" t="s">
        <v>0</v>
      </c>
      <c r="AI2" s="1" t="s">
        <v>99</v>
      </c>
      <c r="AJ2" s="1" t="s">
        <v>100</v>
      </c>
      <c r="AK2" s="27" t="s">
        <v>62</v>
      </c>
      <c r="AM2" s="28" t="s">
        <v>105</v>
      </c>
      <c r="AO2" s="28" t="s">
        <v>94</v>
      </c>
    </row>
    <row r="3" spans="2:45" x14ac:dyDescent="0.35">
      <c r="B3" s="75" t="s">
        <v>0</v>
      </c>
      <c r="C3" s="82"/>
      <c r="D3" s="82"/>
      <c r="E3" s="82"/>
      <c r="F3" s="82"/>
      <c r="G3" s="82"/>
      <c r="H3" s="82"/>
      <c r="I3" s="82"/>
      <c r="J3" s="83"/>
      <c r="L3" s="70" t="s">
        <v>0</v>
      </c>
      <c r="M3" s="82"/>
      <c r="N3" s="82"/>
      <c r="O3" s="82"/>
      <c r="P3" s="82"/>
      <c r="Q3" s="82"/>
      <c r="R3" s="82"/>
      <c r="S3" s="82"/>
      <c r="T3" s="83"/>
      <c r="V3" s="83"/>
      <c r="X3" s="12" t="s">
        <v>96</v>
      </c>
      <c r="Y3" s="7"/>
      <c r="Z3" s="7"/>
      <c r="AA3" s="7"/>
      <c r="AB3" s="7"/>
      <c r="AC3" s="7"/>
      <c r="AD3" s="7"/>
      <c r="AE3" s="7"/>
      <c r="AF3" s="7"/>
      <c r="AK3" s="7"/>
      <c r="AO3" s="14"/>
      <c r="AP3" s="96" t="s">
        <v>93</v>
      </c>
      <c r="AQ3" s="96"/>
      <c r="AR3" s="96"/>
    </row>
    <row r="4" spans="2:45" x14ac:dyDescent="0.35">
      <c r="B4" s="75">
        <v>2025</v>
      </c>
      <c r="C4" s="84">
        <v>0.74048497946970304</v>
      </c>
      <c r="D4" s="84">
        <v>0.82096407269609184</v>
      </c>
      <c r="E4" s="84">
        <v>0.63744746276166464</v>
      </c>
      <c r="F4" s="84">
        <v>1.0702166727743183</v>
      </c>
      <c r="G4" s="84">
        <v>0.15796924210866869</v>
      </c>
      <c r="H4" s="84">
        <v>0.24492567336194571</v>
      </c>
      <c r="I4" s="84">
        <v>0.14464786220505738</v>
      </c>
      <c r="J4" s="85">
        <f>SUM(C4:I4)</f>
        <v>3.8166559653774494</v>
      </c>
      <c r="L4" s="70">
        <v>2025</v>
      </c>
      <c r="M4" s="84">
        <v>5.9651732852286581E-2</v>
      </c>
      <c r="N4" s="84">
        <v>0.11061752724223883</v>
      </c>
      <c r="O4" s="84">
        <v>6.488816216245992E-2</v>
      </c>
      <c r="P4" s="84">
        <v>0.13558186365596142</v>
      </c>
      <c r="Q4" s="84">
        <v>2.0010964694856522E-2</v>
      </c>
      <c r="R4" s="84">
        <v>2.8274676339763084E-2</v>
      </c>
      <c r="S4" s="84">
        <v>1.5283204124432256E-2</v>
      </c>
      <c r="T4" s="85">
        <f>SUM(M4:S4)</f>
        <v>0.43430813107199862</v>
      </c>
      <c r="V4" s="85">
        <f>J4+T4</f>
        <v>4.2509640964494482</v>
      </c>
      <c r="X4" s="12" t="s">
        <v>97</v>
      </c>
      <c r="Y4" s="7"/>
      <c r="Z4" s="7"/>
      <c r="AA4" s="7"/>
      <c r="AB4" s="7"/>
      <c r="AC4" s="7"/>
      <c r="AD4" s="7"/>
      <c r="AE4" s="7"/>
      <c r="AF4" s="7"/>
      <c r="AH4">
        <f t="shared" ref="AH4:AH10" si="0">B4</f>
        <v>2025</v>
      </c>
      <c r="AI4" s="2"/>
      <c r="AK4" s="37"/>
      <c r="AO4" s="20" t="s">
        <v>90</v>
      </c>
      <c r="AP4" s="14" t="s">
        <v>29</v>
      </c>
      <c r="AQ4" s="14" t="s">
        <v>30</v>
      </c>
      <c r="AR4" s="14" t="s">
        <v>31</v>
      </c>
      <c r="AS4" s="14" t="s">
        <v>92</v>
      </c>
    </row>
    <row r="5" spans="2:45" x14ac:dyDescent="0.35">
      <c r="B5" s="75">
        <f t="shared" ref="B5:B9" si="1">B4+1</f>
        <v>2026</v>
      </c>
      <c r="C5" s="84">
        <v>1.4809699589394061</v>
      </c>
      <c r="D5" s="84">
        <v>1.6419281453921837</v>
      </c>
      <c r="E5" s="84">
        <v>1.2748949255233293</v>
      </c>
      <c r="F5" s="84">
        <v>2.1404333455486366</v>
      </c>
      <c r="G5" s="84">
        <v>0.31593848421733739</v>
      </c>
      <c r="H5" s="84">
        <v>0.48985134672389141</v>
      </c>
      <c r="I5" s="84">
        <v>0.28929572441011475</v>
      </c>
      <c r="J5" s="85">
        <f t="shared" ref="J5:J10" si="2">SUM(C5:I5)</f>
        <v>7.6333119307548989</v>
      </c>
      <c r="L5" s="70">
        <f t="shared" ref="L5:L9" si="3">L4+1</f>
        <v>2026</v>
      </c>
      <c r="M5" s="84">
        <v>0.52248786460153318</v>
      </c>
      <c r="N5" s="84">
        <v>0.95389054583653898</v>
      </c>
      <c r="O5" s="84">
        <v>0.56225421831189715</v>
      </c>
      <c r="P5" s="84">
        <v>1.1795253037130624</v>
      </c>
      <c r="Q5" s="84">
        <v>0.17315095304414824</v>
      </c>
      <c r="R5" s="84">
        <v>0.24526540671254646</v>
      </c>
      <c r="S5" s="84">
        <v>0.13194491725229365</v>
      </c>
      <c r="T5" s="85">
        <f t="shared" ref="T5:T10" si="4">SUM(M5:S5)</f>
        <v>3.7685192094720201</v>
      </c>
      <c r="V5" s="85">
        <f t="shared" ref="V5:V10" si="5">J5+T5</f>
        <v>11.401831140226919</v>
      </c>
      <c r="X5" s="7"/>
      <c r="Y5" s="7"/>
      <c r="Z5" s="7"/>
      <c r="AA5" s="7"/>
      <c r="AB5" s="7"/>
      <c r="AC5" s="7"/>
      <c r="AD5" s="7"/>
      <c r="AE5" s="7"/>
      <c r="AF5" s="7"/>
      <c r="AH5">
        <f t="shared" si="0"/>
        <v>2026</v>
      </c>
      <c r="AI5" s="2">
        <f t="shared" ref="AI5:AI10" si="6">V5</f>
        <v>11.401831140226919</v>
      </c>
      <c r="AJ5">
        <v>8760</v>
      </c>
      <c r="AK5" s="37">
        <f t="shared" ref="AK5:AK10" si="7">AI5*AJ5*$Y$2</f>
        <v>19976.008157677566</v>
      </c>
      <c r="AO5" s="20" t="s">
        <v>19</v>
      </c>
      <c r="AP5" s="34">
        <f>AP11/$AS$11</f>
        <v>0.157420003949899</v>
      </c>
      <c r="AQ5" s="34">
        <f>AQ11/$AS$11</f>
        <v>0.47448458479865263</v>
      </c>
      <c r="AR5" s="34">
        <f>AR11/$AS$11</f>
        <v>0.36809541125144835</v>
      </c>
      <c r="AS5" s="33">
        <f>SUM(AP5:AR5)</f>
        <v>1</v>
      </c>
    </row>
    <row r="6" spans="2:45" x14ac:dyDescent="0.35">
      <c r="B6" s="75">
        <f t="shared" si="1"/>
        <v>2027</v>
      </c>
      <c r="C6" s="84">
        <v>2.2214549384091096</v>
      </c>
      <c r="D6" s="84">
        <v>2.462892218088276</v>
      </c>
      <c r="E6" s="84">
        <v>1.9123423882849944</v>
      </c>
      <c r="F6" s="84">
        <v>3.2106500183229563</v>
      </c>
      <c r="G6" s="84">
        <v>0.47390772632600614</v>
      </c>
      <c r="H6" s="84">
        <v>0.73477702008583745</v>
      </c>
      <c r="I6" s="84">
        <v>0.43394358661517229</v>
      </c>
      <c r="J6" s="85">
        <f t="shared" si="2"/>
        <v>11.449967896132351</v>
      </c>
      <c r="L6" s="70">
        <f t="shared" si="3"/>
        <v>2027</v>
      </c>
      <c r="M6" s="84">
        <v>1.4725804348307541</v>
      </c>
      <c r="N6" s="84">
        <v>2.6464328050926311</v>
      </c>
      <c r="O6" s="84">
        <v>1.5708957283637814</v>
      </c>
      <c r="P6" s="84">
        <v>3.3038730826104374</v>
      </c>
      <c r="Q6" s="84">
        <v>0.48351783704767554</v>
      </c>
      <c r="R6" s="84">
        <v>0.68503195426791175</v>
      </c>
      <c r="S6" s="84">
        <v>0.36829016405880288</v>
      </c>
      <c r="T6" s="85">
        <f t="shared" si="4"/>
        <v>10.530622006271992</v>
      </c>
      <c r="V6" s="85">
        <f t="shared" si="5"/>
        <v>21.980589902404343</v>
      </c>
      <c r="X6" s="12" t="s">
        <v>102</v>
      </c>
      <c r="Y6" s="12"/>
      <c r="Z6" s="12"/>
      <c r="AA6" s="12"/>
      <c r="AB6" s="7"/>
      <c r="AC6" s="7"/>
      <c r="AD6" s="7"/>
      <c r="AE6" s="7"/>
      <c r="AF6" s="7"/>
      <c r="AH6">
        <f t="shared" si="0"/>
        <v>2027</v>
      </c>
      <c r="AI6" s="2">
        <f t="shared" si="6"/>
        <v>21.980589902404343</v>
      </c>
      <c r="AJ6">
        <v>8760</v>
      </c>
      <c r="AK6" s="37">
        <f t="shared" si="7"/>
        <v>38509.993509012413</v>
      </c>
      <c r="AO6" s="20" t="s">
        <v>20</v>
      </c>
      <c r="AP6" s="34">
        <f>AP12/$AS$12</f>
        <v>0.16266619259786003</v>
      </c>
      <c r="AQ6" s="34">
        <f>AQ12/$AS$12</f>
        <v>0.48129087454583835</v>
      </c>
      <c r="AR6" s="34">
        <f>AR12/$AS$12</f>
        <v>0.35604293285630162</v>
      </c>
      <c r="AS6" s="33">
        <f>SUM(AP6:AR6)</f>
        <v>1</v>
      </c>
    </row>
    <row r="7" spans="2:45" x14ac:dyDescent="0.35">
      <c r="B7" s="75">
        <f t="shared" si="1"/>
        <v>2028</v>
      </c>
      <c r="C7" s="84">
        <v>3.3321824076136632</v>
      </c>
      <c r="D7" s="84">
        <v>3.6943383271324128</v>
      </c>
      <c r="E7" s="84">
        <v>2.8685135824274903</v>
      </c>
      <c r="F7" s="84">
        <v>4.8159750274844315</v>
      </c>
      <c r="G7" s="84">
        <v>0.7108615894890089</v>
      </c>
      <c r="H7" s="84">
        <v>1.1021655301287556</v>
      </c>
      <c r="I7" s="84">
        <v>0.65091537992275816</v>
      </c>
      <c r="J7" s="85">
        <f t="shared" si="2"/>
        <v>17.174951844198521</v>
      </c>
      <c r="L7" s="70">
        <f t="shared" si="3"/>
        <v>2028</v>
      </c>
      <c r="M7" s="84">
        <v>2.9071166871663627</v>
      </c>
      <c r="N7" s="84">
        <v>5.1474197896752543</v>
      </c>
      <c r="O7" s="84">
        <v>3.0765450826940359</v>
      </c>
      <c r="P7" s="84">
        <v>6.4865344004561507</v>
      </c>
      <c r="Q7" s="84">
        <v>0.94646924450695502</v>
      </c>
      <c r="R7" s="84">
        <v>1.3412197247928557</v>
      </c>
      <c r="S7" s="84">
        <v>0.72060632018043824</v>
      </c>
      <c r="T7" s="85">
        <f t="shared" si="4"/>
        <v>20.625911249472047</v>
      </c>
      <c r="V7" s="85">
        <f t="shared" si="5"/>
        <v>37.800863093670571</v>
      </c>
      <c r="X7" s="12" t="s">
        <v>103</v>
      </c>
      <c r="Y7" s="12"/>
      <c r="Z7" s="12"/>
      <c r="AA7" s="12"/>
      <c r="AB7" s="7"/>
      <c r="AC7" s="7"/>
      <c r="AD7" s="7"/>
      <c r="AE7" s="7"/>
      <c r="AF7" s="7"/>
      <c r="AH7">
        <f t="shared" si="0"/>
        <v>2028</v>
      </c>
      <c r="AI7" s="2">
        <f t="shared" si="6"/>
        <v>37.800863093670571</v>
      </c>
      <c r="AJ7">
        <v>8784</v>
      </c>
      <c r="AK7" s="37">
        <f t="shared" si="7"/>
        <v>66408.556282960461</v>
      </c>
      <c r="AO7" s="20" t="s">
        <v>21</v>
      </c>
      <c r="AP7" s="34">
        <f>AP13/$AS$13</f>
        <v>0.14630447197874508</v>
      </c>
      <c r="AQ7" s="34">
        <f>AQ13/$AS$13</f>
        <v>0.37264569314429025</v>
      </c>
      <c r="AR7" s="34">
        <f>AR13/$AS$13</f>
        <v>0.48104983487696473</v>
      </c>
      <c r="AS7" s="33">
        <f>SUM(AP7:AR7)</f>
        <v>1</v>
      </c>
    </row>
    <row r="8" spans="2:45" x14ac:dyDescent="0.35">
      <c r="B8" s="75">
        <f t="shared" si="1"/>
        <v>2029</v>
      </c>
      <c r="C8" s="84">
        <v>4.4429098768182183</v>
      </c>
      <c r="D8" s="84">
        <v>4.925784436176551</v>
      </c>
      <c r="E8" s="84">
        <v>3.8246847765699883</v>
      </c>
      <c r="F8" s="84">
        <v>6.4213000366459108</v>
      </c>
      <c r="G8" s="84">
        <v>0.94781545265201206</v>
      </c>
      <c r="H8" s="84">
        <v>1.4695540401716745</v>
      </c>
      <c r="I8" s="84">
        <v>0.86788717323034448</v>
      </c>
      <c r="J8" s="85">
        <f t="shared" si="2"/>
        <v>22.899935792264699</v>
      </c>
      <c r="L8" s="70">
        <f t="shared" si="3"/>
        <v>2029</v>
      </c>
      <c r="M8" s="84">
        <v>4.8059073068626494</v>
      </c>
      <c r="N8" s="84">
        <v>8.3984302708384906</v>
      </c>
      <c r="O8" s="84">
        <v>5.0535160828470689</v>
      </c>
      <c r="P8" s="84">
        <v>10.68045085223377</v>
      </c>
      <c r="Q8" s="84">
        <v>1.5538886351000345</v>
      </c>
      <c r="R8" s="84">
        <v>2.2025020195034206</v>
      </c>
      <c r="S8" s="84">
        <v>1.1825768116865654</v>
      </c>
      <c r="T8" s="85">
        <f t="shared" si="4"/>
        <v>33.877271979071999</v>
      </c>
      <c r="V8" s="85">
        <f t="shared" si="5"/>
        <v>56.777207771336698</v>
      </c>
      <c r="AH8">
        <f t="shared" si="0"/>
        <v>2029</v>
      </c>
      <c r="AI8" s="2">
        <f t="shared" si="6"/>
        <v>56.777207771336698</v>
      </c>
      <c r="AJ8">
        <v>8760</v>
      </c>
      <c r="AK8" s="37">
        <f t="shared" si="7"/>
        <v>99473.668015381903</v>
      </c>
      <c r="AO8" s="20" t="s">
        <v>22</v>
      </c>
      <c r="AP8" s="34">
        <f>AP14/$AS$14</f>
        <v>0.25744229218274162</v>
      </c>
      <c r="AQ8" s="34">
        <f>AQ14/$AS$14</f>
        <v>0.74255770781725838</v>
      </c>
      <c r="AR8" s="34">
        <f>AR14/$AS$14</f>
        <v>0</v>
      </c>
      <c r="AS8" s="33">
        <f>SUM(AP8:AR8)</f>
        <v>1</v>
      </c>
    </row>
    <row r="9" spans="2:45" x14ac:dyDescent="0.35">
      <c r="B9" s="75">
        <f t="shared" si="1"/>
        <v>2030</v>
      </c>
      <c r="C9" s="84">
        <v>5.9238798357576243</v>
      </c>
      <c r="D9" s="84">
        <v>6.5677125815687347</v>
      </c>
      <c r="E9" s="84">
        <v>5.0995797020933171</v>
      </c>
      <c r="F9" s="84">
        <v>8.5617333821945465</v>
      </c>
      <c r="G9" s="84">
        <v>1.2637539368693496</v>
      </c>
      <c r="H9" s="84">
        <v>1.9594053868955656</v>
      </c>
      <c r="I9" s="84">
        <v>1.157182897640459</v>
      </c>
      <c r="J9" s="85">
        <f t="shared" si="2"/>
        <v>30.533247723019596</v>
      </c>
      <c r="L9" s="70">
        <f t="shared" si="3"/>
        <v>2030</v>
      </c>
      <c r="M9" s="84">
        <v>7.1225867587003568</v>
      </c>
      <c r="N9" s="84">
        <v>12.30549587220621</v>
      </c>
      <c r="O9" s="84">
        <v>7.4533829691279445</v>
      </c>
      <c r="P9" s="84">
        <v>15.782168970028168</v>
      </c>
      <c r="Q9" s="84">
        <v>2.2906960215760042</v>
      </c>
      <c r="R9" s="84">
        <v>3.2476650735144008</v>
      </c>
      <c r="S9" s="84">
        <v>1.7426038939189157</v>
      </c>
      <c r="T9" s="85">
        <f t="shared" si="4"/>
        <v>49.944599559071996</v>
      </c>
      <c r="V9" s="85">
        <f t="shared" si="5"/>
        <v>80.477847282091588</v>
      </c>
      <c r="AH9">
        <f t="shared" si="0"/>
        <v>2030</v>
      </c>
      <c r="AI9" s="2">
        <f t="shared" si="6"/>
        <v>80.477847282091588</v>
      </c>
      <c r="AJ9">
        <v>8760</v>
      </c>
      <c r="AK9" s="37">
        <f t="shared" si="7"/>
        <v>140997.18843822446</v>
      </c>
      <c r="AO9" s="20" t="s">
        <v>23</v>
      </c>
      <c r="AP9" s="34">
        <f>AP15/$AS$15</f>
        <v>0.17089656561478536</v>
      </c>
      <c r="AQ9" s="34">
        <f>AQ15/$AS$15</f>
        <v>0.82910343438521461</v>
      </c>
      <c r="AR9" s="34">
        <f>AR15/$AS$15</f>
        <v>0</v>
      </c>
      <c r="AS9" s="33">
        <f>SUM(AP9:AR9)</f>
        <v>1</v>
      </c>
    </row>
    <row r="10" spans="2:45" ht="21" x14ac:dyDescent="0.5">
      <c r="B10" s="75">
        <f>B9+1</f>
        <v>2031</v>
      </c>
      <c r="C10" s="84">
        <v>7.4048497946970331</v>
      </c>
      <c r="D10" s="84">
        <v>8.2096407269609202</v>
      </c>
      <c r="E10" s="84">
        <v>6.3744746276166477</v>
      </c>
      <c r="F10" s="84">
        <v>10.702166727743188</v>
      </c>
      <c r="G10" s="84">
        <v>1.5796924210866872</v>
      </c>
      <c r="H10" s="84">
        <v>2.4492567336194582</v>
      </c>
      <c r="I10" s="84">
        <v>1.4464786220505743</v>
      </c>
      <c r="J10" s="93">
        <f t="shared" si="2"/>
        <v>38.166559653774513</v>
      </c>
      <c r="L10" s="70">
        <f>L9+1</f>
        <v>2031</v>
      </c>
      <c r="M10" s="84">
        <v>9.7757818835296071</v>
      </c>
      <c r="N10" s="84">
        <v>16.757372024855396</v>
      </c>
      <c r="O10" s="84">
        <v>10.215446697264827</v>
      </c>
      <c r="P10" s="84">
        <v>21.670467745236</v>
      </c>
      <c r="Q10" s="84">
        <v>3.1380783971989996</v>
      </c>
      <c r="R10" s="84">
        <v>4.4502625406064871</v>
      </c>
      <c r="S10" s="84">
        <v>2.3862749343806864</v>
      </c>
      <c r="T10" s="93">
        <f t="shared" si="4"/>
        <v>68.393684223071986</v>
      </c>
      <c r="V10" s="85">
        <f t="shared" si="5"/>
        <v>106.5602438768465</v>
      </c>
      <c r="AH10">
        <f t="shared" si="0"/>
        <v>2031</v>
      </c>
      <c r="AI10" s="2">
        <f t="shared" si="6"/>
        <v>106.5602438768465</v>
      </c>
      <c r="AJ10">
        <v>8760</v>
      </c>
      <c r="AK10" s="37">
        <f t="shared" si="7"/>
        <v>186693.54727223507</v>
      </c>
      <c r="AO10" s="30" t="s">
        <v>91</v>
      </c>
      <c r="AP10" s="24"/>
      <c r="AQ10" s="14"/>
      <c r="AR10" s="14"/>
      <c r="AS10" s="1" t="s">
        <v>18</v>
      </c>
    </row>
    <row r="11" spans="2:45" x14ac:dyDescent="0.35">
      <c r="B11" s="20"/>
      <c r="D11" s="86" t="s">
        <v>154</v>
      </c>
      <c r="N11" s="86" t="s">
        <v>154</v>
      </c>
      <c r="P11" s="5"/>
      <c r="Q11" s="5"/>
      <c r="R11" s="5"/>
      <c r="S11" s="5"/>
      <c r="T11" s="36"/>
      <c r="V11" s="2"/>
      <c r="AH11" s="12" t="s">
        <v>16</v>
      </c>
      <c r="AI11" s="7"/>
      <c r="AJ11" s="7"/>
      <c r="AK11" s="37"/>
      <c r="AO11" s="20" t="s">
        <v>19</v>
      </c>
      <c r="AP11" s="23">
        <v>371441</v>
      </c>
      <c r="AQ11" s="23">
        <v>1119572</v>
      </c>
      <c r="AR11" s="23">
        <v>868541</v>
      </c>
      <c r="AS11" s="4">
        <f>SUM(AP11:AR11)</f>
        <v>2359554</v>
      </c>
    </row>
    <row r="12" spans="2:45" x14ac:dyDescent="0.35">
      <c r="D12" s="12" t="s">
        <v>104</v>
      </c>
      <c r="N12" s="12" t="s">
        <v>104</v>
      </c>
      <c r="AH12" s="12" t="s">
        <v>101</v>
      </c>
      <c r="AI12" s="7"/>
      <c r="AJ12" s="7"/>
      <c r="AO12" s="20" t="s">
        <v>20</v>
      </c>
      <c r="AP12" s="23">
        <v>732006</v>
      </c>
      <c r="AQ12" s="23">
        <v>2165833</v>
      </c>
      <c r="AR12" s="23">
        <v>1602211</v>
      </c>
      <c r="AS12" s="4">
        <f t="shared" ref="AS12:AS15" si="8">SUM(AP12:AR12)</f>
        <v>4500050</v>
      </c>
    </row>
    <row r="13" spans="2:45" x14ac:dyDescent="0.35">
      <c r="AK13" s="7"/>
      <c r="AO13" s="20" t="s">
        <v>21</v>
      </c>
      <c r="AP13" s="23">
        <v>147303</v>
      </c>
      <c r="AQ13" s="23">
        <v>375189</v>
      </c>
      <c r="AR13" s="23">
        <v>484333</v>
      </c>
      <c r="AS13" s="4">
        <f t="shared" si="8"/>
        <v>1006825</v>
      </c>
    </row>
    <row r="14" spans="2:45" x14ac:dyDescent="0.35">
      <c r="AK14" s="7"/>
      <c r="AO14" s="20" t="s">
        <v>22</v>
      </c>
      <c r="AP14" s="23">
        <v>607138</v>
      </c>
      <c r="AQ14" s="23">
        <v>1751208</v>
      </c>
      <c r="AR14" s="1"/>
      <c r="AS14" s="4">
        <f t="shared" si="8"/>
        <v>2358346</v>
      </c>
    </row>
    <row r="15" spans="2:45" x14ac:dyDescent="0.35">
      <c r="AH15" s="7"/>
      <c r="AI15" s="7"/>
      <c r="AJ15" s="7"/>
      <c r="AK15" s="7"/>
      <c r="AO15" s="20" t="s">
        <v>23</v>
      </c>
      <c r="AP15" s="23">
        <v>1013088</v>
      </c>
      <c r="AQ15" s="23">
        <v>4914989</v>
      </c>
      <c r="AR15" s="1"/>
      <c r="AS15" s="4">
        <f t="shared" si="8"/>
        <v>5928077</v>
      </c>
    </row>
    <row r="17" spans="37:37" x14ac:dyDescent="0.35">
      <c r="AK17" s="2"/>
    </row>
    <row r="18" spans="37:37" x14ac:dyDescent="0.35">
      <c r="AK18" s="2"/>
    </row>
    <row r="19" spans="37:37" x14ac:dyDescent="0.35">
      <c r="AK19" s="2"/>
    </row>
    <row r="20" spans="37:37" x14ac:dyDescent="0.35">
      <c r="AK20" s="2"/>
    </row>
    <row r="21" spans="37:37" x14ac:dyDescent="0.35">
      <c r="AK21" s="2"/>
    </row>
    <row r="22" spans="37:37" x14ac:dyDescent="0.35">
      <c r="AK22" s="2"/>
    </row>
  </sheetData>
  <mergeCells count="4">
    <mergeCell ref="C1:I1"/>
    <mergeCell ref="M1:S1"/>
    <mergeCell ref="AP3:AR3"/>
    <mergeCell ref="AH1:A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C3EF-14C7-4CBA-A2EF-99B55F9F2F63}">
  <dimension ref="C1:G10"/>
  <sheetViews>
    <sheetView workbookViewId="0">
      <selection activeCell="D11" sqref="D11"/>
    </sheetView>
  </sheetViews>
  <sheetFormatPr defaultRowHeight="14.5" x14ac:dyDescent="0.35"/>
  <cols>
    <col min="4" max="4" width="15.1796875" customWidth="1"/>
    <col min="5" max="5" width="19.26953125" customWidth="1"/>
    <col min="6" max="6" width="17.81640625" bestFit="1" customWidth="1"/>
    <col min="7" max="7" width="15.81640625" customWidth="1"/>
  </cols>
  <sheetData>
    <row r="1" spans="3:7" ht="15" thickBot="1" x14ac:dyDescent="0.4">
      <c r="C1" s="96" t="s">
        <v>106</v>
      </c>
      <c r="D1" s="96"/>
      <c r="E1" s="96"/>
      <c r="F1" s="96"/>
      <c r="G1" s="96"/>
    </row>
    <row r="2" spans="3:7" x14ac:dyDescent="0.35">
      <c r="C2" s="39" t="s">
        <v>0</v>
      </c>
      <c r="D2" s="40" t="s">
        <v>107</v>
      </c>
      <c r="E2" s="40" t="s">
        <v>108</v>
      </c>
      <c r="F2" s="40" t="s">
        <v>109</v>
      </c>
      <c r="G2" s="38" t="s">
        <v>18</v>
      </c>
    </row>
    <row r="3" spans="3:7" x14ac:dyDescent="0.35">
      <c r="C3" s="41">
        <v>2026</v>
      </c>
      <c r="D3" s="42">
        <f>'1. EV'!AU5</f>
        <v>69978.690433408425</v>
      </c>
      <c r="E3" s="42">
        <f>'2. Res_NewElectrification'!W6+'3. Res_RetroElectrification'!T6</f>
        <v>35688.400867603319</v>
      </c>
      <c r="F3" s="42">
        <f>'4 Com_Electrication'!AK5</f>
        <v>19976.008157677566</v>
      </c>
      <c r="G3" s="43">
        <f t="shared" ref="G3:G8" si="0">D3+E3+F3</f>
        <v>125643.09945868931</v>
      </c>
    </row>
    <row r="4" spans="3:7" x14ac:dyDescent="0.35">
      <c r="C4" s="41">
        <f t="shared" ref="C4:C8" si="1">C3+1</f>
        <v>2027</v>
      </c>
      <c r="D4" s="42">
        <f>'1. EV'!AU6</f>
        <v>272375.99321841908</v>
      </c>
      <c r="E4" s="42">
        <f>'2. Res_NewElectrification'!W7+'3. Res_RetroElectrification'!T7</f>
        <v>57918.182903274559</v>
      </c>
      <c r="F4" s="42">
        <f>'4 Com_Electrication'!AK6</f>
        <v>38509.993509012413</v>
      </c>
      <c r="G4" s="43">
        <f t="shared" si="0"/>
        <v>368804.16963070602</v>
      </c>
    </row>
    <row r="5" spans="3:7" x14ac:dyDescent="0.35">
      <c r="C5" s="41">
        <f t="shared" si="1"/>
        <v>2028</v>
      </c>
      <c r="D5" s="42">
        <f>'1. EV'!AU7</f>
        <v>541504.54475143249</v>
      </c>
      <c r="E5" s="42">
        <f>'2. Res_NewElectrification'!W8+'3. Res_RetroElectrification'!T8</f>
        <v>91848.940740857826</v>
      </c>
      <c r="F5" s="42">
        <f>'4 Com_Electrication'!AK7</f>
        <v>66408.556282960461</v>
      </c>
      <c r="G5" s="43">
        <f t="shared" si="0"/>
        <v>699762.04177525081</v>
      </c>
    </row>
    <row r="6" spans="3:7" x14ac:dyDescent="0.35">
      <c r="C6" s="41">
        <f t="shared" si="1"/>
        <v>2029</v>
      </c>
      <c r="D6" s="42">
        <f>'1. EV'!AU8</f>
        <v>892292.88359042525</v>
      </c>
      <c r="E6" s="42">
        <f>'2. Res_NewElectrification'!W9+'3. Res_RetroElectrification'!T9</f>
        <v>128412.73397633425</v>
      </c>
      <c r="F6" s="42">
        <f>'4 Com_Electrication'!AK8</f>
        <v>99473.668015381903</v>
      </c>
      <c r="G6" s="43">
        <f t="shared" si="0"/>
        <v>1120179.2855821415</v>
      </c>
    </row>
    <row r="7" spans="3:7" x14ac:dyDescent="0.35">
      <c r="C7" s="41">
        <f t="shared" si="1"/>
        <v>2030</v>
      </c>
      <c r="D7" s="42">
        <f>'1. EV'!AU9</f>
        <v>1325719.5534754177</v>
      </c>
      <c r="E7" s="42">
        <f>'2. Res_NewElectrification'!W10+'3. Res_RetroElectrification'!T10</f>
        <v>175805.90801645565</v>
      </c>
      <c r="F7" s="42">
        <f>'4 Com_Electrication'!AK9</f>
        <v>140997.18843822446</v>
      </c>
      <c r="G7" s="43">
        <f t="shared" si="0"/>
        <v>1642522.6499300976</v>
      </c>
    </row>
    <row r="8" spans="3:7" ht="15" thickBot="1" x14ac:dyDescent="0.4">
      <c r="C8" s="44">
        <f t="shared" si="1"/>
        <v>2031</v>
      </c>
      <c r="D8" s="45">
        <f>'1. EV'!AU10</f>
        <v>1724179.6617234249</v>
      </c>
      <c r="E8" s="45">
        <f>'2. Res_NewElectrification'!W11+'3. Res_RetroElectrification'!T11</f>
        <v>225873.08078223973</v>
      </c>
      <c r="F8" s="45">
        <f>'4 Com_Electrication'!AK10</f>
        <v>186693.54727223507</v>
      </c>
      <c r="G8" s="46">
        <f t="shared" si="0"/>
        <v>2136746.2897778996</v>
      </c>
    </row>
    <row r="10" spans="3:7" x14ac:dyDescent="0.35">
      <c r="D10" s="8"/>
    </row>
  </sheetData>
  <mergeCells count="1">
    <mergeCell ref="C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EC2E7-3B64-4580-9A87-E84240C3A6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F1C9A0E4-D050-4FEE-8D8C-A4A565CFC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B4F1B-561A-4916-A532-F262FFFF8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DataRequest</vt:lpstr>
      <vt:lpstr>1. EV</vt:lpstr>
      <vt:lpstr>2. Res_NewElectrification</vt:lpstr>
      <vt:lpstr>3. Res_RetroElectrification</vt:lpstr>
      <vt:lpstr>4 Com_Electrication</vt:lpstr>
      <vt:lpstr>5. Summary</vt:lpstr>
    </vt:vector>
  </TitlesOfParts>
  <Company>ITRON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Eric</dc:creator>
  <cp:lastModifiedBy>Susi Ahlborn</cp:lastModifiedBy>
  <dcterms:created xsi:type="dcterms:W3CDTF">2026-02-09T14:06:28Z</dcterms:created>
  <dcterms:modified xsi:type="dcterms:W3CDTF">2026-02-21T10:45:23Z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2026-02-09T15:15:07Z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36a85253-3247-42a2-907b-85bcd8eb0d75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