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ta\common\Finance\Rates\_Alectra\Rate Applications\EDR Rate Applications\CSAR\0. Application and Adjudicative Process\E. Interrogatories\_FINAL FOR FILING\Live Excel Files\Refiled OEB Staff\"/>
    </mc:Choice>
  </mc:AlternateContent>
  <xr:revisionPtr revIDLastSave="0" documentId="13_ncr:1_{9FC7DB6C-165C-48E8-8395-98CFDC1BEA96}" xr6:coauthVersionLast="47" xr6:coauthVersionMax="47" xr10:uidLastSave="{00000000-0000-0000-0000-000000000000}"/>
  <bookViews>
    <workbookView xWindow="-108" yWindow="-108" windowWidth="23256" windowHeight="14016" xr2:uid="{A760EC63-9407-45C7-A3C0-268B23321D65}"/>
  </bookViews>
  <sheets>
    <sheet name="Summary" sheetId="1" r:id="rId1"/>
    <sheet name="Revenue Requirements" sheetId="5" r:id="rId2"/>
    <sheet name="Rate Base" sheetId="7" r:id="rId3"/>
    <sheet name="PILs Impact" sheetId="3" r:id="rId4"/>
    <sheet name="Depreciation Impact" sheetId="4" r:id="rId5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>#REF!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hidden="1">{#N/A,#N/A,FALSE,"Aging Summary";#N/A,#N/A,FALSE,"Ratio Analysis";#N/A,#N/A,FALSE,"Test 120 Day Accts";#N/A,#N/A,FALSE,"Tickmarks"}</definedName>
    <definedName name="abb">#REF!</definedName>
    <definedName name="abc" hidden="1">{#N/A,#N/A,FALSE,"CLAIMS";#N/A,#N/A,FALSE,"EXPENSE";#N/A,#N/A,FALSE,"CAPITAL"}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2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"SEP 2015"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#N/A</definedName>
    <definedName name="Days">{0,1,2,3,4,5,6}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>"07"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 localSheetId="2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 hidden="1">#REF!</definedName>
    <definedName name="G1LD">#REF!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{"'2003 05 15'!$W$11:$AI$18","'2003 05 15'!$A$1:$V$30"}</definedName>
    <definedName name="GGG">#REF!</definedName>
    <definedName name="ggg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>#REF!</definedName>
    <definedName name="HISTORIC.COST">#REF!</definedName>
    <definedName name="hjgkgkh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>#REF!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>#REF!</definedName>
    <definedName name="LU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hidden="1">{#N/A,#N/A,FALSE,"New Depr Sch-150% DB";#N/A,#N/A,FALSE,"Cash Flows RLP";#N/A,#N/A,FALSE,"IRR";#N/A,#N/A,FALSE,"Proforma IS";#N/A,#N/A,FALSE,"Assumptions"}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FD_COL">#REF!</definedName>
    <definedName name="PG" localSheetId="2">(1+[0]!Real_Return)^Probable_Life-1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>#REF!</definedName>
    <definedName name="RenameRebase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2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_Year">#REF!</definedName>
    <definedName name="TEST0">#REF!</definedName>
    <definedName name="test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er">#REF!</definedName>
    <definedName name="TESTHKEY">#REF!</definedName>
    <definedName name="TESTKEYS">#REF!</definedName>
    <definedName name="TESTVKEY">#REF!</definedName>
    <definedName name="TestYear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>{"Monday","Tuesday","Wednesday","Thursday","Friday","Saturday","Sunday"}</definedName>
    <definedName name="Weekly">#REF!</definedName>
    <definedName name="WeekStartValue" localSheetId="2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37" i="7" l="1"/>
  <c r="C34" i="7"/>
  <c r="K29" i="3"/>
  <c r="C47" i="7" l="1"/>
  <c r="E11" i="1"/>
  <c r="G53" i="7"/>
  <c r="F53" i="7"/>
  <c r="E53" i="7"/>
  <c r="D53" i="7"/>
  <c r="C53" i="7"/>
  <c r="B53" i="7"/>
  <c r="B47" i="7"/>
  <c r="B48" i="7"/>
  <c r="B49" i="7"/>
  <c r="B44" i="7"/>
  <c r="B50" i="7" s="1"/>
  <c r="B45" i="7"/>
  <c r="B51" i="7" s="1"/>
  <c r="B35" i="7"/>
  <c r="B37" i="7" s="1"/>
  <c r="B39" i="7" s="1"/>
  <c r="B36" i="7"/>
  <c r="B34" i="7"/>
  <c r="B18" i="7"/>
  <c r="B15" i="7"/>
  <c r="B12" i="7"/>
  <c r="B31" i="7"/>
  <c r="D12" i="1"/>
  <c r="C31" i="5"/>
  <c r="D31" i="5"/>
  <c r="E31" i="5"/>
  <c r="F31" i="5"/>
  <c r="B31" i="5"/>
  <c r="G9" i="5"/>
  <c r="C50" i="7"/>
  <c r="C16" i="7"/>
  <c r="C44" i="7"/>
  <c r="D44" i="7"/>
  <c r="E44" i="7"/>
  <c r="F44" i="7"/>
  <c r="G44" i="7"/>
  <c r="C45" i="7"/>
  <c r="D45" i="7"/>
  <c r="E45" i="7"/>
  <c r="F45" i="7"/>
  <c r="G45" i="7"/>
  <c r="C33" i="7"/>
  <c r="D32" i="7" s="1"/>
  <c r="D47" i="7" s="1"/>
  <c r="G17" i="7"/>
  <c r="F17" i="7"/>
  <c r="G16" i="7" s="1"/>
  <c r="E17" i="7"/>
  <c r="F16" i="7" s="1"/>
  <c r="D17" i="7"/>
  <c r="E16" i="7" s="1"/>
  <c r="E18" i="7" s="1"/>
  <c r="E20" i="7" s="1"/>
  <c r="C17" i="7"/>
  <c r="D16" i="7" s="1"/>
  <c r="D18" i="7" s="1"/>
  <c r="D20" i="7" s="1"/>
  <c r="C18" i="7"/>
  <c r="C20" i="7" s="1"/>
  <c r="G15" i="7"/>
  <c r="F15" i="7"/>
  <c r="E15" i="7"/>
  <c r="D15" i="7"/>
  <c r="C15" i="7"/>
  <c r="G12" i="7"/>
  <c r="F12" i="7"/>
  <c r="E12" i="7"/>
  <c r="D12" i="7"/>
  <c r="C12" i="7"/>
  <c r="D24" i="3"/>
  <c r="E24" i="3"/>
  <c r="F24" i="3"/>
  <c r="G24" i="3"/>
  <c r="H24" i="3"/>
  <c r="C24" i="3"/>
  <c r="B52" i="7" l="1"/>
  <c r="B54" i="7" s="1"/>
  <c r="E12" i="1" s="1"/>
  <c r="B46" i="7"/>
  <c r="C35" i="7"/>
  <c r="D33" i="7"/>
  <c r="C48" i="7"/>
  <c r="G18" i="7"/>
  <c r="G20" i="7" s="1"/>
  <c r="F18" i="7"/>
  <c r="F20" i="7" s="1"/>
  <c r="E32" i="7" l="1"/>
  <c r="E47" i="7" s="1"/>
  <c r="D48" i="7"/>
  <c r="E33" i="7" l="1"/>
  <c r="F32" i="7" l="1"/>
  <c r="F47" i="7" s="1"/>
  <c r="E48" i="7"/>
  <c r="F33" i="7" l="1"/>
  <c r="G32" i="7" l="1"/>
  <c r="G47" i="7" s="1"/>
  <c r="F48" i="7"/>
  <c r="G33" i="7" l="1"/>
  <c r="G48" i="7" s="1"/>
  <c r="E13" i="1" l="1"/>
  <c r="B13" i="1"/>
  <c r="B12" i="1"/>
  <c r="B11" i="1"/>
  <c r="F19" i="5" l="1"/>
  <c r="E19" i="5"/>
  <c r="D19" i="5"/>
  <c r="C19" i="5"/>
  <c r="B19" i="5"/>
  <c r="G51" i="7" l="1"/>
  <c r="F51" i="7"/>
  <c r="G50" i="7" s="1"/>
  <c r="E51" i="7"/>
  <c r="F50" i="7" s="1"/>
  <c r="D51" i="7"/>
  <c r="E50" i="7" s="1"/>
  <c r="C51" i="7"/>
  <c r="D50" i="7" s="1"/>
  <c r="G10" i="4"/>
  <c r="G9" i="4"/>
  <c r="F10" i="4"/>
  <c r="F9" i="4"/>
  <c r="E10" i="4"/>
  <c r="E9" i="4"/>
  <c r="D10" i="4"/>
  <c r="D9" i="4"/>
  <c r="C10" i="4"/>
  <c r="C9" i="4"/>
  <c r="B10" i="4"/>
  <c r="B9" i="4"/>
  <c r="F11" i="4"/>
  <c r="E11" i="4"/>
  <c r="D11" i="4"/>
  <c r="B11" i="4"/>
  <c r="G11" i="4" l="1"/>
  <c r="C11" i="4"/>
  <c r="D36" i="7"/>
  <c r="E35" i="7" s="1"/>
  <c r="C49" i="7"/>
  <c r="C31" i="7"/>
  <c r="D34" i="7"/>
  <c r="D49" i="7" l="1"/>
  <c r="C36" i="7"/>
  <c r="D35" i="7" s="1"/>
  <c r="D37" i="7" s="1"/>
  <c r="D39" i="7" s="1"/>
  <c r="C28" i="5" s="1"/>
  <c r="D31" i="7"/>
  <c r="C46" i="7"/>
  <c r="E49" i="7"/>
  <c r="E34" i="7"/>
  <c r="D18" i="3" l="1"/>
  <c r="C29" i="5"/>
  <c r="D52" i="7"/>
  <c r="D54" i="7" s="1"/>
  <c r="C15" i="5" s="1"/>
  <c r="E31" i="7"/>
  <c r="F36" i="7"/>
  <c r="C39" i="7"/>
  <c r="E46" i="7"/>
  <c r="E36" i="7"/>
  <c r="F35" i="7" s="1"/>
  <c r="F31" i="7"/>
  <c r="C52" i="7"/>
  <c r="D46" i="7"/>
  <c r="F34" i="7"/>
  <c r="F49" i="7"/>
  <c r="C54" i="7" l="1"/>
  <c r="B15" i="5" s="1"/>
  <c r="C18" i="3"/>
  <c r="B28" i="5"/>
  <c r="F46" i="7"/>
  <c r="E37" i="7"/>
  <c r="E39" i="7" s="1"/>
  <c r="D28" i="5" s="1"/>
  <c r="E52" i="7"/>
  <c r="E54" i="7" s="1"/>
  <c r="D15" i="5" s="1"/>
  <c r="G34" i="7"/>
  <c r="G49" i="7"/>
  <c r="G36" i="7"/>
  <c r="G35" i="7"/>
  <c r="F52" i="7"/>
  <c r="F54" i="7" s="1"/>
  <c r="E15" i="5" s="1"/>
  <c r="G31" i="7"/>
  <c r="F37" i="7"/>
  <c r="F39" i="7" s="1"/>
  <c r="E28" i="5" s="1"/>
  <c r="B29" i="5" l="1"/>
  <c r="E18" i="3"/>
  <c r="D29" i="5"/>
  <c r="F18" i="3"/>
  <c r="E29" i="5"/>
  <c r="G46" i="7"/>
  <c r="G37" i="7"/>
  <c r="G39" i="7" s="1"/>
  <c r="F28" i="5" s="1"/>
  <c r="G52" i="7"/>
  <c r="G54" i="7" s="1"/>
  <c r="F15" i="5" s="1"/>
  <c r="G18" i="3" l="1"/>
  <c r="H18" i="3" s="1"/>
  <c r="F29" i="5"/>
  <c r="E17" i="5" l="1"/>
  <c r="C17" i="5"/>
  <c r="D17" i="5"/>
  <c r="F17" i="5"/>
  <c r="B17" i="5"/>
  <c r="S20" i="4"/>
  <c r="S19" i="4"/>
  <c r="S18" i="4"/>
  <c r="P20" i="4"/>
  <c r="P19" i="4"/>
  <c r="P18" i="4"/>
  <c r="M20" i="4"/>
  <c r="M19" i="4"/>
  <c r="M18" i="4"/>
  <c r="J20" i="4"/>
  <c r="J19" i="4"/>
  <c r="J18" i="4"/>
  <c r="G20" i="4"/>
  <c r="G19" i="4"/>
  <c r="G18" i="4"/>
  <c r="D19" i="4"/>
  <c r="D20" i="4"/>
  <c r="D18" i="4"/>
  <c r="C21" i="4"/>
  <c r="E21" i="4"/>
  <c r="F21" i="4"/>
  <c r="H21" i="4"/>
  <c r="I21" i="4"/>
  <c r="K21" i="4"/>
  <c r="L21" i="4"/>
  <c r="N21" i="4"/>
  <c r="O21" i="4"/>
  <c r="Q21" i="4"/>
  <c r="R21" i="4"/>
  <c r="S21" i="4"/>
  <c r="B21" i="4"/>
  <c r="G21" i="4" l="1"/>
  <c r="D21" i="4"/>
  <c r="P21" i="4"/>
  <c r="M21" i="4"/>
  <c r="J21" i="4"/>
  <c r="H11" i="3" l="1"/>
  <c r="C12" i="1" s="1"/>
  <c r="B29" i="3" l="1"/>
  <c r="C21" i="3" l="1"/>
  <c r="C23" i="3" s="1"/>
  <c r="C25" i="3" s="1"/>
  <c r="C27" i="3" s="1"/>
  <c r="C29" i="3" s="1"/>
  <c r="C31" i="3" s="1"/>
  <c r="C10" i="3" s="1"/>
  <c r="C12" i="3" l="1"/>
  <c r="D21" i="3"/>
  <c r="D23" i="3" s="1"/>
  <c r="D25" i="3" s="1"/>
  <c r="D27" i="3" s="1"/>
  <c r="D29" i="3" s="1"/>
  <c r="D31" i="3" s="1"/>
  <c r="D10" i="3" s="1"/>
  <c r="D12" i="3" s="1"/>
  <c r="E21" i="3"/>
  <c r="E23" i="3" s="1"/>
  <c r="E25" i="3" s="1"/>
  <c r="E27" i="3" s="1"/>
  <c r="E29" i="3" s="1"/>
  <c r="E31" i="3" s="1"/>
  <c r="E10" i="3" s="1"/>
  <c r="E12" i="3" s="1"/>
  <c r="C20" i="5" l="1"/>
  <c r="C21" i="5" s="1"/>
  <c r="C23" i="5" s="1"/>
  <c r="C32" i="5"/>
  <c r="D20" i="5"/>
  <c r="D21" i="5" s="1"/>
  <c r="D23" i="5" s="1"/>
  <c r="D32" i="5"/>
  <c r="B20" i="5"/>
  <c r="B21" i="5" s="1"/>
  <c r="B23" i="5" s="1"/>
  <c r="B32" i="5"/>
  <c r="B33" i="5" s="1"/>
  <c r="D33" i="5"/>
  <c r="D35" i="5" s="1"/>
  <c r="C33" i="5"/>
  <c r="C35" i="5" s="1"/>
  <c r="F21" i="3"/>
  <c r="F23" i="3" s="1"/>
  <c r="F25" i="3" s="1"/>
  <c r="F27" i="3" s="1"/>
  <c r="F29" i="3" s="1"/>
  <c r="F31" i="3" s="1"/>
  <c r="F10" i="3" s="1"/>
  <c r="F12" i="3" s="1"/>
  <c r="E20" i="5" l="1"/>
  <c r="E21" i="5" s="1"/>
  <c r="E23" i="5" s="1"/>
  <c r="E32" i="5"/>
  <c r="C10" i="5"/>
  <c r="C11" i="5" s="1"/>
  <c r="D10" i="5"/>
  <c r="D11" i="5" s="1"/>
  <c r="B10" i="5"/>
  <c r="B35" i="5"/>
  <c r="E33" i="5"/>
  <c r="E35" i="5" s="1"/>
  <c r="G21" i="3"/>
  <c r="G23" i="3" s="1"/>
  <c r="G25" i="3" s="1"/>
  <c r="G27" i="3" s="1"/>
  <c r="G29" i="3" s="1"/>
  <c r="G31" i="3" s="1"/>
  <c r="G10" i="3" s="1"/>
  <c r="G12" i="3" s="1"/>
  <c r="F20" i="5" l="1"/>
  <c r="F21" i="5" s="1"/>
  <c r="F23" i="5" s="1"/>
  <c r="F32" i="5"/>
  <c r="E10" i="5"/>
  <c r="E11" i="5" s="1"/>
  <c r="B11" i="5"/>
  <c r="H21" i="3"/>
  <c r="H23" i="3" s="1"/>
  <c r="H25" i="3" s="1"/>
  <c r="H27" i="3" s="1"/>
  <c r="H29" i="3" s="1"/>
  <c r="H31" i="3" s="1"/>
  <c r="H10" i="3" s="1"/>
  <c r="F10" i="5" l="1"/>
  <c r="F11" i="5" s="1"/>
  <c r="G10" i="5"/>
  <c r="F33" i="5"/>
  <c r="F35" i="5" s="1"/>
  <c r="C11" i="1"/>
  <c r="C13" i="1" s="1"/>
  <c r="H12" i="3"/>
  <c r="G11" i="5" l="1"/>
  <c r="D11" i="1"/>
</calcChain>
</file>

<file path=xl/sharedStrings.xml><?xml version="1.0" encoding="utf-8"?>
<sst xmlns="http://schemas.openxmlformats.org/spreadsheetml/2006/main" count="250" uniqueCount="79">
  <si>
    <t>($M)</t>
  </si>
  <si>
    <t>PILs Impact</t>
  </si>
  <si>
    <t>Revenue Requirement from 2027-2031</t>
  </si>
  <si>
    <t>Standard depreciation – (a)</t>
  </si>
  <si>
    <t>Variance (a-b)</t>
  </si>
  <si>
    <t>AMI 1.0 Metering Accelerated Depreciation ($MM)</t>
  </si>
  <si>
    <t>Total</t>
  </si>
  <si>
    <t>EB-2025-0252</t>
  </si>
  <si>
    <t>Rate Base as Filed</t>
  </si>
  <si>
    <t>Test Years</t>
  </si>
  <si>
    <t>Opening Gross Assets</t>
  </si>
  <si>
    <t>Closing Gross Assets</t>
  </si>
  <si>
    <t>Average Gross Assets</t>
  </si>
  <si>
    <t>Opening Accumulated Depreciation</t>
  </si>
  <si>
    <t>Closing Accumulated Depreciation</t>
  </si>
  <si>
    <t>Average Accumulated Depreciation</t>
  </si>
  <si>
    <t>Opening Net Book Value</t>
  </si>
  <si>
    <t>Closing Net Book Value</t>
  </si>
  <si>
    <t>Average Net Book Value</t>
  </si>
  <si>
    <t>Working Capital Allowance</t>
  </si>
  <si>
    <t>RATE BASE</t>
  </si>
  <si>
    <t>Alectra Utilities Corporation</t>
  </si>
  <si>
    <t>Interrogatory Responses</t>
  </si>
  <si>
    <t>2-Staff-146</t>
  </si>
  <si>
    <t>Reduction in depreciation expense based on standard AMI depreciation</t>
  </si>
  <si>
    <t>Deemed Equity %</t>
  </si>
  <si>
    <t>Return on Equity %</t>
  </si>
  <si>
    <t>Change in Rate Base for AMI standard depreciation</t>
  </si>
  <si>
    <t>Change of Return on Equity</t>
  </si>
  <si>
    <t>Change in net income before taxes</t>
  </si>
  <si>
    <t>Change in taxable income</t>
  </si>
  <si>
    <t>Tax Rate</t>
  </si>
  <si>
    <t>Total income taxes</t>
  </si>
  <si>
    <t xml:space="preserve">Gross-up </t>
  </si>
  <si>
    <t>Change in Income tax (grossed up)</t>
  </si>
  <si>
    <t>Grossed-up PILs for AMI standard depreciation</t>
  </si>
  <si>
    <t>Grossed-up PILs for AMI accelerated depreciation - as filed</t>
  </si>
  <si>
    <t>Change</t>
  </si>
  <si>
    <t>Changes:</t>
  </si>
  <si>
    <t>Summary:</t>
  </si>
  <si>
    <t>Rate Base Adjusted to Remove Accelerated Depreciation</t>
  </si>
  <si>
    <t>2027-2031</t>
  </si>
  <si>
    <t>Regular</t>
  </si>
  <si>
    <t>Accelerated</t>
  </si>
  <si>
    <t>Difference</t>
  </si>
  <si>
    <t>AMI 1.0 Polyphase</t>
  </si>
  <si>
    <t>AMI 1.0 Meters Single Phase-Commercial</t>
  </si>
  <si>
    <t>AMI 1.0 Meters Single Phase-Residential</t>
  </si>
  <si>
    <t>Meter Components</t>
  </si>
  <si>
    <t>2027</t>
  </si>
  <si>
    <t>2028</t>
  </si>
  <si>
    <t>2029</t>
  </si>
  <si>
    <t>2030</t>
  </si>
  <si>
    <t>2031</t>
  </si>
  <si>
    <t>2017-2031</t>
  </si>
  <si>
    <t>Rate Base</t>
  </si>
  <si>
    <t>Return on Rate Base</t>
  </si>
  <si>
    <t>Distribution Expenses (not including Depreciation)</t>
  </si>
  <si>
    <t>Depreciation</t>
  </si>
  <si>
    <t>Payment in Lieu of Taxes</t>
  </si>
  <si>
    <t>Service Revenue Requirement</t>
  </si>
  <si>
    <t>LESS: Revenue Offsets</t>
  </si>
  <si>
    <t>Base Revenue Requirement</t>
  </si>
  <si>
    <t>Revenue Requirements</t>
  </si>
  <si>
    <t xml:space="preserve"> x  Cost of Capital </t>
  </si>
  <si>
    <t>Rate Base Impact</t>
  </si>
  <si>
    <t>Changes</t>
  </si>
  <si>
    <t>AMI 1.0 Meters accelerated depreciation</t>
  </si>
  <si>
    <t>Part c) Table</t>
  </si>
  <si>
    <t>Depreciation Expenses( 2027-2031)</t>
  </si>
  <si>
    <t>Accelerated depreciation – (b)</t>
  </si>
  <si>
    <t>Base Revenue Requirement (as filed)</t>
  </si>
  <si>
    <t>Base Revenue Requirement (adjusted to remove accelerated depreciation)</t>
  </si>
  <si>
    <t>2027 - 2031</t>
  </si>
  <si>
    <t>Less: Revenue Offsets</t>
  </si>
  <si>
    <t>Bridge Year</t>
  </si>
  <si>
    <t>Updated</t>
  </si>
  <si>
    <t>Prior Version</t>
  </si>
  <si>
    <t>Opening 2027 Rate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</si>
</sst>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-&quot;$&quot;* #,##0.00_-;\-&quot;$&quot;* #,##0.00_-;_-&quot;$&quot;* &quot;-&quot;??_-;_-@_-"/>
    <numFmt numFmtId="167" formatCode="_(* #,##0.0_);_(* \(#,##0.0\);_(* &quot;-&quot;??_);_(@_)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rial"/>
      <family val="2"/>
    </font>
    <font>
      <b/>
      <sz val="11"/>
      <color rgb="FFFF0000"/>
      <name val="Aptos Narrow"/>
      <family val="2"/>
      <scheme val="minor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</cellStyleXfs>
  <cellXfs count="82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7" fillId="3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5" fontId="0" fillId="0" borderId="3" xfId="1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5" fontId="1" fillId="0" borderId="3" xfId="1" applyNumberFormat="1" applyFont="1" applyBorder="1" applyAlignment="1">
      <alignment vertical="center" wrapText="1"/>
    </xf>
    <xf numFmtId="165" fontId="1" fillId="2" borderId="3" xfId="1" applyNumberFormat="1" applyFont="1" applyFill="1" applyBorder="1" applyAlignment="1">
      <alignment vertical="center" wrapText="1"/>
    </xf>
    <xf numFmtId="165" fontId="0" fillId="0" borderId="0" xfId="0" applyNumberFormat="1"/>
    <xf numFmtId="0" fontId="8" fillId="0" borderId="0" xfId="0" applyFont="1"/>
    <xf numFmtId="0" fontId="9" fillId="0" borderId="0" xfId="0" applyFont="1"/>
    <xf numFmtId="0" fontId="8" fillId="0" borderId="7" xfId="0" applyFont="1" applyBorder="1" applyAlignment="1">
      <alignment horizontal="center"/>
    </xf>
    <xf numFmtId="37" fontId="9" fillId="0" borderId="0" xfId="0" applyNumberFormat="1" applyFont="1"/>
    <xf numFmtId="10" fontId="9" fillId="0" borderId="0" xfId="6" applyNumberFormat="1" applyFont="1"/>
    <xf numFmtId="37" fontId="9" fillId="0" borderId="5" xfId="0" applyNumberFormat="1" applyFont="1" applyBorder="1"/>
    <xf numFmtId="37" fontId="9" fillId="0" borderId="8" xfId="0" applyNumberFormat="1" applyFont="1" applyBorder="1"/>
    <xf numFmtId="37" fontId="9" fillId="0" borderId="7" xfId="0" applyNumberFormat="1" applyFont="1" applyBorder="1"/>
    <xf numFmtId="10" fontId="9" fillId="0" borderId="7" xfId="6" applyNumberFormat="1" applyFont="1" applyBorder="1"/>
    <xf numFmtId="10" fontId="9" fillId="0" borderId="0" xfId="0" applyNumberFormat="1" applyFont="1"/>
    <xf numFmtId="43" fontId="9" fillId="0" borderId="0" xfId="1" applyFont="1"/>
    <xf numFmtId="0" fontId="11" fillId="0" borderId="3" xfId="0" applyFont="1" applyBorder="1"/>
    <xf numFmtId="165" fontId="11" fillId="0" borderId="3" xfId="1" applyNumberFormat="1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165" fontId="12" fillId="0" borderId="3" xfId="1" applyNumberFormat="1" applyFont="1" applyBorder="1" applyAlignment="1">
      <alignment horizontal="right"/>
    </xf>
    <xf numFmtId="0" fontId="12" fillId="0" borderId="3" xfId="0" applyFont="1" applyBorder="1" applyAlignment="1">
      <alignment horizontal="left" wrapText="1"/>
    </xf>
    <xf numFmtId="165" fontId="12" fillId="0" borderId="3" xfId="1" applyNumberFormat="1" applyFont="1" applyFill="1" applyBorder="1" applyAlignment="1">
      <alignment horizontal="right"/>
    </xf>
    <xf numFmtId="165" fontId="11" fillId="0" borderId="3" xfId="0" applyNumberFormat="1" applyFont="1" applyBorder="1" applyAlignment="1">
      <alignment horizontal="left" wrapText="1"/>
    </xf>
    <xf numFmtId="165" fontId="11" fillId="0" borderId="3" xfId="1" applyNumberFormat="1" applyFont="1" applyFill="1" applyBorder="1" applyAlignment="1">
      <alignment horizontal="right"/>
    </xf>
    <xf numFmtId="0" fontId="1" fillId="0" borderId="0" xfId="0" applyFont="1"/>
    <xf numFmtId="0" fontId="13" fillId="3" borderId="0" xfId="0" applyFont="1" applyFill="1" applyAlignment="1">
      <alignment horizontal="center"/>
    </xf>
    <xf numFmtId="5" fontId="9" fillId="0" borderId="0" xfId="0" applyNumberFormat="1" applyFont="1"/>
    <xf numFmtId="5" fontId="8" fillId="0" borderId="0" xfId="0" applyNumberFormat="1" applyFont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37" fontId="9" fillId="0" borderId="9" xfId="0" applyNumberFormat="1" applyFont="1" applyBorder="1"/>
    <xf numFmtId="37" fontId="9" fillId="0" borderId="1" xfId="0" applyNumberFormat="1" applyFont="1" applyBorder="1"/>
    <xf numFmtId="37" fontId="9" fillId="0" borderId="14" xfId="0" applyNumberFormat="1" applyFont="1" applyBorder="1"/>
    <xf numFmtId="37" fontId="9" fillId="0" borderId="15" xfId="0" applyNumberFormat="1" applyFont="1" applyBorder="1"/>
    <xf numFmtId="37" fontId="9" fillId="0" borderId="16" xfId="0" applyNumberFormat="1" applyFont="1" applyBorder="1"/>
    <xf numFmtId="165" fontId="0" fillId="0" borderId="3" xfId="1" applyNumberFormat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5" fontId="9" fillId="0" borderId="7" xfId="0" applyNumberFormat="1" applyFont="1" applyBorder="1"/>
    <xf numFmtId="5" fontId="9" fillId="0" borderId="8" xfId="0" applyNumberFormat="1" applyFont="1" applyBorder="1"/>
    <xf numFmtId="0" fontId="8" fillId="0" borderId="0" xfId="0" applyFont="1" applyAlignment="1">
      <alignment wrapText="1"/>
    </xf>
    <xf numFmtId="5" fontId="8" fillId="0" borderId="10" xfId="0" applyNumberFormat="1" applyFont="1" applyBorder="1"/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5" fontId="3" fillId="0" borderId="3" xfId="1" applyNumberFormat="1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5" fontId="3" fillId="0" borderId="21" xfId="1" applyNumberFormat="1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167" fontId="0" fillId="0" borderId="23" xfId="1" applyNumberFormat="1" applyFont="1" applyBorder="1"/>
    <xf numFmtId="167" fontId="0" fillId="0" borderId="24" xfId="1" applyNumberFormat="1" applyFont="1" applyBorder="1"/>
    <xf numFmtId="0" fontId="15" fillId="0" borderId="0" xfId="0" applyFont="1"/>
    <xf numFmtId="0" fontId="16" fillId="0" borderId="0" xfId="0" applyFont="1"/>
    <xf numFmtId="5" fontId="17" fillId="0" borderId="7" xfId="0" applyNumberFormat="1" applyFont="1" applyBorder="1"/>
    <xf numFmtId="5" fontId="17" fillId="0" borderId="8" xfId="0" applyNumberFormat="1" applyFont="1" applyBorder="1"/>
    <xf numFmtId="5" fontId="17" fillId="0" borderId="0" xfId="0" applyNumberFormat="1" applyFont="1"/>
    <xf numFmtId="5" fontId="15" fillId="0" borderId="0" xfId="0" applyNumberFormat="1" applyFont="1"/>
    <xf numFmtId="5" fontId="15" fillId="0" borderId="10" xfId="0" applyNumberFormat="1" applyFont="1" applyBorder="1"/>
    <xf numFmtId="37" fontId="17" fillId="0" borderId="0" xfId="0" applyNumberFormat="1" applyFont="1"/>
    <xf numFmtId="37" fontId="17" fillId="0" borderId="5" xfId="0" applyNumberFormat="1" applyFont="1" applyBorder="1"/>
    <xf numFmtId="37" fontId="17" fillId="0" borderId="8" xfId="0" applyNumberFormat="1" applyFont="1" applyBorder="1"/>
    <xf numFmtId="165" fontId="14" fillId="0" borderId="3" xfId="1" applyNumberFormat="1" applyFont="1" applyBorder="1" applyAlignment="1">
      <alignment vertical="center" wrapText="1"/>
    </xf>
    <xf numFmtId="165" fontId="16" fillId="0" borderId="3" xfId="1" applyNumberFormat="1" applyFont="1" applyBorder="1" applyAlignment="1">
      <alignment vertical="center" wrapText="1"/>
    </xf>
    <xf numFmtId="165" fontId="16" fillId="2" borderId="3" xfId="1" applyNumberFormat="1" applyFont="1" applyFill="1" applyBorder="1" applyAlignment="1">
      <alignment vertical="center" wrapText="1"/>
    </xf>
    <xf numFmtId="167" fontId="14" fillId="0" borderId="23" xfId="1" applyNumberFormat="1" applyFont="1" applyBorder="1"/>
    <xf numFmtId="0" fontId="1" fillId="0" borderId="3" xfId="0" applyFont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right" vertical="center" wrapText="1"/>
    </xf>
    <xf numFmtId="165" fontId="11" fillId="0" borderId="4" xfId="1" quotePrefix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7">
    <cellStyle name="Comma" xfId="1" builtinId="3"/>
    <cellStyle name="Currency 2" xfId="4" xr:uid="{B8609DDB-F779-4CB6-9EE8-539A6E35680E}"/>
    <cellStyle name="Normal" xfId="0" builtinId="0"/>
    <cellStyle name="Normal 2 15" xfId="2" xr:uid="{13DEC5DD-2DDB-46B8-A012-F37A6601F831}"/>
    <cellStyle name="Normal 2 2 2 2" xfId="5" xr:uid="{017E02EC-FCEC-4CDE-AC58-91EA03768BDA}"/>
    <cellStyle name="Normal 32" xfId="3" xr:uid="{96318423-23FA-413D-A413-B2864E097E03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8A3C-6E7C-4D58-BE7C-0A5D1DB5B129}">
  <dimension ref="A1:K16"/>
  <sheetViews>
    <sheetView tabSelected="1" workbookViewId="0">
      <selection activeCell="B20" sqref="B20"/>
    </sheetView>
  </sheetViews>
  <sheetFormatPr defaultRowHeight="14.4" x14ac:dyDescent="0.3"/>
  <cols>
    <col min="1" max="1" width="34.44140625" customWidth="1"/>
    <col min="2" max="2" width="24.21875" customWidth="1"/>
    <col min="3" max="3" width="14.77734375" bestFit="1" customWidth="1"/>
    <col min="4" max="4" width="19.6640625" customWidth="1"/>
    <col min="5" max="5" width="15.44140625" bestFit="1" customWidth="1"/>
    <col min="6" max="6" width="14.77734375" bestFit="1" customWidth="1"/>
    <col min="7" max="7" width="36.6640625" customWidth="1"/>
    <col min="8" max="11" width="16.21875" customWidth="1"/>
  </cols>
  <sheetData>
    <row r="1" spans="1:11" x14ac:dyDescent="0.3">
      <c r="A1" s="10" t="s">
        <v>21</v>
      </c>
    </row>
    <row r="2" spans="1:11" x14ac:dyDescent="0.3">
      <c r="A2" s="10" t="s">
        <v>7</v>
      </c>
    </row>
    <row r="3" spans="1:11" x14ac:dyDescent="0.3">
      <c r="A3" s="10" t="s">
        <v>22</v>
      </c>
    </row>
    <row r="4" spans="1:11" x14ac:dyDescent="0.3">
      <c r="A4" s="10" t="s">
        <v>23</v>
      </c>
    </row>
    <row r="5" spans="1:11" x14ac:dyDescent="0.3">
      <c r="A5" s="10" t="s">
        <v>68</v>
      </c>
    </row>
    <row r="9" spans="1:11" ht="15" thickBot="1" x14ac:dyDescent="0.35">
      <c r="A9" s="61" t="s">
        <v>76</v>
      </c>
      <c r="B9" s="11"/>
      <c r="C9" s="11"/>
      <c r="D9" s="11"/>
      <c r="E9" s="11"/>
      <c r="F9" s="11"/>
      <c r="G9" s="62" t="s">
        <v>77</v>
      </c>
    </row>
    <row r="10" spans="1:11" s="2" customFormat="1" ht="45" customHeight="1" x14ac:dyDescent="0.3">
      <c r="A10" s="53" t="s">
        <v>0</v>
      </c>
      <c r="B10" s="54" t="s">
        <v>69</v>
      </c>
      <c r="C10" s="54" t="s">
        <v>1</v>
      </c>
      <c r="D10" s="54" t="s">
        <v>2</v>
      </c>
      <c r="E10" s="55" t="s">
        <v>78</v>
      </c>
      <c r="G10" s="53" t="s">
        <v>0</v>
      </c>
      <c r="H10" s="54" t="s">
        <v>69</v>
      </c>
      <c r="I10" s="54" t="s">
        <v>1</v>
      </c>
      <c r="J10" s="54" t="s">
        <v>2</v>
      </c>
      <c r="K10" s="55" t="s">
        <v>78</v>
      </c>
    </row>
    <row r="11" spans="1:11" ht="20.55" customHeight="1" x14ac:dyDescent="0.3">
      <c r="A11" s="56" t="s">
        <v>3</v>
      </c>
      <c r="B11" s="51">
        <f>'Depreciation Impact'!G9/1000000</f>
        <v>30.23899962005364</v>
      </c>
      <c r="C11" s="51">
        <f>'PILs Impact'!H10/1000000</f>
        <v>149.69521887686605</v>
      </c>
      <c r="D11" s="52">
        <f>'Revenue Requirements'!G10/1000000</f>
        <v>4561.0804952423396</v>
      </c>
      <c r="E11" s="57">
        <f>'Rate Base'!B20/1000000</f>
        <v>4312.5397347129092</v>
      </c>
      <c r="G11" s="56" t="s">
        <v>3</v>
      </c>
      <c r="H11" s="51">
        <v>30.23899962005364</v>
      </c>
      <c r="I11" s="51">
        <v>149.59589107906785</v>
      </c>
      <c r="J11" s="52">
        <v>4560.5141391332627</v>
      </c>
      <c r="K11" s="57">
        <v>4312.5397347129092</v>
      </c>
    </row>
    <row r="12" spans="1:11" ht="16.5" customHeight="1" x14ac:dyDescent="0.3">
      <c r="A12" s="56" t="s">
        <v>70</v>
      </c>
      <c r="B12" s="51">
        <f>'Depreciation Impact'!G10/1000000</f>
        <v>55.444240244027242</v>
      </c>
      <c r="C12" s="51">
        <f>'PILs Impact'!H11/1000000</f>
        <v>157.72662280479932</v>
      </c>
      <c r="D12" s="52">
        <f>'Revenue Requirements'!G9/1000000</f>
        <v>4589.2557852214568</v>
      </c>
      <c r="E12" s="57">
        <f>'Rate Base'!B54/1000000</f>
        <v>4312.5397347129092</v>
      </c>
      <c r="G12" s="56" t="s">
        <v>70</v>
      </c>
      <c r="H12" s="51">
        <v>55.444240244027242</v>
      </c>
      <c r="I12" s="51">
        <v>157.72662280479932</v>
      </c>
      <c r="J12" s="52">
        <v>4589.2557852214568</v>
      </c>
      <c r="K12" s="57">
        <v>4312.5397347129092</v>
      </c>
    </row>
    <row r="13" spans="1:11" ht="16.5" customHeight="1" thickBot="1" x14ac:dyDescent="0.35">
      <c r="A13" s="58" t="s">
        <v>4</v>
      </c>
      <c r="B13" s="59">
        <f>B11-B12</f>
        <v>-25.205240623973602</v>
      </c>
      <c r="C13" s="59">
        <f t="shared" ref="C13:E13" si="0">C11-C12</f>
        <v>-8.031403927933269</v>
      </c>
      <c r="D13" s="74">
        <f>D11-D12</f>
        <v>-28.175289979117224</v>
      </c>
      <c r="E13" s="60">
        <f t="shared" si="0"/>
        <v>0</v>
      </c>
      <c r="G13" s="58" t="s">
        <v>4</v>
      </c>
      <c r="H13" s="59">
        <v>-25.205240623973602</v>
      </c>
      <c r="I13" s="59">
        <v>-8.1307317257314651</v>
      </c>
      <c r="J13" s="59">
        <v>-28.741646088194102</v>
      </c>
      <c r="K13" s="60">
        <v>0</v>
      </c>
    </row>
    <row r="14" spans="1:11" x14ac:dyDescent="0.3">
      <c r="C14" s="1"/>
    </row>
    <row r="15" spans="1:11" x14ac:dyDescent="0.3">
      <c r="B15" s="1"/>
      <c r="C15" s="1"/>
      <c r="D15" s="1"/>
      <c r="E15" s="1"/>
      <c r="F15" s="1"/>
    </row>
    <row r="16" spans="1:11" x14ac:dyDescent="0.3">
      <c r="B16" s="1"/>
      <c r="C16" s="1"/>
      <c r="D16" s="1"/>
      <c r="E16" s="1"/>
      <c r="F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4761-4AC4-4453-851F-E98BDC4EE6D4}">
  <dimension ref="A1:O38"/>
  <sheetViews>
    <sheetView topLeftCell="A12" workbookViewId="0">
      <selection activeCell="B42" sqref="B42"/>
    </sheetView>
  </sheetViews>
  <sheetFormatPr defaultRowHeight="14.4" x14ac:dyDescent="0.3"/>
  <cols>
    <col min="1" max="1" width="47" style="11" customWidth="1"/>
    <col min="2" max="6" width="18.21875" style="11" customWidth="1"/>
    <col min="7" max="7" width="18.44140625" customWidth="1"/>
    <col min="9" max="9" width="43.21875" customWidth="1"/>
    <col min="10" max="15" width="17.44140625" customWidth="1"/>
  </cols>
  <sheetData>
    <row r="1" spans="1:15" x14ac:dyDescent="0.3">
      <c r="A1" s="10" t="s">
        <v>21</v>
      </c>
    </row>
    <row r="2" spans="1:15" x14ac:dyDescent="0.3">
      <c r="A2" s="10" t="s">
        <v>7</v>
      </c>
    </row>
    <row r="3" spans="1:15" x14ac:dyDescent="0.3">
      <c r="A3" s="10" t="s">
        <v>22</v>
      </c>
    </row>
    <row r="4" spans="1:15" x14ac:dyDescent="0.3">
      <c r="A4" s="10" t="s">
        <v>23</v>
      </c>
    </row>
    <row r="5" spans="1:15" x14ac:dyDescent="0.3">
      <c r="A5" s="10" t="s">
        <v>63</v>
      </c>
    </row>
    <row r="7" spans="1:15" x14ac:dyDescent="0.3">
      <c r="A7" s="61" t="s">
        <v>76</v>
      </c>
      <c r="I7" s="62" t="s">
        <v>77</v>
      </c>
      <c r="J7" s="11"/>
      <c r="K7" s="11"/>
      <c r="L7" s="11"/>
      <c r="M7" s="11"/>
      <c r="N7" s="11"/>
    </row>
    <row r="8" spans="1:15" x14ac:dyDescent="0.3">
      <c r="B8" s="30">
        <v>2027</v>
      </c>
      <c r="C8" s="30">
        <v>2028</v>
      </c>
      <c r="D8" s="30">
        <v>2029</v>
      </c>
      <c r="E8" s="30">
        <v>2030</v>
      </c>
      <c r="F8" s="30">
        <v>2031</v>
      </c>
      <c r="G8" s="30" t="s">
        <v>73</v>
      </c>
      <c r="I8" s="11"/>
      <c r="J8" s="30">
        <v>2027</v>
      </c>
      <c r="K8" s="30">
        <v>2028</v>
      </c>
      <c r="L8" s="30">
        <v>2029</v>
      </c>
      <c r="M8" s="30">
        <v>2030</v>
      </c>
      <c r="N8" s="30">
        <v>2031</v>
      </c>
      <c r="O8" s="30" t="s">
        <v>73</v>
      </c>
    </row>
    <row r="9" spans="1:15" x14ac:dyDescent="0.3">
      <c r="A9" s="11" t="s">
        <v>71</v>
      </c>
      <c r="B9" s="31">
        <v>810305325.82192922</v>
      </c>
      <c r="C9" s="31">
        <v>866808780.65879047</v>
      </c>
      <c r="D9" s="31">
        <v>913592489.07261264</v>
      </c>
      <c r="E9" s="31">
        <v>971166096.31872368</v>
      </c>
      <c r="F9" s="31">
        <v>1027383093.3494003</v>
      </c>
      <c r="G9" s="31">
        <f>SUM(B9:F9)</f>
        <v>4589255785.2214565</v>
      </c>
      <c r="I9" s="11" t="s">
        <v>71</v>
      </c>
      <c r="J9" s="31">
        <v>810305325.82192922</v>
      </c>
      <c r="K9" s="31">
        <v>866808780.65879047</v>
      </c>
      <c r="L9" s="31">
        <v>913592489.07261264</v>
      </c>
      <c r="M9" s="31">
        <v>971166096.31872368</v>
      </c>
      <c r="N9" s="31">
        <v>1027383093.3494003</v>
      </c>
      <c r="O9" s="31">
        <v>4589255785.2214565</v>
      </c>
    </row>
    <row r="10" spans="1:15" ht="28.2" x14ac:dyDescent="0.3">
      <c r="A10" s="42" t="s">
        <v>72</v>
      </c>
      <c r="B10" s="63">
        <f>B23</f>
        <v>798911205.43250644</v>
      </c>
      <c r="C10" s="43">
        <f>C23</f>
        <v>857407157.5129658</v>
      </c>
      <c r="D10" s="43">
        <f>D23</f>
        <v>908972781.95896327</v>
      </c>
      <c r="E10" s="43">
        <f>E23</f>
        <v>969090604.99429059</v>
      </c>
      <c r="F10" s="43">
        <f>F23</f>
        <v>1026698745.3436127</v>
      </c>
      <c r="G10" s="31">
        <f>SUM(B10:F10)</f>
        <v>4561080495.2423391</v>
      </c>
      <c r="I10" s="42" t="s">
        <v>72</v>
      </c>
      <c r="J10" s="43">
        <v>798344849.32342994</v>
      </c>
      <c r="K10" s="43">
        <v>857407157.5129658</v>
      </c>
      <c r="L10" s="43">
        <v>908972781.95896327</v>
      </c>
      <c r="M10" s="43">
        <v>969090604.99429059</v>
      </c>
      <c r="N10" s="43">
        <v>1026698745.3436127</v>
      </c>
      <c r="O10" s="31">
        <v>4560514139.1332626</v>
      </c>
    </row>
    <row r="11" spans="1:15" ht="15" thickBot="1" x14ac:dyDescent="0.35">
      <c r="A11" s="11" t="s">
        <v>37</v>
      </c>
      <c r="B11" s="64">
        <f>B9-B10</f>
        <v>11394120.389422774</v>
      </c>
      <c r="C11" s="44">
        <f t="shared" ref="C11:G11" si="0">C9-C10</f>
        <v>9401623.1458246708</v>
      </c>
      <c r="D11" s="44">
        <f t="shared" si="0"/>
        <v>4619707.1136493683</v>
      </c>
      <c r="E11" s="44">
        <f t="shared" si="0"/>
        <v>2075491.3244330883</v>
      </c>
      <c r="F11" s="44">
        <f t="shared" si="0"/>
        <v>684348.00578761101</v>
      </c>
      <c r="G11" s="44">
        <f t="shared" si="0"/>
        <v>28175289.979117393</v>
      </c>
      <c r="I11" s="11" t="s">
        <v>37</v>
      </c>
      <c r="J11" s="44">
        <v>11960476.498499274</v>
      </c>
      <c r="K11" s="44">
        <v>9401623.1458246708</v>
      </c>
      <c r="L11" s="44">
        <v>4619707.1136493683</v>
      </c>
      <c r="M11" s="44">
        <v>2075491.3244330883</v>
      </c>
      <c r="N11" s="44">
        <v>684348.00578761101</v>
      </c>
      <c r="O11" s="44">
        <v>28741646.088193893</v>
      </c>
    </row>
    <row r="12" spans="1:15" ht="15" thickTop="1" x14ac:dyDescent="0.3">
      <c r="I12" s="11"/>
      <c r="J12" s="11"/>
      <c r="K12" s="11"/>
      <c r="L12" s="11"/>
      <c r="M12" s="11"/>
      <c r="N12" s="11"/>
    </row>
    <row r="13" spans="1:15" x14ac:dyDescent="0.3">
      <c r="I13" s="11"/>
      <c r="J13" s="11"/>
      <c r="K13" s="11"/>
      <c r="L13" s="11"/>
      <c r="M13" s="11"/>
      <c r="N13" s="11"/>
    </row>
    <row r="14" spans="1:15" s="29" customFormat="1" ht="28.2" x14ac:dyDescent="0.3">
      <c r="A14" s="45" t="s">
        <v>72</v>
      </c>
      <c r="B14" s="30">
        <v>2027</v>
      </c>
      <c r="C14" s="30">
        <v>2028</v>
      </c>
      <c r="D14" s="30">
        <v>2029</v>
      </c>
      <c r="E14" s="30">
        <v>2030</v>
      </c>
      <c r="F14" s="30">
        <v>2031</v>
      </c>
      <c r="G14"/>
      <c r="I14" s="45" t="s">
        <v>72</v>
      </c>
      <c r="J14" s="30">
        <v>2027</v>
      </c>
      <c r="K14" s="30">
        <v>2028</v>
      </c>
      <c r="L14" s="30">
        <v>2029</v>
      </c>
      <c r="M14" s="30">
        <v>2030</v>
      </c>
      <c r="N14" s="30">
        <v>2031</v>
      </c>
      <c r="O14"/>
    </row>
    <row r="15" spans="1:15" x14ac:dyDescent="0.3">
      <c r="A15" s="11" t="s">
        <v>55</v>
      </c>
      <c r="B15" s="65">
        <f>'Rate Base'!C54</f>
        <v>4439636773.4563951</v>
      </c>
      <c r="C15" s="31">
        <f>'Rate Base'!D54</f>
        <v>4721583580.8707066</v>
      </c>
      <c r="D15" s="31">
        <f>'Rate Base'!E54</f>
        <v>5051328902.1421232</v>
      </c>
      <c r="E15" s="31">
        <f>'Rate Base'!F54</f>
        <v>5443973253.7833195</v>
      </c>
      <c r="F15" s="31">
        <f>'Rate Base'!G54</f>
        <v>5846071695.7366009</v>
      </c>
      <c r="I15" s="11" t="s">
        <v>55</v>
      </c>
      <c r="J15" s="31">
        <v>4431984160.1040182</v>
      </c>
      <c r="K15" s="31">
        <v>4721583580.8707066</v>
      </c>
      <c r="L15" s="31">
        <v>5051328902.1421232</v>
      </c>
      <c r="M15" s="31">
        <v>5443973253.7833195</v>
      </c>
      <c r="N15" s="31">
        <v>5846071695.7366009</v>
      </c>
    </row>
    <row r="16" spans="1:15" x14ac:dyDescent="0.3">
      <c r="A16" s="11" t="s">
        <v>64</v>
      </c>
      <c r="B16" s="14">
        <v>6.1028604187000658E-2</v>
      </c>
      <c r="C16" s="14">
        <v>6.1896436726146364E-2</v>
      </c>
      <c r="D16" s="14">
        <v>6.19933994581056E-2</v>
      </c>
      <c r="E16" s="14">
        <v>6.2054411756909011E-2</v>
      </c>
      <c r="F16" s="14">
        <v>6.2847092783868741E-2</v>
      </c>
      <c r="I16" s="11" t="s">
        <v>64</v>
      </c>
      <c r="J16" s="14">
        <v>6.1028604187000658E-2</v>
      </c>
      <c r="K16" s="14">
        <v>6.1896436726146364E-2</v>
      </c>
      <c r="L16" s="14">
        <v>6.19933994581056E-2</v>
      </c>
      <c r="M16" s="14">
        <v>6.2054411756909011E-2</v>
      </c>
      <c r="N16" s="14">
        <v>6.2847092783868741E-2</v>
      </c>
    </row>
    <row r="17" spans="1:15" x14ac:dyDescent="0.3">
      <c r="A17" s="11" t="s">
        <v>56</v>
      </c>
      <c r="B17" s="65">
        <f t="shared" ref="B17:F17" si="1">B15*B16</f>
        <v>270944835.38132304</v>
      </c>
      <c r="C17" s="31">
        <f t="shared" si="1"/>
        <v>292249199.36057526</v>
      </c>
      <c r="D17" s="31">
        <f t="shared" si="1"/>
        <v>313149050.42477065</v>
      </c>
      <c r="E17" s="31">
        <f t="shared" si="1"/>
        <v>337822557.88386983</v>
      </c>
      <c r="F17" s="31">
        <f t="shared" si="1"/>
        <v>367408610.28310704</v>
      </c>
      <c r="I17" s="11" t="s">
        <v>56</v>
      </c>
      <c r="J17" s="31">
        <v>270477807.0700447</v>
      </c>
      <c r="K17" s="31">
        <v>292249199.36057526</v>
      </c>
      <c r="L17" s="31">
        <v>313149050.42477065</v>
      </c>
      <c r="M17" s="31">
        <v>337822557.88386983</v>
      </c>
      <c r="N17" s="31">
        <v>367408610.28310704</v>
      </c>
    </row>
    <row r="18" spans="1:15" x14ac:dyDescent="0.3">
      <c r="A18" s="11" t="s">
        <v>57</v>
      </c>
      <c r="B18" s="31">
        <v>352422896.71514153</v>
      </c>
      <c r="C18" s="31">
        <v>369671043.14189517</v>
      </c>
      <c r="D18" s="31">
        <v>386456807.03790528</v>
      </c>
      <c r="E18" s="31">
        <v>400828287.92629999</v>
      </c>
      <c r="F18" s="31">
        <v>411785413.27762461</v>
      </c>
      <c r="I18" s="11" t="s">
        <v>57</v>
      </c>
      <c r="J18" s="31">
        <v>352422896.71514153</v>
      </c>
      <c r="K18" s="31">
        <v>369671043.14189517</v>
      </c>
      <c r="L18" s="31">
        <v>386456807.03790528</v>
      </c>
      <c r="M18" s="31">
        <v>400828287.92629999</v>
      </c>
      <c r="N18" s="31">
        <v>411785413.27762461</v>
      </c>
    </row>
    <row r="19" spans="1:15" x14ac:dyDescent="0.3">
      <c r="A19" s="11" t="s">
        <v>58</v>
      </c>
      <c r="B19" s="31">
        <f>195649452.818943+'Depreciation Impact'!B11</f>
        <v>187040631.49805835</v>
      </c>
      <c r="C19" s="31">
        <f>199398809.783174+'Depreciation Impact'!C11</f>
        <v>191805906.44470146</v>
      </c>
      <c r="D19" s="31">
        <f>214066646.387515+'Depreciation Impact'!D11</f>
        <v>209656862.30147108</v>
      </c>
      <c r="E19" s="31">
        <f>230805829.139276+'Depreciation Impact'!E11</f>
        <v>228068126.30573961</v>
      </c>
      <c r="F19" s="31">
        <f>242204086.042605+'Depreciation Impact'!F11</f>
        <v>240348056.99756891</v>
      </c>
      <c r="I19" s="11" t="s">
        <v>58</v>
      </c>
      <c r="J19" s="31">
        <v>187040631.49805835</v>
      </c>
      <c r="K19" s="31">
        <v>191805906.44470146</v>
      </c>
      <c r="L19" s="31">
        <v>209656862.30147108</v>
      </c>
      <c r="M19" s="31">
        <v>228068126.30573961</v>
      </c>
      <c r="N19" s="31">
        <v>240348056.99756891</v>
      </c>
    </row>
    <row r="20" spans="1:15" x14ac:dyDescent="0.3">
      <c r="A20" s="11" t="s">
        <v>59</v>
      </c>
      <c r="B20" s="31">
        <f>22400578.965947+'PILs Impact'!C12</f>
        <v>19352587.711071067</v>
      </c>
      <c r="C20" s="31">
        <f>37575809.0173902+'PILs Impact'!D12</f>
        <v>34999247.003282078</v>
      </c>
      <c r="D20" s="31">
        <f>29001237.2662686+'PILs Impact'!E12</f>
        <v>27650225.48468909</v>
      </c>
      <c r="E20" s="31">
        <f>31763401.42148+'PILs Impact'!F12</f>
        <v>31061634.59843231</v>
      </c>
      <c r="F20" s="31">
        <f>36985596.1337136+'PILs Impact'!G12</f>
        <v>36631524.079391584</v>
      </c>
      <c r="I20" s="11" t="s">
        <v>59</v>
      </c>
      <c r="J20" s="31">
        <v>19253259.913272873</v>
      </c>
      <c r="K20" s="31">
        <v>34999247.003282078</v>
      </c>
      <c r="L20" s="31">
        <v>27650225.48468909</v>
      </c>
      <c r="M20" s="31">
        <v>31061634.59843231</v>
      </c>
      <c r="N20" s="31">
        <v>36631524.079391584</v>
      </c>
    </row>
    <row r="21" spans="1:15" s="29" customFormat="1" x14ac:dyDescent="0.3">
      <c r="A21" s="10" t="s">
        <v>60</v>
      </c>
      <c r="B21" s="66">
        <f t="shared" ref="B21:E21" si="2">SUM(B17:B20)</f>
        <v>829760951.30559397</v>
      </c>
      <c r="C21" s="32">
        <f t="shared" si="2"/>
        <v>888725395.950454</v>
      </c>
      <c r="D21" s="32">
        <f t="shared" si="2"/>
        <v>936912945.24883616</v>
      </c>
      <c r="E21" s="32">
        <f t="shared" si="2"/>
        <v>997780606.71434176</v>
      </c>
      <c r="F21" s="32">
        <f>SUM(F17:F20)</f>
        <v>1056173604.6376921</v>
      </c>
      <c r="G21"/>
      <c r="I21" s="10" t="s">
        <v>60</v>
      </c>
      <c r="J21" s="32">
        <v>829194595.19651747</v>
      </c>
      <c r="K21" s="32">
        <v>888725395.950454</v>
      </c>
      <c r="L21" s="32">
        <v>936912945.24883616</v>
      </c>
      <c r="M21" s="32">
        <v>997780606.71434176</v>
      </c>
      <c r="N21" s="32">
        <v>1056173604.6376921</v>
      </c>
      <c r="O21"/>
    </row>
    <row r="22" spans="1:15" x14ac:dyDescent="0.3">
      <c r="A22" s="11" t="s">
        <v>74</v>
      </c>
      <c r="B22" s="31">
        <v>-30849745.873087488</v>
      </c>
      <c r="C22" s="31">
        <v>-31318238.437488154</v>
      </c>
      <c r="D22" s="31">
        <v>-27940163.2898729</v>
      </c>
      <c r="E22" s="31">
        <v>-28690001.720051229</v>
      </c>
      <c r="F22" s="31">
        <v>-29474859.294079416</v>
      </c>
      <c r="I22" s="11" t="s">
        <v>74</v>
      </c>
      <c r="J22" s="31">
        <v>-30849745.873087488</v>
      </c>
      <c r="K22" s="31">
        <v>-31318238.437488154</v>
      </c>
      <c r="L22" s="31">
        <v>-27940163.2898729</v>
      </c>
      <c r="M22" s="31">
        <v>-28690001.720051229</v>
      </c>
      <c r="N22" s="31">
        <v>-29474859.294079416</v>
      </c>
    </row>
    <row r="23" spans="1:15" s="29" customFormat="1" ht="15" thickBot="1" x14ac:dyDescent="0.35">
      <c r="A23" s="10" t="s">
        <v>62</v>
      </c>
      <c r="B23" s="67">
        <f>B21+B22</f>
        <v>798911205.43250644</v>
      </c>
      <c r="C23" s="46">
        <f>C21+C22</f>
        <v>857407157.5129658</v>
      </c>
      <c r="D23" s="46">
        <f>D21+D22</f>
        <v>908972781.95896327</v>
      </c>
      <c r="E23" s="46">
        <f>E21+E22</f>
        <v>969090604.99429059</v>
      </c>
      <c r="F23" s="46">
        <f>F21+F22</f>
        <v>1026698745.3436127</v>
      </c>
      <c r="G23"/>
      <c r="I23" s="10" t="s">
        <v>62</v>
      </c>
      <c r="J23" s="46">
        <v>798344849.32342994</v>
      </c>
      <c r="K23" s="46">
        <v>857407157.5129658</v>
      </c>
      <c r="L23" s="46">
        <v>908972781.95896327</v>
      </c>
      <c r="M23" s="46">
        <v>969090604.99429059</v>
      </c>
      <c r="N23" s="46">
        <v>1026698745.3436127</v>
      </c>
      <c r="O23"/>
    </row>
    <row r="24" spans="1:15" ht="15" thickTop="1" x14ac:dyDescent="0.3">
      <c r="B24" s="31"/>
      <c r="C24" s="31"/>
      <c r="D24" s="31"/>
      <c r="E24" s="31"/>
      <c r="F24" s="31"/>
      <c r="I24" s="11"/>
      <c r="J24" s="31"/>
      <c r="K24" s="31"/>
      <c r="L24" s="31"/>
      <c r="M24" s="31"/>
      <c r="N24" s="31"/>
    </row>
    <row r="25" spans="1:15" x14ac:dyDescent="0.3">
      <c r="B25" s="31"/>
      <c r="C25" s="31"/>
      <c r="D25" s="31"/>
      <c r="E25" s="31"/>
      <c r="F25" s="31"/>
      <c r="I25" s="11"/>
      <c r="J25" s="31"/>
      <c r="K25" s="31"/>
      <c r="L25" s="31"/>
      <c r="M25" s="31"/>
      <c r="N25" s="31"/>
    </row>
    <row r="26" spans="1:15" x14ac:dyDescent="0.3">
      <c r="B26" s="31"/>
      <c r="C26" s="31"/>
      <c r="D26" s="31"/>
      <c r="E26" s="31"/>
      <c r="F26" s="31"/>
      <c r="I26" s="11"/>
      <c r="J26" s="31"/>
      <c r="K26" s="31"/>
      <c r="L26" s="31"/>
      <c r="M26" s="31"/>
      <c r="N26" s="31"/>
    </row>
    <row r="27" spans="1:15" x14ac:dyDescent="0.3">
      <c r="A27" s="10" t="s">
        <v>38</v>
      </c>
      <c r="B27" s="30">
        <v>2027</v>
      </c>
      <c r="C27" s="30">
        <v>2028</v>
      </c>
      <c r="D27" s="30">
        <v>2029</v>
      </c>
      <c r="E27" s="30">
        <v>2030</v>
      </c>
      <c r="F27" s="30">
        <v>2031</v>
      </c>
      <c r="I27" s="10" t="s">
        <v>38</v>
      </c>
      <c r="J27" s="30">
        <v>2027</v>
      </c>
      <c r="K27" s="30">
        <v>2028</v>
      </c>
      <c r="L27" s="30">
        <v>2029</v>
      </c>
      <c r="M27" s="30">
        <v>2030</v>
      </c>
      <c r="N27" s="30">
        <v>2031</v>
      </c>
    </row>
    <row r="28" spans="1:15" x14ac:dyDescent="0.3">
      <c r="A28" s="11" t="s">
        <v>55</v>
      </c>
      <c r="B28" s="65">
        <f>'Rate Base'!C39</f>
        <v>4304410.6604423188</v>
      </c>
      <c r="C28" s="31">
        <f>'Rate Base'!D39</f>
        <v>12405272.990120903</v>
      </c>
      <c r="D28" s="31">
        <f>'Rate Base'!E39</f>
        <v>18406616.702379126</v>
      </c>
      <c r="E28" s="31">
        <f>'Rate Base'!F39</f>
        <v>21980360.162169285</v>
      </c>
      <c r="F28" s="31">
        <f>'Rate Base'!G39</f>
        <v>24277226.101455543</v>
      </c>
      <c r="I28" s="11" t="s">
        <v>55</v>
      </c>
      <c r="J28" s="31">
        <v>-3348202.6919343537</v>
      </c>
      <c r="K28" s="31">
        <v>12405272.990120903</v>
      </c>
      <c r="L28" s="31">
        <v>18406616.702379126</v>
      </c>
      <c r="M28" s="31">
        <v>21980360.162169285</v>
      </c>
      <c r="N28" s="31">
        <v>24277226.101455543</v>
      </c>
    </row>
    <row r="29" spans="1:15" x14ac:dyDescent="0.3">
      <c r="A29" s="11" t="s">
        <v>56</v>
      </c>
      <c r="B29" s="65">
        <f t="shared" ref="B29:F29" si="3">B28*B16</f>
        <v>262692.17445444036</v>
      </c>
      <c r="C29" s="31">
        <f t="shared" si="3"/>
        <v>767842.19470359094</v>
      </c>
      <c r="D29" s="31">
        <f t="shared" si="3"/>
        <v>1141088.7419028275</v>
      </c>
      <c r="E29" s="31">
        <f t="shared" si="3"/>
        <v>1363978.3200684122</v>
      </c>
      <c r="F29" s="31">
        <f t="shared" si="3"/>
        <v>1525753.0813331364</v>
      </c>
      <c r="I29" s="11" t="s">
        <v>56</v>
      </c>
      <c r="J29" s="31">
        <v>-204336.13682391177</v>
      </c>
      <c r="K29" s="31">
        <v>767842.19470359094</v>
      </c>
      <c r="L29" s="31">
        <v>1141088.7419028275</v>
      </c>
      <c r="M29" s="31">
        <v>1363978.3200684122</v>
      </c>
      <c r="N29" s="31">
        <v>1525753.0813331364</v>
      </c>
    </row>
    <row r="30" spans="1:15" x14ac:dyDescent="0.3">
      <c r="A30" s="11" t="s">
        <v>57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I30" s="11" t="s">
        <v>57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</row>
    <row r="31" spans="1:15" x14ac:dyDescent="0.3">
      <c r="A31" s="11" t="s">
        <v>58</v>
      </c>
      <c r="B31" s="31">
        <f>'Depreciation Impact'!B11</f>
        <v>-8608821.3208846375</v>
      </c>
      <c r="C31" s="31">
        <f>'Depreciation Impact'!C11</f>
        <v>-7592903.3384725321</v>
      </c>
      <c r="D31" s="31">
        <f>'Depreciation Impact'!D11</f>
        <v>-4409784.0860439138</v>
      </c>
      <c r="E31" s="31">
        <f>'Depreciation Impact'!E11</f>
        <v>-2737702.8335364005</v>
      </c>
      <c r="F31" s="31">
        <f>'Depreciation Impact'!F11</f>
        <v>-1856029.0450361166</v>
      </c>
      <c r="I31" s="11" t="s">
        <v>58</v>
      </c>
      <c r="J31" s="31">
        <v>-8608821.3208846375</v>
      </c>
      <c r="K31" s="31">
        <v>-7592903.3384725321</v>
      </c>
      <c r="L31" s="31">
        <v>-4409784.0860439138</v>
      </c>
      <c r="M31" s="31">
        <v>-2737702.8335364005</v>
      </c>
      <c r="N31" s="31">
        <v>-1856029.0450361166</v>
      </c>
    </row>
    <row r="32" spans="1:15" x14ac:dyDescent="0.3">
      <c r="A32" s="11" t="s">
        <v>59</v>
      </c>
      <c r="B32" s="65">
        <f>'PILs Impact'!C12</f>
        <v>-3047991.2548759319</v>
      </c>
      <c r="C32" s="31">
        <f>'PILs Impact'!D12</f>
        <v>-2576562.0141081214</v>
      </c>
      <c r="D32" s="31">
        <f>'PILs Impact'!E12</f>
        <v>-1351011.7815795094</v>
      </c>
      <c r="E32" s="31">
        <f>'PILs Impact'!F12</f>
        <v>-701766.82304769009</v>
      </c>
      <c r="F32" s="31">
        <f>'PILs Impact'!G12</f>
        <v>-354072.05432201922</v>
      </c>
      <c r="I32" s="11" t="s">
        <v>59</v>
      </c>
      <c r="J32" s="31">
        <v>-3147319.0526741259</v>
      </c>
      <c r="K32" s="31">
        <v>-2576562.0141081214</v>
      </c>
      <c r="L32" s="31">
        <v>-1351011.7815795094</v>
      </c>
      <c r="M32" s="31">
        <v>-701766.82304769009</v>
      </c>
      <c r="N32" s="31">
        <v>-354072.05432201922</v>
      </c>
    </row>
    <row r="33" spans="1:14" x14ac:dyDescent="0.3">
      <c r="A33" s="10" t="s">
        <v>60</v>
      </c>
      <c r="B33" s="66">
        <f t="shared" ref="B33:F33" si="4">SUM(B29:B32)</f>
        <v>-11394120.40130613</v>
      </c>
      <c r="C33" s="32">
        <f t="shared" si="4"/>
        <v>-9401623.1578770615</v>
      </c>
      <c r="D33" s="32">
        <f t="shared" si="4"/>
        <v>-4619707.1257205959</v>
      </c>
      <c r="E33" s="32">
        <f t="shared" si="4"/>
        <v>-2075491.3365156783</v>
      </c>
      <c r="F33" s="32">
        <f t="shared" si="4"/>
        <v>-684348.01802499942</v>
      </c>
      <c r="I33" s="10" t="s">
        <v>60</v>
      </c>
      <c r="J33" s="32">
        <v>-11960476.510382675</v>
      </c>
      <c r="K33" s="32">
        <v>-9401623.1578770615</v>
      </c>
      <c r="L33" s="32">
        <v>-4619707.1257205959</v>
      </c>
      <c r="M33" s="32">
        <v>-2075491.3365156783</v>
      </c>
      <c r="N33" s="32">
        <v>-684348.01802499942</v>
      </c>
    </row>
    <row r="34" spans="1:14" x14ac:dyDescent="0.3">
      <c r="A34" s="11" t="s">
        <v>61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I34" s="11" t="s">
        <v>61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</row>
    <row r="35" spans="1:14" x14ac:dyDescent="0.3">
      <c r="A35" s="10" t="s">
        <v>62</v>
      </c>
      <c r="B35" s="66">
        <f>B33+B34</f>
        <v>-11394120.40130613</v>
      </c>
      <c r="C35" s="32">
        <f t="shared" ref="C35:F35" si="5">C33+C34</f>
        <v>-9401623.1578770615</v>
      </c>
      <c r="D35" s="32">
        <f t="shared" si="5"/>
        <v>-4619707.1257205959</v>
      </c>
      <c r="E35" s="32">
        <f t="shared" si="5"/>
        <v>-2075491.3365156783</v>
      </c>
      <c r="F35" s="32">
        <f t="shared" si="5"/>
        <v>-684348.01802499942</v>
      </c>
      <c r="I35" s="10" t="s">
        <v>62</v>
      </c>
      <c r="J35" s="32">
        <v>-11960476.510382675</v>
      </c>
      <c r="K35" s="32">
        <v>-9401623.1578770615</v>
      </c>
      <c r="L35" s="32">
        <v>-4619707.1257205959</v>
      </c>
      <c r="M35" s="32">
        <v>-2075491.3365156783</v>
      </c>
      <c r="N35" s="32">
        <v>-684348.01802499942</v>
      </c>
    </row>
    <row r="36" spans="1:14" x14ac:dyDescent="0.3">
      <c r="H36" s="13"/>
      <c r="I36" s="11"/>
      <c r="J36" s="11"/>
      <c r="K36" s="11"/>
      <c r="L36" s="11"/>
      <c r="M36" s="11"/>
      <c r="N36" s="11"/>
    </row>
    <row r="37" spans="1:14" x14ac:dyDescent="0.3">
      <c r="H37" s="13"/>
      <c r="I37" s="11"/>
      <c r="J37" s="11"/>
      <c r="K37" s="11"/>
      <c r="L37" s="11"/>
      <c r="M37" s="11"/>
      <c r="N37" s="11"/>
    </row>
    <row r="38" spans="1:14" x14ac:dyDescent="0.3">
      <c r="I38" s="11"/>
      <c r="J38" s="11"/>
      <c r="K38" s="11"/>
      <c r="L38" s="11"/>
      <c r="M38" s="11"/>
      <c r="N38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FB08-67FF-4E78-9BD9-298F78D5D37E}">
  <dimension ref="A1:Y56"/>
  <sheetViews>
    <sheetView topLeftCell="A4" workbookViewId="0">
      <selection activeCell="C25" sqref="C25"/>
    </sheetView>
  </sheetViews>
  <sheetFormatPr defaultRowHeight="14.4" x14ac:dyDescent="0.3"/>
  <cols>
    <col min="1" max="1" width="34.44140625" customWidth="1"/>
    <col min="2" max="7" width="14.77734375" bestFit="1" customWidth="1"/>
    <col min="9" max="9" width="34.44140625" customWidth="1"/>
    <col min="10" max="15" width="14.77734375" bestFit="1" customWidth="1"/>
  </cols>
  <sheetData>
    <row r="1" spans="1:15" x14ac:dyDescent="0.3">
      <c r="A1" s="10" t="s">
        <v>21</v>
      </c>
      <c r="B1" s="10"/>
      <c r="C1" s="11"/>
      <c r="D1" s="11"/>
      <c r="E1" s="11"/>
      <c r="F1" s="11"/>
      <c r="I1" s="10"/>
      <c r="J1" s="10"/>
      <c r="K1" s="11"/>
      <c r="L1" s="11"/>
      <c r="M1" s="11"/>
      <c r="N1" s="11"/>
    </row>
    <row r="2" spans="1:15" x14ac:dyDescent="0.3">
      <c r="A2" s="10" t="s">
        <v>7</v>
      </c>
      <c r="B2" s="10"/>
      <c r="C2" s="11"/>
      <c r="D2" s="11"/>
      <c r="E2" s="11"/>
      <c r="F2" s="11"/>
      <c r="I2" s="10"/>
      <c r="J2" s="10"/>
      <c r="K2" s="11"/>
      <c r="L2" s="11"/>
      <c r="M2" s="11"/>
      <c r="N2" s="11"/>
    </row>
    <row r="3" spans="1:15" x14ac:dyDescent="0.3">
      <c r="A3" s="10" t="s">
        <v>22</v>
      </c>
      <c r="B3" s="10"/>
      <c r="C3" s="11"/>
      <c r="D3" s="11"/>
      <c r="E3" s="11"/>
      <c r="F3" s="11"/>
      <c r="I3" s="10"/>
      <c r="J3" s="10"/>
      <c r="K3" s="11"/>
      <c r="L3" s="11"/>
      <c r="M3" s="11"/>
      <c r="N3" s="11"/>
    </row>
    <row r="4" spans="1:15" x14ac:dyDescent="0.3">
      <c r="A4" s="10" t="s">
        <v>23</v>
      </c>
      <c r="B4" s="10"/>
      <c r="C4" s="11"/>
      <c r="D4" s="11"/>
      <c r="E4" s="11"/>
      <c r="F4" s="11"/>
      <c r="I4" s="10"/>
      <c r="J4" s="10"/>
      <c r="K4" s="11"/>
      <c r="L4" s="11"/>
      <c r="M4" s="11"/>
      <c r="N4" s="11"/>
    </row>
    <row r="5" spans="1:15" x14ac:dyDescent="0.3">
      <c r="A5" s="10" t="s">
        <v>65</v>
      </c>
      <c r="B5" s="10"/>
      <c r="C5" s="11"/>
      <c r="D5" s="11"/>
      <c r="E5" s="11"/>
      <c r="F5" s="11"/>
      <c r="I5" s="10"/>
      <c r="J5" s="10"/>
      <c r="K5" s="11"/>
      <c r="L5" s="11"/>
      <c r="M5" s="11"/>
      <c r="N5" s="11"/>
    </row>
    <row r="6" spans="1:15" x14ac:dyDescent="0.3">
      <c r="A6" s="11"/>
      <c r="B6" s="11"/>
      <c r="C6" s="11"/>
      <c r="D6" s="11"/>
      <c r="E6" s="11"/>
      <c r="F6" s="11"/>
      <c r="I6" s="11"/>
      <c r="J6" s="11"/>
      <c r="K6" s="11"/>
      <c r="L6" s="11"/>
      <c r="M6" s="11"/>
      <c r="N6" s="11"/>
    </row>
    <row r="7" spans="1:15" x14ac:dyDescent="0.3">
      <c r="A7" s="61" t="s">
        <v>76</v>
      </c>
      <c r="I7" s="62" t="s">
        <v>77</v>
      </c>
    </row>
    <row r="8" spans="1:15" x14ac:dyDescent="0.3">
      <c r="A8" s="75" t="s">
        <v>8</v>
      </c>
      <c r="B8" s="49" t="s">
        <v>75</v>
      </c>
      <c r="C8" s="76" t="s">
        <v>9</v>
      </c>
      <c r="D8" s="76"/>
      <c r="E8" s="76"/>
      <c r="F8" s="76"/>
      <c r="G8" s="76"/>
      <c r="I8" s="75" t="s">
        <v>8</v>
      </c>
      <c r="J8" s="49" t="s">
        <v>75</v>
      </c>
      <c r="K8" s="76" t="s">
        <v>9</v>
      </c>
      <c r="L8" s="76"/>
      <c r="M8" s="76"/>
      <c r="N8" s="76"/>
      <c r="O8" s="76"/>
    </row>
    <row r="9" spans="1:15" x14ac:dyDescent="0.3">
      <c r="A9" s="75"/>
      <c r="B9" s="50">
        <v>2026</v>
      </c>
      <c r="C9" s="50">
        <v>2027</v>
      </c>
      <c r="D9" s="50">
        <v>2028</v>
      </c>
      <c r="E9" s="50">
        <v>2029</v>
      </c>
      <c r="F9" s="50">
        <v>2030</v>
      </c>
      <c r="G9" s="50">
        <v>2031</v>
      </c>
      <c r="I9" s="75"/>
      <c r="J9" s="50">
        <v>2026</v>
      </c>
      <c r="K9" s="50">
        <v>2027</v>
      </c>
      <c r="L9" s="50">
        <v>2028</v>
      </c>
      <c r="M9" s="50">
        <v>2029</v>
      </c>
      <c r="N9" s="50">
        <v>2030</v>
      </c>
      <c r="O9" s="50">
        <v>2031</v>
      </c>
    </row>
    <row r="10" spans="1:15" x14ac:dyDescent="0.3">
      <c r="A10" s="4" t="s">
        <v>10</v>
      </c>
      <c r="B10" s="5">
        <v>5224844482.8073816</v>
      </c>
      <c r="C10" s="5">
        <v>5544560210.5219059</v>
      </c>
      <c r="D10" s="5">
        <v>5988283708.075923</v>
      </c>
      <c r="E10" s="5">
        <v>6456301358.3083267</v>
      </c>
      <c r="F10" s="5">
        <v>7027713010.2219963</v>
      </c>
      <c r="G10" s="5">
        <v>7651135351.8757534</v>
      </c>
      <c r="I10" s="4" t="s">
        <v>10</v>
      </c>
      <c r="J10" s="5">
        <v>5224844482.8073816</v>
      </c>
      <c r="K10" s="5">
        <v>5544560210.5219059</v>
      </c>
      <c r="L10" s="5">
        <v>5988283708.075923</v>
      </c>
      <c r="M10" s="5">
        <v>6456301358.3083267</v>
      </c>
      <c r="N10" s="5">
        <v>7027713010.2219963</v>
      </c>
      <c r="O10" s="5">
        <v>7651135351.8757534</v>
      </c>
    </row>
    <row r="11" spans="1:15" x14ac:dyDescent="0.3">
      <c r="A11" s="4" t="s">
        <v>11</v>
      </c>
      <c r="B11" s="5">
        <v>5544560210.5219059</v>
      </c>
      <c r="C11" s="5">
        <v>5988283708.075923</v>
      </c>
      <c r="D11" s="5">
        <v>6456301358.3083267</v>
      </c>
      <c r="E11" s="5">
        <v>7027713010.2219963</v>
      </c>
      <c r="F11" s="5">
        <v>7651135351.8757534</v>
      </c>
      <c r="G11" s="5">
        <v>8273331487.4113846</v>
      </c>
      <c r="I11" s="4" t="s">
        <v>11</v>
      </c>
      <c r="J11" s="5">
        <v>5544560210.5219059</v>
      </c>
      <c r="K11" s="5">
        <v>5988283708.075923</v>
      </c>
      <c r="L11" s="5">
        <v>6456301358.3083267</v>
      </c>
      <c r="M11" s="5">
        <v>7027713010.2219963</v>
      </c>
      <c r="N11" s="5">
        <v>7651135351.8757534</v>
      </c>
      <c r="O11" s="5">
        <v>8273331487.4113846</v>
      </c>
    </row>
    <row r="12" spans="1:15" x14ac:dyDescent="0.3">
      <c r="A12" s="6" t="s">
        <v>12</v>
      </c>
      <c r="B12" s="7">
        <f t="shared" ref="B12:G12" si="0">AVERAGE(B10:B11)</f>
        <v>5384702346.6646442</v>
      </c>
      <c r="C12" s="7">
        <f t="shared" si="0"/>
        <v>5766421959.298914</v>
      </c>
      <c r="D12" s="7">
        <f t="shared" si="0"/>
        <v>6222292533.1921253</v>
      </c>
      <c r="E12" s="7">
        <f t="shared" si="0"/>
        <v>6742007184.2651615</v>
      </c>
      <c r="F12" s="7">
        <f t="shared" si="0"/>
        <v>7339424181.0488749</v>
      </c>
      <c r="G12" s="7">
        <f t="shared" si="0"/>
        <v>7962233419.643569</v>
      </c>
      <c r="I12" s="6" t="s">
        <v>12</v>
      </c>
      <c r="J12" s="7">
        <v>5384702346.6646442</v>
      </c>
      <c r="K12" s="7">
        <v>5766421959.298914</v>
      </c>
      <c r="L12" s="7">
        <v>6222292533.1921253</v>
      </c>
      <c r="M12" s="7">
        <v>6742007184.2651615</v>
      </c>
      <c r="N12" s="7">
        <v>7339424181.0488749</v>
      </c>
      <c r="O12" s="7">
        <v>7962233419.643569</v>
      </c>
    </row>
    <row r="13" spans="1:15" x14ac:dyDescent="0.3">
      <c r="A13" s="4" t="s">
        <v>13</v>
      </c>
      <c r="B13" s="5">
        <v>-1377627337.7369416</v>
      </c>
      <c r="C13" s="5">
        <v>-1539605133.6495221</v>
      </c>
      <c r="D13" s="5">
        <v>-1732557890.5024071</v>
      </c>
      <c r="E13" s="5">
        <v>-1932968721.3270695</v>
      </c>
      <c r="F13" s="5">
        <v>-2147990715.780735</v>
      </c>
      <c r="G13" s="5">
        <v>-2379062535.8973861</v>
      </c>
      <c r="I13" s="4" t="s">
        <v>13</v>
      </c>
      <c r="J13" s="5">
        <v>-1377627337.7369416</v>
      </c>
      <c r="K13" s="5">
        <v>-1539605133.6495221</v>
      </c>
      <c r="L13" s="5">
        <v>-1732557890.5024071</v>
      </c>
      <c r="M13" s="5">
        <v>-1932968721.3270695</v>
      </c>
      <c r="N13" s="5">
        <v>-2147990715.780735</v>
      </c>
      <c r="O13" s="5">
        <v>-2379062535.8973861</v>
      </c>
    </row>
    <row r="14" spans="1:15" x14ac:dyDescent="0.3">
      <c r="A14" s="4" t="s">
        <v>14</v>
      </c>
      <c r="B14" s="5">
        <v>-1539605133.6495221</v>
      </c>
      <c r="C14" s="5">
        <v>-1732557890.5024071</v>
      </c>
      <c r="D14" s="5">
        <v>-1932968721.3270695</v>
      </c>
      <c r="E14" s="5">
        <v>-2147990715.780735</v>
      </c>
      <c r="F14" s="5">
        <v>-2379062535.8973861</v>
      </c>
      <c r="G14" s="5">
        <v>-2624151882.4192863</v>
      </c>
      <c r="I14" s="4" t="s">
        <v>14</v>
      </c>
      <c r="J14" s="5">
        <v>-1539605133.6495221</v>
      </c>
      <c r="K14" s="5">
        <v>-1732557890.5024071</v>
      </c>
      <c r="L14" s="5">
        <v>-1932968721.3270695</v>
      </c>
      <c r="M14" s="5">
        <v>-2147990715.780735</v>
      </c>
      <c r="N14" s="5">
        <v>-2379062535.8973861</v>
      </c>
      <c r="O14" s="5">
        <v>-2624151882.4192863</v>
      </c>
    </row>
    <row r="15" spans="1:15" x14ac:dyDescent="0.3">
      <c r="A15" s="6" t="s">
        <v>15</v>
      </c>
      <c r="B15" s="7">
        <f t="shared" ref="B15:G15" si="1">AVERAGE(B13:B14)</f>
        <v>-1458616235.6932318</v>
      </c>
      <c r="C15" s="7">
        <f t="shared" si="1"/>
        <v>-1636081512.0759645</v>
      </c>
      <c r="D15" s="7">
        <f t="shared" si="1"/>
        <v>-1832763305.9147382</v>
      </c>
      <c r="E15" s="7">
        <f t="shared" si="1"/>
        <v>-2040479718.5539021</v>
      </c>
      <c r="F15" s="7">
        <f t="shared" si="1"/>
        <v>-2263526625.8390608</v>
      </c>
      <c r="G15" s="7">
        <f t="shared" si="1"/>
        <v>-2501607209.1583362</v>
      </c>
      <c r="I15" s="6" t="s">
        <v>15</v>
      </c>
      <c r="J15" s="7">
        <v>-1458616235.6932318</v>
      </c>
      <c r="K15" s="7">
        <v>-1636081512.0759645</v>
      </c>
      <c r="L15" s="7">
        <v>-1832763305.9147382</v>
      </c>
      <c r="M15" s="7">
        <v>-2040479718.5539021</v>
      </c>
      <c r="N15" s="7">
        <v>-2263526625.8390608</v>
      </c>
      <c r="O15" s="7">
        <v>-2501607209.1583362</v>
      </c>
    </row>
    <row r="16" spans="1:15" x14ac:dyDescent="0.3">
      <c r="A16" s="4" t="s">
        <v>16</v>
      </c>
      <c r="B16" s="5">
        <v>3847217145.0704403</v>
      </c>
      <c r="C16" s="5">
        <f t="shared" ref="C16:G17" si="2">+C10+C13</f>
        <v>4004955076.8723841</v>
      </c>
      <c r="D16" s="5">
        <f t="shared" ref="D16" si="3">+C17</f>
        <v>4255725817.5735159</v>
      </c>
      <c r="E16" s="5">
        <f t="shared" ref="E16" si="4">+D17</f>
        <v>4523332636.9812574</v>
      </c>
      <c r="F16" s="5">
        <f t="shared" ref="F16" si="5">+E17</f>
        <v>4879722294.4412613</v>
      </c>
      <c r="G16" s="5">
        <f t="shared" ref="G16" si="6">+F17</f>
        <v>5272072815.9783669</v>
      </c>
      <c r="I16" s="4" t="s">
        <v>16</v>
      </c>
      <c r="J16" s="5">
        <v>3847217145.0704403</v>
      </c>
      <c r="K16" s="5">
        <v>4004955076.8723841</v>
      </c>
      <c r="L16" s="5">
        <v>4255725817.5735159</v>
      </c>
      <c r="M16" s="5">
        <v>4523332636.9812574</v>
      </c>
      <c r="N16" s="5">
        <v>4879722294.4412613</v>
      </c>
      <c r="O16" s="5">
        <v>5272072815.9783669</v>
      </c>
    </row>
    <row r="17" spans="1:25" x14ac:dyDescent="0.3">
      <c r="A17" s="4" t="s">
        <v>17</v>
      </c>
      <c r="B17" s="5">
        <v>4004955076.8723841</v>
      </c>
      <c r="C17" s="5">
        <f t="shared" si="2"/>
        <v>4255725817.5735159</v>
      </c>
      <c r="D17" s="5">
        <f t="shared" si="2"/>
        <v>4523332636.9812574</v>
      </c>
      <c r="E17" s="5">
        <f t="shared" si="2"/>
        <v>4879722294.4412613</v>
      </c>
      <c r="F17" s="5">
        <f t="shared" si="2"/>
        <v>5272072815.9783669</v>
      </c>
      <c r="G17" s="5">
        <f t="shared" si="2"/>
        <v>5649179604.9920979</v>
      </c>
      <c r="I17" s="4" t="s">
        <v>17</v>
      </c>
      <c r="J17" s="5">
        <v>4004955076.8723841</v>
      </c>
      <c r="K17" s="5">
        <v>4255725817.5735159</v>
      </c>
      <c r="L17" s="5">
        <v>4523332636.9812574</v>
      </c>
      <c r="M17" s="5">
        <v>4879722294.4412613</v>
      </c>
      <c r="N17" s="5">
        <v>5272072815.9783669</v>
      </c>
      <c r="O17" s="5">
        <v>5649179604.9920979</v>
      </c>
    </row>
    <row r="18" spans="1:25" x14ac:dyDescent="0.3">
      <c r="A18" s="6" t="s">
        <v>18</v>
      </c>
      <c r="B18" s="7">
        <f t="shared" ref="B18:G18" si="7">AVERAGE(B16:B17)</f>
        <v>3926086110.9714122</v>
      </c>
      <c r="C18" s="7">
        <f t="shared" si="7"/>
        <v>4130340447.22295</v>
      </c>
      <c r="D18" s="7">
        <f t="shared" si="7"/>
        <v>4389529227.2773867</v>
      </c>
      <c r="E18" s="7">
        <f t="shared" si="7"/>
        <v>4701527465.7112598</v>
      </c>
      <c r="F18" s="7">
        <f t="shared" si="7"/>
        <v>5075897555.2098141</v>
      </c>
      <c r="G18" s="7">
        <f t="shared" si="7"/>
        <v>5460626210.4852324</v>
      </c>
      <c r="I18" s="6" t="s">
        <v>18</v>
      </c>
      <c r="J18" s="7">
        <v>3926086110.9714122</v>
      </c>
      <c r="K18" s="7">
        <v>4130340447.22295</v>
      </c>
      <c r="L18" s="7">
        <v>4389529227.2773867</v>
      </c>
      <c r="M18" s="7">
        <v>4701527465.7112598</v>
      </c>
      <c r="N18" s="7">
        <v>5075897555.2098141</v>
      </c>
      <c r="O18" s="7">
        <v>5460626210.4852324</v>
      </c>
    </row>
    <row r="19" spans="1:25" x14ac:dyDescent="0.3">
      <c r="A19" s="4" t="s">
        <v>19</v>
      </c>
      <c r="B19" s="5">
        <v>386453623.74149698</v>
      </c>
      <c r="C19" s="5">
        <v>304991915.57300299</v>
      </c>
      <c r="D19" s="5">
        <v>319649080.60319901</v>
      </c>
      <c r="E19" s="5">
        <v>331394819.72848397</v>
      </c>
      <c r="F19" s="5">
        <v>346095338.411336</v>
      </c>
      <c r="G19" s="5">
        <v>361168259.14991301</v>
      </c>
      <c r="I19" s="4" t="s">
        <v>19</v>
      </c>
      <c r="J19" s="5">
        <v>386453623.74149698</v>
      </c>
      <c r="K19" s="5">
        <v>304991915.57300299</v>
      </c>
      <c r="L19" s="5">
        <v>319649080.60319901</v>
      </c>
      <c r="M19" s="5">
        <v>331394819.72848397</v>
      </c>
      <c r="N19" s="5">
        <v>346095338.411336</v>
      </c>
      <c r="O19" s="5">
        <v>361168259.14991301</v>
      </c>
      <c r="R19" s="10"/>
      <c r="S19" s="32"/>
      <c r="T19" s="32"/>
      <c r="U19" s="32"/>
      <c r="V19" s="32"/>
      <c r="W19" s="32"/>
      <c r="X19" s="32"/>
      <c r="Y19" s="32"/>
    </row>
    <row r="20" spans="1:25" x14ac:dyDescent="0.3">
      <c r="A20" s="4" t="s">
        <v>20</v>
      </c>
      <c r="B20" s="8">
        <v>4312539734.7129087</v>
      </c>
      <c r="C20" s="8">
        <f t="shared" ref="C20:G20" si="8">SUM(C18:C19)</f>
        <v>4435332362.7959528</v>
      </c>
      <c r="D20" s="8">
        <f t="shared" si="8"/>
        <v>4709178307.8805857</v>
      </c>
      <c r="E20" s="8">
        <f t="shared" si="8"/>
        <v>5032922285.439744</v>
      </c>
      <c r="F20" s="8">
        <f t="shared" si="8"/>
        <v>5421992893.62115</v>
      </c>
      <c r="G20" s="8">
        <f t="shared" si="8"/>
        <v>5821794469.6351452</v>
      </c>
      <c r="I20" s="4" t="s">
        <v>20</v>
      </c>
      <c r="J20" s="8">
        <v>4312539734.7129087</v>
      </c>
      <c r="K20" s="8">
        <v>4435332362.7959528</v>
      </c>
      <c r="L20" s="8">
        <v>4709178307.8805857</v>
      </c>
      <c r="M20" s="8">
        <v>5032922285.439744</v>
      </c>
      <c r="N20" s="8">
        <v>5421992893.62115</v>
      </c>
      <c r="O20" s="8">
        <v>5821794469.6351452</v>
      </c>
      <c r="R20" s="11"/>
      <c r="S20" s="31"/>
      <c r="T20" s="31"/>
      <c r="U20" s="31"/>
      <c r="V20" s="31"/>
      <c r="W20" s="31"/>
      <c r="X20" s="31"/>
      <c r="Y20" s="31"/>
    </row>
    <row r="21" spans="1:25" x14ac:dyDescent="0.3">
      <c r="A21" s="47"/>
      <c r="B21" s="48"/>
      <c r="C21" s="9"/>
      <c r="D21" s="9"/>
      <c r="E21" s="9"/>
      <c r="F21" s="9"/>
      <c r="G21" s="9"/>
      <c r="I21" s="47"/>
      <c r="J21" s="48"/>
      <c r="K21" s="9"/>
      <c r="L21" s="9"/>
      <c r="M21" s="9"/>
      <c r="N21" s="9"/>
      <c r="O21" s="9"/>
      <c r="R21" s="11"/>
      <c r="S21" s="31"/>
      <c r="T21" s="31"/>
      <c r="U21" s="31"/>
      <c r="V21" s="31"/>
      <c r="W21" s="31"/>
      <c r="X21" s="31"/>
      <c r="Y21" s="31"/>
    </row>
    <row r="22" spans="1:25" x14ac:dyDescent="0.3">
      <c r="C22" s="9"/>
      <c r="D22" s="9"/>
      <c r="E22" s="9"/>
      <c r="F22" s="9"/>
      <c r="G22" s="9"/>
      <c r="K22" s="9"/>
      <c r="L22" s="9"/>
      <c r="M22" s="9"/>
      <c r="N22" s="9"/>
      <c r="O22" s="9"/>
      <c r="R22" s="10"/>
      <c r="S22" s="32"/>
      <c r="T22" s="32"/>
      <c r="U22" s="32"/>
      <c r="V22" s="32"/>
      <c r="W22" s="32"/>
      <c r="X22" s="32"/>
      <c r="Y22" s="32"/>
    </row>
    <row r="27" spans="1:25" x14ac:dyDescent="0.3">
      <c r="A27" s="75" t="s">
        <v>66</v>
      </c>
      <c r="B27" s="49" t="s">
        <v>75</v>
      </c>
      <c r="C27" s="77" t="s">
        <v>9</v>
      </c>
      <c r="D27" s="77"/>
      <c r="E27" s="77"/>
      <c r="F27" s="77"/>
      <c r="G27" s="77"/>
      <c r="I27" s="75" t="s">
        <v>66</v>
      </c>
      <c r="J27" s="49" t="s">
        <v>75</v>
      </c>
      <c r="K27" s="77" t="s">
        <v>9</v>
      </c>
      <c r="L27" s="77"/>
      <c r="M27" s="77"/>
      <c r="N27" s="77"/>
      <c r="O27" s="77"/>
    </row>
    <row r="28" spans="1:25" x14ac:dyDescent="0.3">
      <c r="A28" s="75"/>
      <c r="B28" s="50">
        <v>2026</v>
      </c>
      <c r="C28" s="3">
        <v>2027</v>
      </c>
      <c r="D28" s="3">
        <v>2028</v>
      </c>
      <c r="E28" s="3">
        <v>2029</v>
      </c>
      <c r="F28" s="3">
        <v>2030</v>
      </c>
      <c r="G28" s="3">
        <v>2031</v>
      </c>
      <c r="I28" s="75"/>
      <c r="J28" s="50">
        <v>2026</v>
      </c>
      <c r="K28" s="3">
        <v>2027</v>
      </c>
      <c r="L28" s="3">
        <v>2028</v>
      </c>
      <c r="M28" s="3">
        <v>2029</v>
      </c>
      <c r="N28" s="3">
        <v>2030</v>
      </c>
      <c r="O28" s="3">
        <v>2031</v>
      </c>
    </row>
    <row r="29" spans="1:25" x14ac:dyDescent="0.3">
      <c r="A29" s="4" t="s">
        <v>10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I29" s="4" t="s">
        <v>10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25" x14ac:dyDescent="0.3">
      <c r="A30" s="4" t="s">
        <v>11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I30" s="4" t="s">
        <v>11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</row>
    <row r="31" spans="1:25" x14ac:dyDescent="0.3">
      <c r="A31" s="6" t="s">
        <v>12</v>
      </c>
      <c r="B31" s="7">
        <f t="shared" ref="B31:G31" si="9">AVERAGE(B29:B30)</f>
        <v>0</v>
      </c>
      <c r="C31" s="7">
        <f t="shared" si="9"/>
        <v>0</v>
      </c>
      <c r="D31" s="7">
        <f t="shared" si="9"/>
        <v>0</v>
      </c>
      <c r="E31" s="7">
        <f t="shared" si="9"/>
        <v>0</v>
      </c>
      <c r="F31" s="7">
        <f t="shared" si="9"/>
        <v>0</v>
      </c>
      <c r="G31" s="7">
        <f t="shared" si="9"/>
        <v>0</v>
      </c>
      <c r="I31" s="6" t="s">
        <v>12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</row>
    <row r="32" spans="1:25" x14ac:dyDescent="0.3">
      <c r="A32" s="4" t="s">
        <v>13</v>
      </c>
      <c r="B32" s="5">
        <v>0</v>
      </c>
      <c r="C32" s="71">
        <v>0</v>
      </c>
      <c r="D32" s="5">
        <f>C33</f>
        <v>8608821.3208846375</v>
      </c>
      <c r="E32" s="5">
        <f t="shared" ref="E32:G32" si="10">D33</f>
        <v>16201724.65935717</v>
      </c>
      <c r="F32" s="5">
        <f t="shared" si="10"/>
        <v>20611508.745401084</v>
      </c>
      <c r="G32" s="5">
        <f t="shared" si="10"/>
        <v>23349211.578937486</v>
      </c>
      <c r="I32" s="4" t="s">
        <v>13</v>
      </c>
      <c r="J32" s="5">
        <v>0</v>
      </c>
      <c r="K32" s="5">
        <v>-15305226.704753345</v>
      </c>
      <c r="L32" s="5">
        <v>8608821.3208846375</v>
      </c>
      <c r="M32" s="5">
        <v>16201724.65935717</v>
      </c>
      <c r="N32" s="5">
        <v>20611508.745401084</v>
      </c>
      <c r="O32" s="5">
        <v>23349211.578937486</v>
      </c>
    </row>
    <row r="33" spans="1:15" x14ac:dyDescent="0.3">
      <c r="A33" s="4" t="s">
        <v>14</v>
      </c>
      <c r="B33" s="5">
        <v>0</v>
      </c>
      <c r="C33" s="5">
        <f>-'Depreciation Impact'!B11</f>
        <v>8608821.3208846375</v>
      </c>
      <c r="D33" s="5">
        <f>-'Depreciation Impact'!C11+D32</f>
        <v>16201724.65935717</v>
      </c>
      <c r="E33" s="5">
        <f>-'Depreciation Impact'!D11+E32</f>
        <v>20611508.745401084</v>
      </c>
      <c r="F33" s="5">
        <f>-'Depreciation Impact'!E11+F32</f>
        <v>23349211.578937486</v>
      </c>
      <c r="G33" s="5">
        <f>-'Depreciation Impact'!F11+G32</f>
        <v>25205240.623973601</v>
      </c>
      <c r="I33" s="4" t="s">
        <v>14</v>
      </c>
      <c r="J33" s="5">
        <v>0</v>
      </c>
      <c r="K33" s="5">
        <v>8608821.3208846375</v>
      </c>
      <c r="L33" s="5">
        <v>16201724.65935717</v>
      </c>
      <c r="M33" s="5">
        <v>20611508.745401084</v>
      </c>
      <c r="N33" s="5">
        <v>23349211.578937486</v>
      </c>
      <c r="O33" s="5">
        <v>25205240.623973601</v>
      </c>
    </row>
    <row r="34" spans="1:15" x14ac:dyDescent="0.3">
      <c r="A34" s="6" t="s">
        <v>15</v>
      </c>
      <c r="B34" s="7">
        <f t="shared" ref="B34:G34" si="11">AVERAGE(B33:B33)</f>
        <v>0</v>
      </c>
      <c r="C34" s="72">
        <f>AVERAGE(C32:C33)</f>
        <v>4304410.6604423188</v>
      </c>
      <c r="D34" s="7">
        <f t="shared" si="11"/>
        <v>16201724.65935717</v>
      </c>
      <c r="E34" s="7">
        <f t="shared" si="11"/>
        <v>20611508.745401084</v>
      </c>
      <c r="F34" s="7">
        <f t="shared" si="11"/>
        <v>23349211.578937486</v>
      </c>
      <c r="G34" s="7">
        <f t="shared" si="11"/>
        <v>25205240.623973601</v>
      </c>
      <c r="I34" s="6" t="s">
        <v>15</v>
      </c>
      <c r="J34" s="7">
        <v>0</v>
      </c>
      <c r="K34" s="7">
        <v>8608821.3208846375</v>
      </c>
      <c r="L34" s="7">
        <v>16201724.65935717</v>
      </c>
      <c r="M34" s="7">
        <v>20611508.745401084</v>
      </c>
      <c r="N34" s="7">
        <v>23349211.578937486</v>
      </c>
      <c r="O34" s="7">
        <v>25205240.623973601</v>
      </c>
    </row>
    <row r="35" spans="1:15" x14ac:dyDescent="0.3">
      <c r="A35" s="4" t="s">
        <v>16</v>
      </c>
      <c r="B35" s="5">
        <f t="shared" ref="B35" si="12">+B29+B32</f>
        <v>0</v>
      </c>
      <c r="C35" s="71">
        <f t="shared" ref="C35:G36" si="13">+C29+C32</f>
        <v>0</v>
      </c>
      <c r="D35" s="5">
        <f t="shared" ref="D35:G35" si="14">+C36</f>
        <v>8608821.3208846375</v>
      </c>
      <c r="E35" s="5">
        <f t="shared" si="14"/>
        <v>16201724.65935717</v>
      </c>
      <c r="F35" s="5">
        <f t="shared" si="14"/>
        <v>20611508.745401084</v>
      </c>
      <c r="G35" s="5">
        <f t="shared" si="14"/>
        <v>23349211.578937486</v>
      </c>
      <c r="I35" s="4" t="s">
        <v>16</v>
      </c>
      <c r="J35" s="5">
        <v>0</v>
      </c>
      <c r="K35" s="5">
        <v>-15305226.704753345</v>
      </c>
      <c r="L35" s="5">
        <v>8608821.3208846375</v>
      </c>
      <c r="M35" s="5">
        <v>16201724.65935717</v>
      </c>
      <c r="N35" s="5">
        <v>20611508.745401084</v>
      </c>
      <c r="O35" s="5">
        <v>23349211.578937486</v>
      </c>
    </row>
    <row r="36" spans="1:15" x14ac:dyDescent="0.3">
      <c r="A36" s="4" t="s">
        <v>17</v>
      </c>
      <c r="B36" s="5">
        <f t="shared" ref="B36" si="15">+B30+B33</f>
        <v>0</v>
      </c>
      <c r="C36" s="5">
        <f t="shared" si="13"/>
        <v>8608821.3208846375</v>
      </c>
      <c r="D36" s="5">
        <f t="shared" si="13"/>
        <v>16201724.65935717</v>
      </c>
      <c r="E36" s="5">
        <f t="shared" si="13"/>
        <v>20611508.745401084</v>
      </c>
      <c r="F36" s="5">
        <f t="shared" si="13"/>
        <v>23349211.578937486</v>
      </c>
      <c r="G36" s="41">
        <f t="shared" si="13"/>
        <v>25205240.623973601</v>
      </c>
      <c r="I36" s="4" t="s">
        <v>17</v>
      </c>
      <c r="J36" s="5">
        <v>0</v>
      </c>
      <c r="K36" s="5">
        <v>8608821.3208846375</v>
      </c>
      <c r="L36" s="5">
        <v>16201724.65935717</v>
      </c>
      <c r="M36" s="5">
        <v>20611508.745401084</v>
      </c>
      <c r="N36" s="5">
        <v>23349211.578937486</v>
      </c>
      <c r="O36" s="41">
        <v>25205240.623973601</v>
      </c>
    </row>
    <row r="37" spans="1:15" x14ac:dyDescent="0.3">
      <c r="A37" s="6" t="s">
        <v>18</v>
      </c>
      <c r="B37" s="7">
        <f t="shared" ref="B37" si="16">AVERAGE(B35:B36)</f>
        <v>0</v>
      </c>
      <c r="C37" s="72">
        <f>AVERAGE(C35:C36)</f>
        <v>4304410.6604423188</v>
      </c>
      <c r="D37" s="7">
        <f t="shared" ref="D37:G37" si="17">AVERAGE(D35:D36)</f>
        <v>12405272.990120903</v>
      </c>
      <c r="E37" s="7">
        <f t="shared" si="17"/>
        <v>18406616.702379126</v>
      </c>
      <c r="F37" s="7">
        <f t="shared" si="17"/>
        <v>21980360.162169285</v>
      </c>
      <c r="G37" s="7">
        <f t="shared" si="17"/>
        <v>24277226.101455543</v>
      </c>
      <c r="I37" s="6" t="s">
        <v>18</v>
      </c>
      <c r="J37" s="7">
        <v>0</v>
      </c>
      <c r="K37" s="7">
        <v>-3348202.6919343537</v>
      </c>
      <c r="L37" s="7">
        <v>12405272.990120903</v>
      </c>
      <c r="M37" s="7">
        <v>18406616.702379126</v>
      </c>
      <c r="N37" s="7">
        <v>21980360.162169285</v>
      </c>
      <c r="O37" s="7">
        <v>24277226.101455543</v>
      </c>
    </row>
    <row r="38" spans="1:15" x14ac:dyDescent="0.3">
      <c r="A38" s="4" t="s">
        <v>19</v>
      </c>
      <c r="B38" s="4"/>
      <c r="C38" s="5">
        <v>0</v>
      </c>
      <c r="D38" s="5">
        <v>0</v>
      </c>
      <c r="E38" s="5">
        <v>0</v>
      </c>
      <c r="F38" s="5">
        <v>0</v>
      </c>
      <c r="G38" s="5">
        <v>0</v>
      </c>
      <c r="I38" s="4" t="s">
        <v>19</v>
      </c>
      <c r="J38" s="4"/>
      <c r="K38" s="5">
        <v>0</v>
      </c>
      <c r="L38" s="5">
        <v>0</v>
      </c>
      <c r="M38" s="5">
        <v>0</v>
      </c>
      <c r="N38" s="5">
        <v>0</v>
      </c>
      <c r="O38" s="5">
        <v>0</v>
      </c>
    </row>
    <row r="39" spans="1:15" x14ac:dyDescent="0.3">
      <c r="A39" s="6" t="s">
        <v>20</v>
      </c>
      <c r="B39" s="8">
        <f t="shared" ref="B39:G39" si="18">SUM(B37:B38)</f>
        <v>0</v>
      </c>
      <c r="C39" s="73">
        <f t="shared" si="18"/>
        <v>4304410.6604423188</v>
      </c>
      <c r="D39" s="8">
        <f t="shared" si="18"/>
        <v>12405272.990120903</v>
      </c>
      <c r="E39" s="8">
        <f t="shared" si="18"/>
        <v>18406616.702379126</v>
      </c>
      <c r="F39" s="8">
        <f t="shared" si="18"/>
        <v>21980360.162169285</v>
      </c>
      <c r="G39" s="8">
        <f t="shared" si="18"/>
        <v>24277226.101455543</v>
      </c>
      <c r="I39" s="6" t="s">
        <v>20</v>
      </c>
      <c r="J39" s="8">
        <v>0</v>
      </c>
      <c r="K39" s="8">
        <v>-3348202.6919343537</v>
      </c>
      <c r="L39" s="8">
        <v>12405272.990120903</v>
      </c>
      <c r="M39" s="8">
        <v>18406616.702379126</v>
      </c>
      <c r="N39" s="8">
        <v>21980360.162169285</v>
      </c>
      <c r="O39" s="8">
        <v>24277226.101455543</v>
      </c>
    </row>
    <row r="40" spans="1:15" x14ac:dyDescent="0.3">
      <c r="C40" s="9"/>
      <c r="D40" s="9"/>
      <c r="E40" s="9"/>
      <c r="F40" s="9"/>
      <c r="G40" s="9"/>
      <c r="K40" s="9"/>
      <c r="L40" s="9"/>
      <c r="M40" s="9"/>
      <c r="N40" s="9"/>
      <c r="O40" s="9"/>
    </row>
    <row r="42" spans="1:15" x14ac:dyDescent="0.3">
      <c r="A42" s="75" t="s">
        <v>40</v>
      </c>
      <c r="B42" s="49" t="s">
        <v>75</v>
      </c>
      <c r="C42" s="78" t="s">
        <v>9</v>
      </c>
      <c r="D42" s="78"/>
      <c r="E42" s="78"/>
      <c r="F42" s="78"/>
      <c r="G42" s="78"/>
      <c r="I42" s="75" t="s">
        <v>40</v>
      </c>
      <c r="J42" s="49" t="s">
        <v>75</v>
      </c>
      <c r="K42" s="78" t="s">
        <v>9</v>
      </c>
      <c r="L42" s="78"/>
      <c r="M42" s="78"/>
      <c r="N42" s="78"/>
      <c r="O42" s="78"/>
    </row>
    <row r="43" spans="1:15" x14ac:dyDescent="0.3">
      <c r="A43" s="75"/>
      <c r="B43" s="50">
        <v>2026</v>
      </c>
      <c r="C43" s="3">
        <v>2027</v>
      </c>
      <c r="D43" s="3">
        <v>2028</v>
      </c>
      <c r="E43" s="3">
        <v>2029</v>
      </c>
      <c r="F43" s="3">
        <v>2030</v>
      </c>
      <c r="G43" s="3">
        <v>2031</v>
      </c>
      <c r="I43" s="75"/>
      <c r="J43" s="50">
        <v>2026</v>
      </c>
      <c r="K43" s="3">
        <v>2027</v>
      </c>
      <c r="L43" s="3">
        <v>2028</v>
      </c>
      <c r="M43" s="3">
        <v>2029</v>
      </c>
      <c r="N43" s="3">
        <v>2030</v>
      </c>
      <c r="O43" s="3">
        <v>2031</v>
      </c>
    </row>
    <row r="44" spans="1:15" x14ac:dyDescent="0.3">
      <c r="A44" s="4" t="s">
        <v>10</v>
      </c>
      <c r="B44" s="5">
        <f t="shared" ref="B44" si="19">B10+B29</f>
        <v>5224844482.8073816</v>
      </c>
      <c r="C44" s="5">
        <f t="shared" ref="C44:G45" si="20">C10+C29</f>
        <v>5544560210.5219059</v>
      </c>
      <c r="D44" s="5">
        <f t="shared" ref="D44:G44" si="21">D10+D29</f>
        <v>5988283708.075923</v>
      </c>
      <c r="E44" s="5">
        <f t="shared" si="21"/>
        <v>6456301358.3083267</v>
      </c>
      <c r="F44" s="5">
        <f t="shared" si="21"/>
        <v>7027713010.2219963</v>
      </c>
      <c r="G44" s="5">
        <f t="shared" si="21"/>
        <v>7651135351.8757534</v>
      </c>
      <c r="I44" s="4" t="s">
        <v>10</v>
      </c>
      <c r="J44" s="5">
        <v>5224844482.8073816</v>
      </c>
      <c r="K44" s="5">
        <v>5544560210.5219059</v>
      </c>
      <c r="L44" s="5">
        <v>5988283708.075923</v>
      </c>
      <c r="M44" s="5">
        <v>6456301358.3083267</v>
      </c>
      <c r="N44" s="5">
        <v>7027713010.2219963</v>
      </c>
      <c r="O44" s="5">
        <v>7651135351.8757534</v>
      </c>
    </row>
    <row r="45" spans="1:15" x14ac:dyDescent="0.3">
      <c r="A45" s="4" t="s">
        <v>11</v>
      </c>
      <c r="B45" s="5">
        <f t="shared" ref="B45" si="22">B11+B30</f>
        <v>5544560210.5219059</v>
      </c>
      <c r="C45" s="5">
        <f t="shared" si="20"/>
        <v>5988283708.075923</v>
      </c>
      <c r="D45" s="5">
        <f t="shared" si="20"/>
        <v>6456301358.3083267</v>
      </c>
      <c r="E45" s="5">
        <f t="shared" si="20"/>
        <v>7027713010.2219963</v>
      </c>
      <c r="F45" s="5">
        <f t="shared" si="20"/>
        <v>7651135351.8757534</v>
      </c>
      <c r="G45" s="5">
        <f t="shared" si="20"/>
        <v>8273331487.4113846</v>
      </c>
      <c r="I45" s="4" t="s">
        <v>11</v>
      </c>
      <c r="J45" s="5">
        <v>5544560210.5219059</v>
      </c>
      <c r="K45" s="5">
        <v>5988283708.075923</v>
      </c>
      <c r="L45" s="5">
        <v>6456301358.3083267</v>
      </c>
      <c r="M45" s="5">
        <v>7027713010.2219963</v>
      </c>
      <c r="N45" s="5">
        <v>7651135351.8757534</v>
      </c>
      <c r="O45" s="5">
        <v>8273331487.4113846</v>
      </c>
    </row>
    <row r="46" spans="1:15" x14ac:dyDescent="0.3">
      <c r="A46" s="6" t="s">
        <v>12</v>
      </c>
      <c r="B46" s="7">
        <f>AVERAGE(B44:B45)</f>
        <v>5384702346.6646442</v>
      </c>
      <c r="C46" s="7">
        <f t="shared" ref="C46:G46" si="23">AVERAGE(C44:C45)</f>
        <v>5766421959.298914</v>
      </c>
      <c r="D46" s="7">
        <f t="shared" si="23"/>
        <v>6222292533.1921253</v>
      </c>
      <c r="E46" s="7">
        <f t="shared" si="23"/>
        <v>6742007184.2651615</v>
      </c>
      <c r="F46" s="7">
        <f t="shared" si="23"/>
        <v>7339424181.0488749</v>
      </c>
      <c r="G46" s="7">
        <f t="shared" si="23"/>
        <v>7962233419.643569</v>
      </c>
      <c r="I46" s="6" t="s">
        <v>12</v>
      </c>
      <c r="J46" s="7">
        <v>5384702346.6646442</v>
      </c>
      <c r="K46" s="7">
        <v>5766421959.298914</v>
      </c>
      <c r="L46" s="7">
        <v>6222292533.1921253</v>
      </c>
      <c r="M46" s="7">
        <v>6742007184.2651615</v>
      </c>
      <c r="N46" s="7">
        <v>7339424181.0488749</v>
      </c>
      <c r="O46" s="7">
        <v>7962233419.643569</v>
      </c>
    </row>
    <row r="47" spans="1:15" x14ac:dyDescent="0.3">
      <c r="A47" s="4" t="s">
        <v>13</v>
      </c>
      <c r="B47" s="5">
        <f t="shared" ref="B47" si="24">B13+B32</f>
        <v>-1377627337.7369416</v>
      </c>
      <c r="C47" s="71">
        <f>C13+C32</f>
        <v>-1539605133.6495221</v>
      </c>
      <c r="D47" s="5">
        <f t="shared" ref="C47:G48" si="25">D13+D32</f>
        <v>-1723949069.1815224</v>
      </c>
      <c r="E47" s="5">
        <f t="shared" si="25"/>
        <v>-1916766996.6677125</v>
      </c>
      <c r="F47" s="5">
        <f t="shared" si="25"/>
        <v>-2127379207.0353339</v>
      </c>
      <c r="G47" s="5">
        <f t="shared" si="25"/>
        <v>-2355713324.3184485</v>
      </c>
      <c r="I47" s="4" t="s">
        <v>13</v>
      </c>
      <c r="J47" s="5">
        <v>-1377627337.7369416</v>
      </c>
      <c r="K47" s="5">
        <v>-1554910360.3542755</v>
      </c>
      <c r="L47" s="5">
        <v>-1723949069.1815224</v>
      </c>
      <c r="M47" s="5">
        <v>-1916766996.6677125</v>
      </c>
      <c r="N47" s="5">
        <v>-2127379207.0353339</v>
      </c>
      <c r="O47" s="5">
        <v>-2355713324.3184485</v>
      </c>
    </row>
    <row r="48" spans="1:15" x14ac:dyDescent="0.3">
      <c r="A48" s="4" t="s">
        <v>14</v>
      </c>
      <c r="B48" s="5">
        <f t="shared" ref="B48" si="26">B14+B33</f>
        <v>-1539605133.6495221</v>
      </c>
      <c r="C48" s="5">
        <f t="shared" si="25"/>
        <v>-1723949069.1815224</v>
      </c>
      <c r="D48" s="5">
        <f t="shared" si="25"/>
        <v>-1916766996.6677125</v>
      </c>
      <c r="E48" s="5">
        <f t="shared" si="25"/>
        <v>-2127379207.0353339</v>
      </c>
      <c r="F48" s="5">
        <f t="shared" si="25"/>
        <v>-2355713324.3184485</v>
      </c>
      <c r="G48" s="5">
        <f t="shared" si="25"/>
        <v>-2598946641.7953129</v>
      </c>
      <c r="I48" s="4" t="s">
        <v>14</v>
      </c>
      <c r="J48" s="5">
        <v>-1539605133.6495221</v>
      </c>
      <c r="K48" s="5">
        <v>-1723949069.1815224</v>
      </c>
      <c r="L48" s="5">
        <v>-1916766996.6677125</v>
      </c>
      <c r="M48" s="5">
        <v>-2127379207.0353339</v>
      </c>
      <c r="N48" s="5">
        <v>-2355713324.3184485</v>
      </c>
      <c r="O48" s="5">
        <v>-2598946641.7953129</v>
      </c>
    </row>
    <row r="49" spans="1:25" x14ac:dyDescent="0.3">
      <c r="A49" s="6" t="s">
        <v>15</v>
      </c>
      <c r="B49" s="7">
        <f t="shared" ref="B49" si="27">AVERAGE(B47:B48)</f>
        <v>-1458616235.6932318</v>
      </c>
      <c r="C49" s="72">
        <f t="shared" ref="C49:G49" si="28">AVERAGE(C47:C48)</f>
        <v>-1631777101.4155221</v>
      </c>
      <c r="D49" s="7">
        <f t="shared" si="28"/>
        <v>-1820358032.9246173</v>
      </c>
      <c r="E49" s="7">
        <f t="shared" si="28"/>
        <v>-2022073101.8515232</v>
      </c>
      <c r="F49" s="7">
        <f t="shared" si="28"/>
        <v>-2241546265.6768913</v>
      </c>
      <c r="G49" s="7">
        <f t="shared" si="28"/>
        <v>-2477329983.056881</v>
      </c>
      <c r="I49" s="6" t="s">
        <v>15</v>
      </c>
      <c r="J49" s="7">
        <v>-1458616235.6932318</v>
      </c>
      <c r="K49" s="7">
        <v>-1639429714.767899</v>
      </c>
      <c r="L49" s="7">
        <v>-1820358032.9246173</v>
      </c>
      <c r="M49" s="7">
        <v>-2022073101.8515232</v>
      </c>
      <c r="N49" s="7">
        <v>-2241546265.6768913</v>
      </c>
      <c r="O49" s="7">
        <v>-2477329983.056881</v>
      </c>
    </row>
    <row r="50" spans="1:25" x14ac:dyDescent="0.3">
      <c r="A50" s="4" t="s">
        <v>16</v>
      </c>
      <c r="B50" s="5">
        <f>+B44+B47</f>
        <v>3847217145.0704403</v>
      </c>
      <c r="C50" s="71">
        <f t="shared" ref="C50:G51" si="29">+C44+C47</f>
        <v>4004955076.8723841</v>
      </c>
      <c r="D50" s="5">
        <f t="shared" ref="D50" si="30">+C51</f>
        <v>4264334638.8944006</v>
      </c>
      <c r="E50" s="5">
        <f t="shared" ref="E50" si="31">+D51</f>
        <v>4539534361.6406145</v>
      </c>
      <c r="F50" s="5">
        <f t="shared" ref="F50" si="32">+E51</f>
        <v>4900333803.1866627</v>
      </c>
      <c r="G50" s="5">
        <f t="shared" ref="G50" si="33">+F51</f>
        <v>5295422027.5573044</v>
      </c>
      <c r="I50" s="4" t="s">
        <v>16</v>
      </c>
      <c r="J50" s="5">
        <v>3847217145.0704403</v>
      </c>
      <c r="K50" s="5">
        <v>3989649850.1676302</v>
      </c>
      <c r="L50" s="5">
        <v>4264334638.8944006</v>
      </c>
      <c r="M50" s="5">
        <v>4539534361.6406145</v>
      </c>
      <c r="N50" s="5">
        <v>4900333803.1866627</v>
      </c>
      <c r="O50" s="5">
        <v>5295422027.5573044</v>
      </c>
    </row>
    <row r="51" spans="1:25" x14ac:dyDescent="0.3">
      <c r="A51" s="4" t="s">
        <v>17</v>
      </c>
      <c r="B51" s="5">
        <f t="shared" ref="B51" si="34">+B45+B48</f>
        <v>4004955076.8723841</v>
      </c>
      <c r="C51" s="5">
        <f t="shared" si="29"/>
        <v>4264334638.8944006</v>
      </c>
      <c r="D51" s="5">
        <f t="shared" si="29"/>
        <v>4539534361.6406145</v>
      </c>
      <c r="E51" s="5">
        <f t="shared" si="29"/>
        <v>4900333803.1866627</v>
      </c>
      <c r="F51" s="5">
        <f t="shared" si="29"/>
        <v>5295422027.5573044</v>
      </c>
      <c r="G51" s="5">
        <f t="shared" si="29"/>
        <v>5674384845.6160717</v>
      </c>
      <c r="I51" s="4" t="s">
        <v>17</v>
      </c>
      <c r="J51" s="5">
        <v>4004955076.8723841</v>
      </c>
      <c r="K51" s="5">
        <v>4264334638.8944006</v>
      </c>
      <c r="L51" s="5">
        <v>4539534361.6406145</v>
      </c>
      <c r="M51" s="5">
        <v>4900333803.1866627</v>
      </c>
      <c r="N51" s="5">
        <v>5295422027.5573044</v>
      </c>
      <c r="O51" s="5">
        <v>5674384845.6160717</v>
      </c>
    </row>
    <row r="52" spans="1:25" x14ac:dyDescent="0.3">
      <c r="A52" s="6" t="s">
        <v>18</v>
      </c>
      <c r="B52" s="7">
        <f t="shared" ref="B52" si="35">AVERAGE(B50:B51)</f>
        <v>3926086110.9714122</v>
      </c>
      <c r="C52" s="72">
        <f t="shared" ref="C52:G52" si="36">AVERAGE(C50:C51)</f>
        <v>4134644857.8833923</v>
      </c>
      <c r="D52" s="7">
        <f t="shared" si="36"/>
        <v>4401934500.2675076</v>
      </c>
      <c r="E52" s="7">
        <f t="shared" si="36"/>
        <v>4719934082.4136391</v>
      </c>
      <c r="F52" s="7">
        <f t="shared" si="36"/>
        <v>5097877915.3719835</v>
      </c>
      <c r="G52" s="7">
        <f t="shared" si="36"/>
        <v>5484903436.586688</v>
      </c>
      <c r="I52" s="6" t="s">
        <v>18</v>
      </c>
      <c r="J52" s="7">
        <v>3926086110.9714122</v>
      </c>
      <c r="K52" s="7">
        <v>4126992244.5310154</v>
      </c>
      <c r="L52" s="7">
        <v>4401934500.2675076</v>
      </c>
      <c r="M52" s="7">
        <v>4719934082.4136391</v>
      </c>
      <c r="N52" s="7">
        <v>5097877915.3719835</v>
      </c>
      <c r="O52" s="7">
        <v>5484903436.586688</v>
      </c>
    </row>
    <row r="53" spans="1:25" x14ac:dyDescent="0.3">
      <c r="A53" s="4" t="s">
        <v>19</v>
      </c>
      <c r="B53" s="5">
        <f t="shared" ref="B53:G53" si="37">B19+B38</f>
        <v>386453623.74149698</v>
      </c>
      <c r="C53" s="5">
        <f t="shared" si="37"/>
        <v>304991915.57300299</v>
      </c>
      <c r="D53" s="5">
        <f t="shared" si="37"/>
        <v>319649080.60319901</v>
      </c>
      <c r="E53" s="5">
        <f t="shared" si="37"/>
        <v>331394819.72848397</v>
      </c>
      <c r="F53" s="5">
        <f t="shared" si="37"/>
        <v>346095338.411336</v>
      </c>
      <c r="G53" s="5">
        <f t="shared" si="37"/>
        <v>361168259.14991301</v>
      </c>
      <c r="I53" s="4" t="s">
        <v>19</v>
      </c>
      <c r="J53" s="5">
        <v>386453623.74149698</v>
      </c>
      <c r="K53" s="5">
        <v>304991915.57300299</v>
      </c>
      <c r="L53" s="5">
        <v>319649080.60319901</v>
      </c>
      <c r="M53" s="5">
        <v>331394819.72848397</v>
      </c>
      <c r="N53" s="5">
        <v>346095338.411336</v>
      </c>
      <c r="O53" s="5">
        <v>361168259.14991301</v>
      </c>
      <c r="R53" s="10"/>
      <c r="S53" s="32"/>
      <c r="T53" s="32"/>
      <c r="U53" s="32"/>
      <c r="V53" s="32"/>
      <c r="W53" s="32"/>
      <c r="X53" s="32"/>
      <c r="Y53" s="32"/>
    </row>
    <row r="54" spans="1:25" x14ac:dyDescent="0.3">
      <c r="A54" s="4" t="s">
        <v>20</v>
      </c>
      <c r="B54" s="8">
        <f>SUM(B52:B53)</f>
        <v>4312539734.7129087</v>
      </c>
      <c r="C54" s="73">
        <f>SUM(C52:C53)</f>
        <v>4439636773.4563951</v>
      </c>
      <c r="D54" s="8">
        <f t="shared" ref="D54:G54" si="38">SUM(D52:D53)</f>
        <v>4721583580.8707066</v>
      </c>
      <c r="E54" s="8">
        <f t="shared" si="38"/>
        <v>5051328902.1421232</v>
      </c>
      <c r="F54" s="8">
        <f t="shared" si="38"/>
        <v>5443973253.7833195</v>
      </c>
      <c r="G54" s="8">
        <f t="shared" si="38"/>
        <v>5846071695.7366009</v>
      </c>
      <c r="I54" s="4" t="s">
        <v>20</v>
      </c>
      <c r="J54" s="8">
        <v>4312539734.7129087</v>
      </c>
      <c r="K54" s="8">
        <v>4431984160.1040182</v>
      </c>
      <c r="L54" s="8">
        <v>4721583580.8707066</v>
      </c>
      <c r="M54" s="8">
        <v>5051328902.1421232</v>
      </c>
      <c r="N54" s="8">
        <v>5443973253.7833195</v>
      </c>
      <c r="O54" s="8">
        <v>5846071695.7366009</v>
      </c>
      <c r="R54" s="11"/>
      <c r="S54" s="31"/>
      <c r="T54" s="31"/>
      <c r="U54" s="31"/>
      <c r="V54" s="31"/>
      <c r="W54" s="31"/>
      <c r="X54" s="31"/>
      <c r="Y54" s="31"/>
    </row>
    <row r="55" spans="1:25" x14ac:dyDescent="0.3">
      <c r="C55" s="9"/>
      <c r="D55" s="9"/>
      <c r="E55" s="9"/>
      <c r="F55" s="9"/>
      <c r="G55" s="9"/>
      <c r="K55" s="9"/>
      <c r="L55" s="9"/>
      <c r="M55" s="9"/>
      <c r="N55" s="9"/>
      <c r="O55" s="9"/>
      <c r="R55" s="11"/>
      <c r="S55" s="31"/>
      <c r="T55" s="31"/>
      <c r="U55" s="31"/>
      <c r="V55" s="31"/>
      <c r="W55" s="31"/>
      <c r="X55" s="31"/>
      <c r="Y55" s="31"/>
    </row>
    <row r="56" spans="1:25" x14ac:dyDescent="0.3">
      <c r="C56" s="9"/>
      <c r="D56" s="9"/>
      <c r="E56" s="9"/>
      <c r="F56" s="9"/>
      <c r="G56" s="9"/>
      <c r="K56" s="9"/>
      <c r="L56" s="9"/>
      <c r="M56" s="9"/>
      <c r="N56" s="9"/>
      <c r="O56" s="9"/>
      <c r="R56" s="10"/>
      <c r="S56" s="32"/>
      <c r="T56" s="32"/>
      <c r="U56" s="32"/>
      <c r="V56" s="32"/>
      <c r="W56" s="32"/>
      <c r="X56" s="32"/>
      <c r="Y56" s="32"/>
    </row>
  </sheetData>
  <mergeCells count="12">
    <mergeCell ref="A8:A9"/>
    <mergeCell ref="C8:G8"/>
    <mergeCell ref="A42:A43"/>
    <mergeCell ref="C42:G42"/>
    <mergeCell ref="A27:A28"/>
    <mergeCell ref="C27:G27"/>
    <mergeCell ref="I8:I9"/>
    <mergeCell ref="K8:O8"/>
    <mergeCell ref="I27:I28"/>
    <mergeCell ref="K27:O27"/>
    <mergeCell ref="I42:I43"/>
    <mergeCell ref="K42:O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591E-BC89-4728-AB42-64CD072F2D21}">
  <dimension ref="A1:Q39"/>
  <sheetViews>
    <sheetView topLeftCell="A4" workbookViewId="0">
      <selection activeCell="B34" sqref="B34"/>
    </sheetView>
  </sheetViews>
  <sheetFormatPr defaultColWidth="9.21875" defaultRowHeight="13.8" x14ac:dyDescent="0.25"/>
  <cols>
    <col min="1" max="1" width="45.77734375" style="11" customWidth="1"/>
    <col min="2" max="2" width="26.44140625" style="11" customWidth="1"/>
    <col min="3" max="7" width="12" style="11" bestFit="1" customWidth="1"/>
    <col min="8" max="8" width="13.21875" style="11" bestFit="1" customWidth="1"/>
    <col min="9" max="10" width="9.21875" style="11"/>
    <col min="11" max="11" width="32.21875" style="11" customWidth="1"/>
    <col min="12" max="12" width="11.5546875" style="11" bestFit="1" customWidth="1"/>
    <col min="13" max="16" width="12" style="11" bestFit="1" customWidth="1"/>
    <col min="17" max="17" width="12.77734375" style="11" bestFit="1" customWidth="1"/>
    <col min="18" max="16384" width="9.21875" style="11"/>
  </cols>
  <sheetData>
    <row r="1" spans="1:17" x14ac:dyDescent="0.25">
      <c r="A1" s="10" t="s">
        <v>21</v>
      </c>
    </row>
    <row r="2" spans="1:17" x14ac:dyDescent="0.25">
      <c r="A2" s="10" t="s">
        <v>7</v>
      </c>
    </row>
    <row r="3" spans="1:17" x14ac:dyDescent="0.25">
      <c r="A3" s="10" t="s">
        <v>22</v>
      </c>
    </row>
    <row r="4" spans="1:17" x14ac:dyDescent="0.25">
      <c r="A4" s="10" t="s">
        <v>23</v>
      </c>
    </row>
    <row r="5" spans="1:17" x14ac:dyDescent="0.25">
      <c r="A5" s="10" t="s">
        <v>1</v>
      </c>
    </row>
    <row r="7" spans="1:17" ht="14.4" x14ac:dyDescent="0.3">
      <c r="A7" s="61" t="s">
        <v>76</v>
      </c>
      <c r="B7"/>
      <c r="C7"/>
      <c r="D7"/>
      <c r="E7"/>
      <c r="F7"/>
      <c r="G7"/>
      <c r="H7"/>
      <c r="J7" s="62" t="s">
        <v>77</v>
      </c>
    </row>
    <row r="8" spans="1:17" x14ac:dyDescent="0.25">
      <c r="A8" s="10" t="s">
        <v>39</v>
      </c>
      <c r="J8" s="10" t="s">
        <v>39</v>
      </c>
    </row>
    <row r="9" spans="1:17" x14ac:dyDescent="0.25">
      <c r="C9" s="12">
        <v>2027</v>
      </c>
      <c r="D9" s="12">
        <v>2028</v>
      </c>
      <c r="E9" s="12">
        <v>2029</v>
      </c>
      <c r="F9" s="12">
        <v>2030</v>
      </c>
      <c r="G9" s="12">
        <v>2031</v>
      </c>
      <c r="H9" s="12" t="s">
        <v>6</v>
      </c>
      <c r="L9" s="12">
        <v>2027</v>
      </c>
      <c r="M9" s="12">
        <v>2028</v>
      </c>
      <c r="N9" s="12">
        <v>2029</v>
      </c>
      <c r="O9" s="12">
        <v>2030</v>
      </c>
      <c r="P9" s="12">
        <v>2031</v>
      </c>
      <c r="Q9" s="12" t="s">
        <v>6</v>
      </c>
    </row>
    <row r="10" spans="1:17" x14ac:dyDescent="0.25">
      <c r="A10" s="11" t="s">
        <v>35</v>
      </c>
      <c r="C10" s="68">
        <f>+C11+C31</f>
        <v>19352587.711071093</v>
      </c>
      <c r="D10" s="13">
        <f t="shared" ref="D10:H10" si="0">+D11+D31</f>
        <v>34999247.003281988</v>
      </c>
      <c r="E10" s="13">
        <f t="shared" si="0"/>
        <v>27650225.484689094</v>
      </c>
      <c r="F10" s="13">
        <f t="shared" si="0"/>
        <v>31061634.598432269</v>
      </c>
      <c r="G10" s="13">
        <f t="shared" si="0"/>
        <v>36631524.079391584</v>
      </c>
      <c r="H10" s="13">
        <f t="shared" si="0"/>
        <v>149695218.87686604</v>
      </c>
      <c r="J10" s="11" t="s">
        <v>35</v>
      </c>
      <c r="L10" s="13">
        <v>19253259.913272899</v>
      </c>
      <c r="M10" s="13">
        <v>34999247.003281988</v>
      </c>
      <c r="N10" s="13">
        <v>27650225.484689094</v>
      </c>
      <c r="O10" s="13">
        <v>31061634.598432269</v>
      </c>
      <c r="P10" s="13">
        <v>36631524.079391584</v>
      </c>
      <c r="Q10" s="13">
        <v>149595891.07906786</v>
      </c>
    </row>
    <row r="11" spans="1:17" x14ac:dyDescent="0.25">
      <c r="A11" s="11" t="s">
        <v>36</v>
      </c>
      <c r="C11" s="13">
        <v>22400578.965947025</v>
      </c>
      <c r="D11" s="13">
        <v>37575809.01739011</v>
      </c>
      <c r="E11" s="13">
        <v>29001237.266268604</v>
      </c>
      <c r="F11" s="13">
        <v>31763401.421479959</v>
      </c>
      <c r="G11" s="13">
        <v>36985596.133713603</v>
      </c>
      <c r="H11" s="13">
        <f>SUM(C11:G11)</f>
        <v>157726622.80479932</v>
      </c>
      <c r="J11" s="11" t="s">
        <v>36</v>
      </c>
      <c r="L11" s="13">
        <v>22400578.965947025</v>
      </c>
      <c r="M11" s="13">
        <v>37575809.01739011</v>
      </c>
      <c r="N11" s="13">
        <v>29001237.266268604</v>
      </c>
      <c r="O11" s="13">
        <v>31763401.421479959</v>
      </c>
      <c r="P11" s="13">
        <v>36985596.133713603</v>
      </c>
      <c r="Q11" s="13">
        <v>157726622.80479932</v>
      </c>
    </row>
    <row r="12" spans="1:17" ht="14.4" thickBot="1" x14ac:dyDescent="0.3">
      <c r="A12" s="11" t="s">
        <v>37</v>
      </c>
      <c r="C12" s="70">
        <f>+C10-C11</f>
        <v>-3047991.2548759319</v>
      </c>
      <c r="D12" s="16">
        <f t="shared" ref="D12:H12" si="1">+D10-D11</f>
        <v>-2576562.0141081214</v>
      </c>
      <c r="E12" s="16">
        <f t="shared" si="1"/>
        <v>-1351011.7815795094</v>
      </c>
      <c r="F12" s="16">
        <f t="shared" si="1"/>
        <v>-701766.82304769009</v>
      </c>
      <c r="G12" s="16">
        <f t="shared" si="1"/>
        <v>-354072.05432201922</v>
      </c>
      <c r="H12" s="16">
        <f t="shared" si="1"/>
        <v>-8031403.9279332757</v>
      </c>
      <c r="J12" s="11" t="s">
        <v>37</v>
      </c>
      <c r="L12" s="16">
        <v>-3147319.0526741259</v>
      </c>
      <c r="M12" s="16">
        <v>-2576562.0141081214</v>
      </c>
      <c r="N12" s="16">
        <v>-1351011.7815795094</v>
      </c>
      <c r="O12" s="16">
        <v>-701766.82304769009</v>
      </c>
      <c r="P12" s="16">
        <v>-354072.05432201922</v>
      </c>
      <c r="Q12" s="16">
        <v>-8130731.7257314622</v>
      </c>
    </row>
    <row r="13" spans="1:17" ht="14.4" thickTop="1" x14ac:dyDescent="0.25">
      <c r="C13" s="13"/>
      <c r="D13" s="13"/>
      <c r="E13" s="13"/>
      <c r="F13" s="13"/>
      <c r="G13" s="13"/>
      <c r="H13" s="13"/>
      <c r="L13" s="13"/>
      <c r="M13" s="13"/>
      <c r="N13" s="13"/>
      <c r="O13" s="13"/>
      <c r="P13" s="13"/>
      <c r="Q13" s="13"/>
    </row>
    <row r="14" spans="1:17" x14ac:dyDescent="0.25">
      <c r="C14" s="13"/>
      <c r="D14" s="13"/>
      <c r="E14" s="13"/>
      <c r="F14" s="13"/>
      <c r="G14" s="13"/>
      <c r="H14" s="13"/>
      <c r="L14" s="13"/>
      <c r="M14" s="13"/>
      <c r="N14" s="13"/>
      <c r="O14" s="13"/>
      <c r="P14" s="13"/>
      <c r="Q14" s="13"/>
    </row>
    <row r="15" spans="1:17" x14ac:dyDescent="0.25">
      <c r="C15" s="13"/>
      <c r="D15" s="13"/>
      <c r="E15" s="13"/>
      <c r="F15" s="13"/>
      <c r="G15" s="13"/>
      <c r="H15" s="13"/>
      <c r="L15" s="13"/>
      <c r="M15" s="13"/>
      <c r="N15" s="13"/>
      <c r="O15" s="13"/>
      <c r="P15" s="13"/>
      <c r="Q15" s="13"/>
    </row>
    <row r="16" spans="1:17" x14ac:dyDescent="0.25">
      <c r="A16" s="10" t="s">
        <v>38</v>
      </c>
      <c r="J16" s="10" t="s">
        <v>38</v>
      </c>
    </row>
    <row r="17" spans="1:17" x14ac:dyDescent="0.25">
      <c r="C17" s="12">
        <v>2027</v>
      </c>
      <c r="D17" s="12">
        <v>2028</v>
      </c>
      <c r="E17" s="12">
        <v>2029</v>
      </c>
      <c r="F17" s="12">
        <v>2030</v>
      </c>
      <c r="G17" s="12">
        <v>2031</v>
      </c>
      <c r="H17" s="12" t="s">
        <v>6</v>
      </c>
      <c r="L17" s="12">
        <v>2027</v>
      </c>
      <c r="M17" s="12">
        <v>2028</v>
      </c>
      <c r="N17" s="12">
        <v>2029</v>
      </c>
      <c r="O17" s="12">
        <v>2030</v>
      </c>
      <c r="P17" s="12">
        <v>2031</v>
      </c>
      <c r="Q17" s="12" t="s">
        <v>6</v>
      </c>
    </row>
    <row r="18" spans="1:17" x14ac:dyDescent="0.25">
      <c r="A18" s="11" t="s">
        <v>27</v>
      </c>
      <c r="C18" s="68">
        <f>'Rate Base'!C39</f>
        <v>4304410.6604423188</v>
      </c>
      <c r="D18" s="13">
        <f>'Rate Base'!D39</f>
        <v>12405272.990120903</v>
      </c>
      <c r="E18" s="13">
        <f>'Rate Base'!E39</f>
        <v>18406616.702379126</v>
      </c>
      <c r="F18" s="13">
        <f>'Rate Base'!F39</f>
        <v>21980360.162169285</v>
      </c>
      <c r="G18" s="13">
        <f>'Rate Base'!G39</f>
        <v>24277226.101455543</v>
      </c>
      <c r="H18" s="13">
        <f>SUM(C18:G18)</f>
        <v>81373886.61656718</v>
      </c>
      <c r="J18" s="11" t="s">
        <v>27</v>
      </c>
      <c r="L18" s="13">
        <v>-3348202.6919343537</v>
      </c>
      <c r="M18" s="13">
        <v>12405272.990120903</v>
      </c>
      <c r="N18" s="13">
        <v>18406616.702379126</v>
      </c>
      <c r="O18" s="13">
        <v>21980360.162169285</v>
      </c>
      <c r="P18" s="13">
        <v>24277226.101455543</v>
      </c>
      <c r="Q18" s="13">
        <v>73721273.264190495</v>
      </c>
    </row>
    <row r="19" spans="1:17" x14ac:dyDescent="0.25">
      <c r="A19" s="11" t="s">
        <v>25</v>
      </c>
      <c r="C19" s="14">
        <v>0.4</v>
      </c>
      <c r="D19" s="14">
        <v>0.4</v>
      </c>
      <c r="E19" s="14">
        <v>0.4</v>
      </c>
      <c r="F19" s="14">
        <v>0.4</v>
      </c>
      <c r="G19" s="14">
        <v>0.4</v>
      </c>
      <c r="H19" s="14">
        <v>0.4</v>
      </c>
      <c r="J19" s="11" t="s">
        <v>25</v>
      </c>
      <c r="L19" s="14">
        <v>0.4</v>
      </c>
      <c r="M19" s="14">
        <v>0.4</v>
      </c>
      <c r="N19" s="14">
        <v>0.4</v>
      </c>
      <c r="O19" s="14">
        <v>0.4</v>
      </c>
      <c r="P19" s="14">
        <v>0.4</v>
      </c>
      <c r="Q19" s="14">
        <v>0.4</v>
      </c>
    </row>
    <row r="20" spans="1:17" x14ac:dyDescent="0.25">
      <c r="A20" s="11" t="s">
        <v>26</v>
      </c>
      <c r="C20" s="14">
        <v>0.09</v>
      </c>
      <c r="D20" s="14">
        <v>0.09</v>
      </c>
      <c r="E20" s="14">
        <v>0.09</v>
      </c>
      <c r="F20" s="14">
        <v>0.09</v>
      </c>
      <c r="G20" s="14">
        <v>0.09</v>
      </c>
      <c r="H20" s="14">
        <v>0.09</v>
      </c>
      <c r="J20" s="11" t="s">
        <v>26</v>
      </c>
      <c r="L20" s="14">
        <v>0.09</v>
      </c>
      <c r="M20" s="14">
        <v>0.09</v>
      </c>
      <c r="N20" s="14">
        <v>0.09</v>
      </c>
      <c r="O20" s="14">
        <v>0.09</v>
      </c>
      <c r="P20" s="14">
        <v>0.09</v>
      </c>
      <c r="Q20" s="14">
        <v>0.09</v>
      </c>
    </row>
    <row r="21" spans="1:17" x14ac:dyDescent="0.25">
      <c r="A21" s="11" t="s">
        <v>28</v>
      </c>
      <c r="C21" s="69">
        <f t="shared" ref="C21:H21" si="2">+C18*C19*C20</f>
        <v>154958.78377592348</v>
      </c>
      <c r="D21" s="15">
        <f t="shared" si="2"/>
        <v>446589.82764435251</v>
      </c>
      <c r="E21" s="15">
        <f t="shared" si="2"/>
        <v>662638.20128564863</v>
      </c>
      <c r="F21" s="15">
        <f t="shared" si="2"/>
        <v>791292.96583809424</v>
      </c>
      <c r="G21" s="15">
        <f t="shared" si="2"/>
        <v>873980.13965239958</v>
      </c>
      <c r="H21" s="15">
        <f t="shared" si="2"/>
        <v>2929459.9181964188</v>
      </c>
      <c r="J21" s="11" t="s">
        <v>28</v>
      </c>
      <c r="L21" s="15">
        <v>-120535.29690963673</v>
      </c>
      <c r="M21" s="15">
        <v>446589.82764435251</v>
      </c>
      <c r="N21" s="15">
        <v>662638.20128564863</v>
      </c>
      <c r="O21" s="15">
        <v>791292.96583809424</v>
      </c>
      <c r="P21" s="15">
        <v>873980.13965239958</v>
      </c>
      <c r="Q21" s="15">
        <v>2653965.8375108577</v>
      </c>
    </row>
    <row r="22" spans="1:17" x14ac:dyDescent="0.25">
      <c r="C22" s="13"/>
      <c r="D22" s="13"/>
      <c r="E22" s="13"/>
      <c r="F22" s="13"/>
      <c r="G22" s="13"/>
      <c r="L22" s="13"/>
      <c r="M22" s="13"/>
      <c r="N22" s="13"/>
      <c r="O22" s="13"/>
      <c r="P22" s="13"/>
    </row>
    <row r="23" spans="1:17" x14ac:dyDescent="0.25">
      <c r="A23" s="11" t="s">
        <v>29</v>
      </c>
      <c r="C23" s="68">
        <f t="shared" ref="C23:H23" si="3">+C21</f>
        <v>154958.78377592348</v>
      </c>
      <c r="D23" s="13">
        <f t="shared" si="3"/>
        <v>446589.82764435251</v>
      </c>
      <c r="E23" s="13">
        <f t="shared" si="3"/>
        <v>662638.20128564863</v>
      </c>
      <c r="F23" s="13">
        <f t="shared" si="3"/>
        <v>791292.96583809424</v>
      </c>
      <c r="G23" s="13">
        <f t="shared" si="3"/>
        <v>873980.13965239958</v>
      </c>
      <c r="H23" s="13">
        <f t="shared" si="3"/>
        <v>2929459.9181964188</v>
      </c>
      <c r="J23" s="11" t="s">
        <v>29</v>
      </c>
      <c r="L23" s="13">
        <v>-120535.29690963673</v>
      </c>
      <c r="M23" s="13">
        <v>446589.82764435251</v>
      </c>
      <c r="N23" s="13">
        <v>662638.20128564863</v>
      </c>
      <c r="O23" s="13">
        <v>791292.96583809424</v>
      </c>
      <c r="P23" s="13">
        <v>873980.13965239958</v>
      </c>
      <c r="Q23" s="13">
        <v>2653965.8375108577</v>
      </c>
    </row>
    <row r="24" spans="1:17" x14ac:dyDescent="0.25">
      <c r="A24" s="11" t="s">
        <v>24</v>
      </c>
      <c r="C24" s="17">
        <f>'Depreciation Impact'!B11</f>
        <v>-8608821.3208846375</v>
      </c>
      <c r="D24" s="17">
        <f>'Depreciation Impact'!C11</f>
        <v>-7592903.3384725321</v>
      </c>
      <c r="E24" s="17">
        <f>'Depreciation Impact'!D11</f>
        <v>-4409784.0860439138</v>
      </c>
      <c r="F24" s="17">
        <f>'Depreciation Impact'!E11</f>
        <v>-2737702.8335364005</v>
      </c>
      <c r="G24" s="17">
        <f>'Depreciation Impact'!F11</f>
        <v>-1856029.0450361166</v>
      </c>
      <c r="H24" s="17">
        <f>'Depreciation Impact'!G11</f>
        <v>-25205240.623973601</v>
      </c>
      <c r="J24" s="11" t="s">
        <v>24</v>
      </c>
      <c r="L24" s="17">
        <v>-8608821.3208846375</v>
      </c>
      <c r="M24" s="17">
        <v>-7592903.3384725321</v>
      </c>
      <c r="N24" s="17">
        <v>-4409784.0860439138</v>
      </c>
      <c r="O24" s="17">
        <v>-2737702.8335364005</v>
      </c>
      <c r="P24" s="17">
        <v>-1856029.0450361166</v>
      </c>
      <c r="Q24" s="17">
        <v>-25205240.623973601</v>
      </c>
    </row>
    <row r="25" spans="1:17" x14ac:dyDescent="0.25">
      <c r="A25" s="11" t="s">
        <v>30</v>
      </c>
      <c r="C25" s="68">
        <f>SUM(C23:C24)</f>
        <v>-8453862.5371087138</v>
      </c>
      <c r="D25" s="13">
        <f t="shared" ref="D25:H25" si="4">SUM(D23:D24)</f>
        <v>-7146313.5108281793</v>
      </c>
      <c r="E25" s="13">
        <f t="shared" si="4"/>
        <v>-3747145.8847582652</v>
      </c>
      <c r="F25" s="13">
        <f t="shared" si="4"/>
        <v>-1946409.8676983062</v>
      </c>
      <c r="G25" s="13">
        <f t="shared" si="4"/>
        <v>-982048.90538371704</v>
      </c>
      <c r="H25" s="13">
        <f t="shared" si="4"/>
        <v>-22275780.705777183</v>
      </c>
      <c r="J25" s="11" t="s">
        <v>30</v>
      </c>
      <c r="L25" s="13">
        <v>-8729356.6177942734</v>
      </c>
      <c r="M25" s="13">
        <v>-7146313.5108281793</v>
      </c>
      <c r="N25" s="13">
        <v>-3747145.8847582652</v>
      </c>
      <c r="O25" s="13">
        <v>-1946409.8676983062</v>
      </c>
      <c r="P25" s="13">
        <v>-982048.90538371704</v>
      </c>
      <c r="Q25" s="13">
        <v>-22551274.786462743</v>
      </c>
    </row>
    <row r="26" spans="1:17" x14ac:dyDescent="0.25">
      <c r="A26" s="11" t="s">
        <v>31</v>
      </c>
      <c r="C26" s="18">
        <v>0.26500000000000001</v>
      </c>
      <c r="D26" s="18">
        <v>0.26500000000000001</v>
      </c>
      <c r="E26" s="18">
        <v>0.26500000000000001</v>
      </c>
      <c r="F26" s="18">
        <v>0.26500000000000001</v>
      </c>
      <c r="G26" s="18">
        <v>0.26500000000000001</v>
      </c>
      <c r="H26" s="18">
        <v>0.26500000000000001</v>
      </c>
      <c r="J26" s="11" t="s">
        <v>31</v>
      </c>
      <c r="L26" s="18">
        <v>0.26500000000000001</v>
      </c>
      <c r="M26" s="18">
        <v>0.26500000000000001</v>
      </c>
      <c r="N26" s="18">
        <v>0.26500000000000001</v>
      </c>
      <c r="O26" s="18">
        <v>0.26500000000000001</v>
      </c>
      <c r="P26" s="18">
        <v>0.26500000000000001</v>
      </c>
      <c r="Q26" s="18">
        <v>0.26500000000000001</v>
      </c>
    </row>
    <row r="27" spans="1:17" x14ac:dyDescent="0.25">
      <c r="A27" s="11" t="s">
        <v>32</v>
      </c>
      <c r="C27" s="68">
        <f t="shared" ref="C27:H27" si="5">+C25*C26</f>
        <v>-2240273.5723338095</v>
      </c>
      <c r="D27" s="13">
        <f t="shared" si="5"/>
        <v>-1893773.0803694676</v>
      </c>
      <c r="E27" s="13">
        <f t="shared" si="5"/>
        <v>-992993.65946094028</v>
      </c>
      <c r="F27" s="13">
        <f t="shared" si="5"/>
        <v>-515798.61494005116</v>
      </c>
      <c r="G27" s="13">
        <f t="shared" si="5"/>
        <v>-260242.95992668503</v>
      </c>
      <c r="H27" s="13">
        <f t="shared" si="5"/>
        <v>-5903081.8870309535</v>
      </c>
      <c r="J27" s="11" t="s">
        <v>32</v>
      </c>
      <c r="L27" s="13">
        <v>-2313279.5037154825</v>
      </c>
      <c r="M27" s="13">
        <v>-1893773.0803694676</v>
      </c>
      <c r="N27" s="13">
        <v>-992993.65946094028</v>
      </c>
      <c r="O27" s="13">
        <v>-515798.61494005116</v>
      </c>
      <c r="P27" s="13">
        <v>-260242.95992668503</v>
      </c>
      <c r="Q27" s="13">
        <v>-5976087.8184126271</v>
      </c>
    </row>
    <row r="28" spans="1:17" x14ac:dyDescent="0.25">
      <c r="C28" s="13"/>
      <c r="D28" s="13"/>
      <c r="E28" s="13"/>
      <c r="F28" s="13"/>
      <c r="G28" s="13"/>
      <c r="H28" s="13"/>
      <c r="L28" s="13"/>
      <c r="M28" s="13"/>
      <c r="N28" s="13"/>
      <c r="O28" s="13"/>
      <c r="P28" s="13"/>
      <c r="Q28" s="13"/>
    </row>
    <row r="29" spans="1:17" x14ac:dyDescent="0.25">
      <c r="A29" s="11" t="s">
        <v>33</v>
      </c>
      <c r="B29" s="19">
        <f>1-C26</f>
        <v>0.73499999999999999</v>
      </c>
      <c r="C29" s="68">
        <f t="shared" ref="C29:H29" si="6">C27/$B$29-C27</f>
        <v>-807717.68254212197</v>
      </c>
      <c r="D29" s="13">
        <f t="shared" si="6"/>
        <v>-682788.93373865145</v>
      </c>
      <c r="E29" s="13">
        <f t="shared" si="6"/>
        <v>-358018.12211857026</v>
      </c>
      <c r="F29" s="13">
        <f t="shared" si="6"/>
        <v>-185968.20810763753</v>
      </c>
      <c r="G29" s="13">
        <f t="shared" si="6"/>
        <v>-93829.094395335414</v>
      </c>
      <c r="H29" s="13">
        <f t="shared" si="6"/>
        <v>-2128322.0409023166</v>
      </c>
      <c r="J29" s="11" t="s">
        <v>33</v>
      </c>
      <c r="K29" s="19">
        <f>1-L26</f>
        <v>0.73499999999999999</v>
      </c>
      <c r="L29" s="13">
        <v>-834039.54895864334</v>
      </c>
      <c r="M29" s="13">
        <v>-682788.93373865145</v>
      </c>
      <c r="N29" s="13">
        <v>-358018.12211857026</v>
      </c>
      <c r="O29" s="13">
        <v>-185968.20810763753</v>
      </c>
      <c r="P29" s="13">
        <v>-93829.094395335414</v>
      </c>
      <c r="Q29" s="13">
        <v>-2154643.9073188389</v>
      </c>
    </row>
    <row r="30" spans="1:17" x14ac:dyDescent="0.25">
      <c r="C30" s="13"/>
      <c r="D30" s="13"/>
      <c r="E30" s="13"/>
      <c r="F30" s="13"/>
      <c r="G30" s="13"/>
      <c r="H30" s="13"/>
      <c r="L30" s="13"/>
      <c r="M30" s="13"/>
      <c r="N30" s="13"/>
      <c r="O30" s="13"/>
      <c r="P30" s="13"/>
      <c r="Q30" s="13"/>
    </row>
    <row r="31" spans="1:17" x14ac:dyDescent="0.25">
      <c r="A31" s="11" t="s">
        <v>34</v>
      </c>
      <c r="C31" s="68">
        <f t="shared" ref="C31:H31" si="7">+C27+C29</f>
        <v>-3047991.2548759314</v>
      </c>
      <c r="D31" s="13">
        <f t="shared" si="7"/>
        <v>-2576562.0141081191</v>
      </c>
      <c r="E31" s="13">
        <f t="shared" si="7"/>
        <v>-1351011.7815795105</v>
      </c>
      <c r="F31" s="13">
        <f t="shared" si="7"/>
        <v>-701766.8230476887</v>
      </c>
      <c r="G31" s="13">
        <f t="shared" si="7"/>
        <v>-354072.05432202044</v>
      </c>
      <c r="H31" s="13">
        <f t="shared" si="7"/>
        <v>-8031403.9279332701</v>
      </c>
      <c r="J31" s="11" t="s">
        <v>34</v>
      </c>
      <c r="L31" s="13">
        <v>-3147319.0526741259</v>
      </c>
      <c r="M31" s="13">
        <v>-2576562.0141081191</v>
      </c>
      <c r="N31" s="13">
        <v>-1351011.7815795105</v>
      </c>
      <c r="O31" s="13">
        <v>-701766.8230476887</v>
      </c>
      <c r="P31" s="13">
        <v>-354072.05432202044</v>
      </c>
      <c r="Q31" s="13">
        <v>-8130731.725731466</v>
      </c>
    </row>
    <row r="32" spans="1:17" x14ac:dyDescent="0.25">
      <c r="C32" s="20"/>
      <c r="D32" s="20"/>
      <c r="E32" s="20"/>
      <c r="F32" s="20"/>
      <c r="G32" s="20"/>
      <c r="H32" s="20"/>
      <c r="L32" s="20"/>
      <c r="M32" s="20"/>
      <c r="N32" s="20"/>
      <c r="O32" s="20"/>
      <c r="P32" s="20"/>
      <c r="Q32" s="20"/>
    </row>
    <row r="33" spans="3:16" x14ac:dyDescent="0.25">
      <c r="C33" s="13"/>
      <c r="D33" s="13"/>
      <c r="E33" s="13"/>
      <c r="F33" s="13"/>
      <c r="G33" s="13"/>
      <c r="L33" s="13"/>
      <c r="M33" s="13"/>
      <c r="N33" s="13"/>
      <c r="O33" s="13"/>
      <c r="P33" s="13"/>
    </row>
    <row r="34" spans="3:16" x14ac:dyDescent="0.25">
      <c r="C34" s="13"/>
      <c r="D34" s="13"/>
      <c r="E34" s="13"/>
      <c r="F34" s="13"/>
      <c r="G34" s="13"/>
      <c r="L34" s="13"/>
      <c r="M34" s="13"/>
      <c r="N34" s="13"/>
      <c r="O34" s="13"/>
      <c r="P34" s="13"/>
    </row>
    <row r="35" spans="3:16" x14ac:dyDescent="0.25">
      <c r="C35" s="13"/>
      <c r="D35" s="13"/>
      <c r="E35" s="13"/>
      <c r="F35" s="13"/>
      <c r="G35" s="13"/>
      <c r="L35" s="13"/>
      <c r="M35" s="13"/>
      <c r="N35" s="13"/>
      <c r="O35" s="13"/>
      <c r="P35" s="13"/>
    </row>
    <row r="36" spans="3:16" x14ac:dyDescent="0.25">
      <c r="C36" s="13"/>
      <c r="D36" s="13"/>
      <c r="E36" s="13"/>
      <c r="F36" s="13"/>
      <c r="G36" s="13"/>
      <c r="L36" s="13"/>
      <c r="M36" s="13"/>
      <c r="N36" s="13"/>
      <c r="O36" s="13"/>
      <c r="P36" s="13"/>
    </row>
    <row r="37" spans="3:16" x14ac:dyDescent="0.25">
      <c r="C37" s="13"/>
      <c r="D37" s="13"/>
      <c r="E37" s="13"/>
      <c r="F37" s="13"/>
      <c r="G37" s="13"/>
    </row>
    <row r="38" spans="3:16" x14ac:dyDescent="0.25">
      <c r="C38" s="13"/>
      <c r="D38" s="13"/>
      <c r="E38" s="13"/>
      <c r="F38" s="13"/>
      <c r="G38" s="13"/>
    </row>
    <row r="39" spans="3:16" x14ac:dyDescent="0.25">
      <c r="C39" s="13"/>
      <c r="D39" s="13"/>
      <c r="E39" s="13"/>
      <c r="F39" s="13"/>
      <c r="G39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8C32-30DB-4630-B07D-AF0552FCEC22}">
  <dimension ref="A1:S21"/>
  <sheetViews>
    <sheetView workbookViewId="0">
      <selection activeCell="C14" sqref="C14"/>
    </sheetView>
  </sheetViews>
  <sheetFormatPr defaultRowHeight="14.4" x14ac:dyDescent="0.3"/>
  <cols>
    <col min="1" max="1" width="52" customWidth="1"/>
    <col min="2" max="6" width="12.21875" customWidth="1"/>
    <col min="7" max="7" width="12.77734375" bestFit="1" customWidth="1"/>
    <col min="8" max="8" width="9" bestFit="1" customWidth="1"/>
    <col min="9" max="9" width="10.77734375" bestFit="1" customWidth="1"/>
    <col min="10" max="10" width="9.77734375" bestFit="1" customWidth="1"/>
    <col min="11" max="11" width="9" bestFit="1" customWidth="1"/>
    <col min="12" max="12" width="10.77734375" bestFit="1" customWidth="1"/>
    <col min="13" max="13" width="9.77734375" bestFit="1" customWidth="1"/>
    <col min="14" max="14" width="9" bestFit="1" customWidth="1"/>
    <col min="15" max="15" width="10.77734375" bestFit="1" customWidth="1"/>
    <col min="16" max="17" width="9.77734375" bestFit="1" customWidth="1"/>
    <col min="18" max="18" width="10.77734375" bestFit="1" customWidth="1"/>
    <col min="19" max="19" width="10.44140625" bestFit="1" customWidth="1"/>
  </cols>
  <sheetData>
    <row r="1" spans="1:19" s="11" customFormat="1" ht="13.8" x14ac:dyDescent="0.25">
      <c r="A1" s="10" t="s">
        <v>21</v>
      </c>
    </row>
    <row r="2" spans="1:19" s="11" customFormat="1" ht="13.8" x14ac:dyDescent="0.25">
      <c r="A2" s="10" t="s">
        <v>7</v>
      </c>
    </row>
    <row r="3" spans="1:19" s="11" customFormat="1" ht="13.8" x14ac:dyDescent="0.25">
      <c r="A3" s="10" t="s">
        <v>22</v>
      </c>
    </row>
    <row r="4" spans="1:19" s="11" customFormat="1" ht="13.8" x14ac:dyDescent="0.25">
      <c r="A4" s="10" t="s">
        <v>23</v>
      </c>
    </row>
    <row r="5" spans="1:19" s="11" customFormat="1" ht="13.8" x14ac:dyDescent="0.25">
      <c r="A5" s="10" t="s">
        <v>67</v>
      </c>
    </row>
    <row r="6" spans="1:19" s="11" customFormat="1" ht="13.8" x14ac:dyDescent="0.25">
      <c r="A6" s="10"/>
    </row>
    <row r="7" spans="1:19" ht="15" thickBot="1" x14ac:dyDescent="0.35"/>
    <row r="8" spans="1:19" x14ac:dyDescent="0.3">
      <c r="A8" s="33" t="s">
        <v>5</v>
      </c>
      <c r="B8" s="34">
        <v>2027</v>
      </c>
      <c r="C8" s="34">
        <v>2028</v>
      </c>
      <c r="D8" s="34">
        <v>2029</v>
      </c>
      <c r="E8" s="34">
        <v>2030</v>
      </c>
      <c r="F8" s="34">
        <v>2031</v>
      </c>
      <c r="G8" s="35" t="s">
        <v>6</v>
      </c>
      <c r="H8" s="11"/>
    </row>
    <row r="9" spans="1:19" x14ac:dyDescent="0.3">
      <c r="A9" s="36" t="s">
        <v>3</v>
      </c>
      <c r="B9" s="13">
        <f>B21</f>
        <v>6696405.3838687083</v>
      </c>
      <c r="C9" s="13">
        <f>E21</f>
        <v>6434170.2179598082</v>
      </c>
      <c r="D9" s="13">
        <f>H21</f>
        <v>6133534.0245914487</v>
      </c>
      <c r="E9" s="13">
        <f>K21</f>
        <v>5704343.4259195859</v>
      </c>
      <c r="F9" s="13">
        <f>N21</f>
        <v>5270546.5677140914</v>
      </c>
      <c r="G9" s="37">
        <f>SUM(B9:F9)</f>
        <v>30238999.620053641</v>
      </c>
      <c r="H9" s="11"/>
    </row>
    <row r="10" spans="1:19" x14ac:dyDescent="0.3">
      <c r="A10" s="36" t="s">
        <v>70</v>
      </c>
      <c r="B10" s="13">
        <f>C21</f>
        <v>15305226.704753345</v>
      </c>
      <c r="C10" s="13">
        <f>F21</f>
        <v>14027073.55643234</v>
      </c>
      <c r="D10" s="13">
        <f>I21</f>
        <v>10543318.110635363</v>
      </c>
      <c r="E10" s="13">
        <f>L21</f>
        <v>8442046.2594559863</v>
      </c>
      <c r="F10" s="13">
        <f>O21</f>
        <v>7126575.612750208</v>
      </c>
      <c r="G10" s="37">
        <f>SUM(B10:F10)</f>
        <v>55444240.244027242</v>
      </c>
      <c r="H10" s="11"/>
    </row>
    <row r="11" spans="1:19" ht="15" thickBot="1" x14ac:dyDescent="0.35">
      <c r="A11" s="38" t="s">
        <v>4</v>
      </c>
      <c r="B11" s="39">
        <f>+B9-B10</f>
        <v>-8608821.3208846375</v>
      </c>
      <c r="C11" s="39">
        <f t="shared" ref="C11:G11" si="0">+C9-C10</f>
        <v>-7592903.3384725321</v>
      </c>
      <c r="D11" s="39">
        <f t="shared" si="0"/>
        <v>-4409784.0860439138</v>
      </c>
      <c r="E11" s="39">
        <f t="shared" si="0"/>
        <v>-2737702.8335364005</v>
      </c>
      <c r="F11" s="39">
        <f t="shared" si="0"/>
        <v>-1856029.0450361166</v>
      </c>
      <c r="G11" s="40">
        <f t="shared" si="0"/>
        <v>-25205240.623973601</v>
      </c>
      <c r="H11" s="11"/>
    </row>
    <row r="12" spans="1:19" x14ac:dyDescent="0.3">
      <c r="B12" s="11"/>
      <c r="C12" s="11"/>
      <c r="D12" s="11"/>
      <c r="E12" s="11"/>
      <c r="F12" s="11"/>
      <c r="G12" s="11"/>
      <c r="H12" s="11"/>
      <c r="I12" s="13"/>
      <c r="J12" s="13"/>
      <c r="K12" s="13"/>
      <c r="L12" s="13"/>
      <c r="M12" s="13"/>
      <c r="N12" s="13"/>
    </row>
    <row r="13" spans="1:19" x14ac:dyDescent="0.3">
      <c r="A13" s="13"/>
    </row>
    <row r="15" spans="1:19" s="11" customFormat="1" ht="13.8" x14ac:dyDescent="0.25">
      <c r="A15" s="10"/>
    </row>
    <row r="16" spans="1:19" x14ac:dyDescent="0.3">
      <c r="A16" s="21"/>
      <c r="B16" s="79" t="s">
        <v>49</v>
      </c>
      <c r="C16" s="80"/>
      <c r="D16" s="81"/>
      <c r="E16" s="79" t="s">
        <v>50</v>
      </c>
      <c r="F16" s="80">
        <v>2028</v>
      </c>
      <c r="G16" s="81"/>
      <c r="H16" s="79" t="s">
        <v>51</v>
      </c>
      <c r="I16" s="80">
        <v>2029</v>
      </c>
      <c r="J16" s="81"/>
      <c r="K16" s="79" t="s">
        <v>52</v>
      </c>
      <c r="L16" s="80">
        <v>2030</v>
      </c>
      <c r="M16" s="81"/>
      <c r="N16" s="79" t="s">
        <v>53</v>
      </c>
      <c r="O16" s="80">
        <v>2031</v>
      </c>
      <c r="P16" s="81"/>
      <c r="Q16" s="79" t="s">
        <v>54</v>
      </c>
      <c r="R16" s="80" t="s">
        <v>41</v>
      </c>
      <c r="S16" s="81"/>
    </row>
    <row r="17" spans="1:19" x14ac:dyDescent="0.3">
      <c r="A17" s="21" t="s">
        <v>48</v>
      </c>
      <c r="B17" s="22" t="s">
        <v>42</v>
      </c>
      <c r="C17" s="22" t="s">
        <v>43</v>
      </c>
      <c r="D17" s="22" t="s">
        <v>44</v>
      </c>
      <c r="E17" s="22" t="s">
        <v>42</v>
      </c>
      <c r="F17" s="22" t="s">
        <v>43</v>
      </c>
      <c r="G17" s="22" t="s">
        <v>44</v>
      </c>
      <c r="H17" s="22" t="s">
        <v>42</v>
      </c>
      <c r="I17" s="22" t="s">
        <v>43</v>
      </c>
      <c r="J17" s="22" t="s">
        <v>44</v>
      </c>
      <c r="K17" s="22" t="s">
        <v>42</v>
      </c>
      <c r="L17" s="22" t="s">
        <v>43</v>
      </c>
      <c r="M17" s="22" t="s">
        <v>44</v>
      </c>
      <c r="N17" s="22" t="s">
        <v>42</v>
      </c>
      <c r="O17" s="22" t="s">
        <v>43</v>
      </c>
      <c r="P17" s="22" t="s">
        <v>44</v>
      </c>
      <c r="Q17" s="22" t="s">
        <v>42</v>
      </c>
      <c r="R17" s="22" t="s">
        <v>43</v>
      </c>
      <c r="S17" s="22" t="s">
        <v>44</v>
      </c>
    </row>
    <row r="18" spans="1:19" x14ac:dyDescent="0.3">
      <c r="A18" s="23" t="s">
        <v>45</v>
      </c>
      <c r="B18" s="24">
        <v>1861485.3880048841</v>
      </c>
      <c r="C18" s="24">
        <v>7013932.5458356496</v>
      </c>
      <c r="D18" s="24">
        <f>B18-C18</f>
        <v>-5152447.1578307655</v>
      </c>
      <c r="E18" s="24">
        <v>1860873.083007355</v>
      </c>
      <c r="F18" s="24">
        <v>6648206.6450926811</v>
      </c>
      <c r="G18" s="24">
        <f>E18-F18</f>
        <v>-4787333.5620853258</v>
      </c>
      <c r="H18" s="24">
        <v>1856867.9025177711</v>
      </c>
      <c r="I18" s="24">
        <v>3461082.2121744752</v>
      </c>
      <c r="J18" s="24">
        <f>H18-I18</f>
        <v>-1604214.3096567041</v>
      </c>
      <c r="K18" s="24">
        <v>1805467.852166235</v>
      </c>
      <c r="L18" s="24">
        <v>2664694.546585409</v>
      </c>
      <c r="M18" s="24">
        <f>K18-L18</f>
        <v>-859226.69441917399</v>
      </c>
      <c r="N18" s="24">
        <v>1710766.2787028174</v>
      </c>
      <c r="O18" s="24">
        <v>2470446.5496028354</v>
      </c>
      <c r="P18" s="24">
        <f>N18-O18</f>
        <v>-759680.27090001805</v>
      </c>
      <c r="Q18" s="24">
        <v>9095460.5043990631</v>
      </c>
      <c r="R18" s="24">
        <v>22258362.499291055</v>
      </c>
      <c r="S18" s="24">
        <f>Q18-R18</f>
        <v>-13162901.994891992</v>
      </c>
    </row>
    <row r="19" spans="1:19" x14ac:dyDescent="0.3">
      <c r="A19" s="25" t="s">
        <v>46</v>
      </c>
      <c r="B19" s="24">
        <v>1009491.1733305012</v>
      </c>
      <c r="C19" s="24">
        <v>1591787.7312494372</v>
      </c>
      <c r="D19" s="24">
        <f t="shared" ref="D19:D20" si="1">B19-C19</f>
        <v>-582296.55791893601</v>
      </c>
      <c r="E19" s="24">
        <v>1009491.1733305012</v>
      </c>
      <c r="F19" s="24">
        <v>1591787.7312494374</v>
      </c>
      <c r="G19" s="24">
        <f t="shared" ref="G19:G20" si="2">E19-F19</f>
        <v>-582296.55791893625</v>
      </c>
      <c r="H19" s="24">
        <v>1009491.1733305012</v>
      </c>
      <c r="I19" s="24">
        <v>1591787.7312494374</v>
      </c>
      <c r="J19" s="24">
        <f t="shared" ref="J19:J20" si="3">H19-I19</f>
        <v>-582296.55791893625</v>
      </c>
      <c r="K19" s="24">
        <v>979494.56621427217</v>
      </c>
      <c r="L19" s="24">
        <v>1561791.1241332083</v>
      </c>
      <c r="M19" s="24">
        <f t="shared" ref="M19:M20" si="4">K19-L19</f>
        <v>-582296.55791893613</v>
      </c>
      <c r="N19" s="24">
        <v>887977.52017327957</v>
      </c>
      <c r="O19" s="24">
        <v>1414679.6590948107</v>
      </c>
      <c r="P19" s="24">
        <f t="shared" ref="P19:P20" si="5">N19-O19</f>
        <v>-526702.13892153115</v>
      </c>
      <c r="Q19" s="24">
        <v>4895945.6063790554</v>
      </c>
      <c r="R19" s="24">
        <v>7751833.9769763313</v>
      </c>
      <c r="S19" s="24">
        <f t="shared" ref="S19:S20" si="6">Q19-R19</f>
        <v>-2855888.3705972759</v>
      </c>
    </row>
    <row r="20" spans="1:19" x14ac:dyDescent="0.3">
      <c r="A20" s="25" t="s">
        <v>47</v>
      </c>
      <c r="B20" s="26">
        <v>3825428.822533323</v>
      </c>
      <c r="C20" s="26">
        <v>6699506.4276682585</v>
      </c>
      <c r="D20" s="24">
        <f t="shared" si="1"/>
        <v>-2874077.6051349356</v>
      </c>
      <c r="E20" s="26">
        <v>3563805.9616219522</v>
      </c>
      <c r="F20" s="26">
        <v>5787079.1800902216</v>
      </c>
      <c r="G20" s="24">
        <f t="shared" si="2"/>
        <v>-2223273.2184682693</v>
      </c>
      <c r="H20" s="26">
        <v>3267174.9487431766</v>
      </c>
      <c r="I20" s="26">
        <v>5490448.1672114497</v>
      </c>
      <c r="J20" s="24">
        <f t="shared" si="3"/>
        <v>-2223273.2184682731</v>
      </c>
      <c r="K20" s="26">
        <v>2919381.0075390786</v>
      </c>
      <c r="L20" s="26">
        <v>4215560.5887373686</v>
      </c>
      <c r="M20" s="24">
        <f t="shared" si="4"/>
        <v>-1296179.58119829</v>
      </c>
      <c r="N20" s="26">
        <v>2671802.7688379949</v>
      </c>
      <c r="O20" s="26">
        <v>3241449.4040525621</v>
      </c>
      <c r="P20" s="24">
        <f t="shared" si="5"/>
        <v>-569646.63521456718</v>
      </c>
      <c r="Q20" s="24">
        <v>16247593.509275526</v>
      </c>
      <c r="R20" s="24">
        <v>25434043.767759863</v>
      </c>
      <c r="S20" s="24">
        <f t="shared" si="6"/>
        <v>-9186450.2584843375</v>
      </c>
    </row>
    <row r="21" spans="1:19" x14ac:dyDescent="0.3">
      <c r="A21" s="27" t="s">
        <v>6</v>
      </c>
      <c r="B21" s="28">
        <f>SUM(B18:B20)</f>
        <v>6696405.3838687083</v>
      </c>
      <c r="C21" s="28">
        <f t="shared" ref="C21:S21" si="7">SUM(C18:C20)</f>
        <v>15305226.704753345</v>
      </c>
      <c r="D21" s="28">
        <f t="shared" si="7"/>
        <v>-8608821.3208846375</v>
      </c>
      <c r="E21" s="28">
        <f t="shared" si="7"/>
        <v>6434170.2179598082</v>
      </c>
      <c r="F21" s="28">
        <f t="shared" si="7"/>
        <v>14027073.55643234</v>
      </c>
      <c r="G21" s="28">
        <f t="shared" si="7"/>
        <v>-7592903.3384725312</v>
      </c>
      <c r="H21" s="28">
        <f t="shared" si="7"/>
        <v>6133534.0245914487</v>
      </c>
      <c r="I21" s="28">
        <f t="shared" si="7"/>
        <v>10543318.110635363</v>
      </c>
      <c r="J21" s="28">
        <f t="shared" si="7"/>
        <v>-4409784.0860439129</v>
      </c>
      <c r="K21" s="28">
        <f t="shared" si="7"/>
        <v>5704343.4259195859</v>
      </c>
      <c r="L21" s="28">
        <f t="shared" si="7"/>
        <v>8442046.2594559863</v>
      </c>
      <c r="M21" s="28">
        <f t="shared" si="7"/>
        <v>-2737702.8335364</v>
      </c>
      <c r="N21" s="28">
        <f t="shared" si="7"/>
        <v>5270546.5677140914</v>
      </c>
      <c r="O21" s="28">
        <f t="shared" si="7"/>
        <v>7126575.612750208</v>
      </c>
      <c r="P21" s="28">
        <f t="shared" si="7"/>
        <v>-1856029.0450361164</v>
      </c>
      <c r="Q21" s="28">
        <f t="shared" si="7"/>
        <v>30238999.620053645</v>
      </c>
      <c r="R21" s="28">
        <f t="shared" si="7"/>
        <v>55444240.24402725</v>
      </c>
      <c r="S21" s="28">
        <f t="shared" si="7"/>
        <v>-25205240.623973604</v>
      </c>
    </row>
  </sheetData>
  <mergeCells count="6">
    <mergeCell ref="Q16:S16"/>
    <mergeCell ref="B16:D16"/>
    <mergeCell ref="E16:G16"/>
    <mergeCell ref="H16:J16"/>
    <mergeCell ref="K16:M16"/>
    <mergeCell ref="N16:P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C5C9757-006B-404F-A75B-ACB93F761203}"/>
</file>

<file path=customXml/itemProps2.xml><?xml version="1.0" encoding="utf-8"?>
<ds:datastoreItem xmlns:ds="http://schemas.openxmlformats.org/officeDocument/2006/customXml" ds:itemID="{8E99C898-655F-407D-ADAD-C4C55679889B}"/>
</file>

<file path=customXml/itemProps3.xml><?xml version="1.0" encoding="utf-8"?>
<ds:datastoreItem xmlns:ds="http://schemas.openxmlformats.org/officeDocument/2006/customXml" ds:itemID="{92726B23-3061-49B1-BA47-5666379705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Revenue Requirements</vt:lpstr>
      <vt:lpstr>Rate Base</vt:lpstr>
      <vt:lpstr>PILs Impact</vt:lpstr>
      <vt:lpstr>Depreciation Impact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Siobhan McGarry</dc:creator>
  <cp:lastModifiedBy>Colleen Calhoun</cp:lastModifiedBy>
  <dcterms:created xsi:type="dcterms:W3CDTF">2026-01-23T21:31:18Z</dcterms:created>
  <dcterms:modified xsi:type="dcterms:W3CDTF">2026-02-25T14:45:08Z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