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2CC8DE14-BE8F-416A-9188-E9EFC8AB758E}" xr6:coauthVersionLast="47" xr6:coauthVersionMax="47" xr10:uidLastSave="{00000000-0000-0000-0000-000000000000}"/>
  <bookViews>
    <workbookView xWindow="-120" yWindow="-120" windowWidth="29040" windowHeight="15840" xr2:uid="{0780A7A5-95CD-446D-9609-AA9A68DA9671}"/>
  </bookViews>
  <sheets>
    <sheet name="Reconciliation" sheetId="3" r:id="rId1"/>
    <sheet name="Calculation" sheetId="1" r:id="rId2"/>
    <sheet name="Interest Rat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V33" i="1" l="1"/>
  <c r="E33" i="1"/>
  <c r="Q9" i="1"/>
  <c r="Q8" i="1"/>
  <c r="E6" i="1"/>
  <c r="CW28" i="1"/>
  <c r="CW22" i="1"/>
  <c r="CW16" i="1"/>
  <c r="CW10" i="1"/>
  <c r="CW27" i="1" l="1"/>
  <c r="CW21" i="1"/>
  <c r="CW15" i="1"/>
  <c r="CW9" i="1"/>
  <c r="CW25" i="1" l="1"/>
  <c r="CW19" i="1"/>
  <c r="CW13" i="1"/>
  <c r="CW8" i="1"/>
  <c r="CW7" i="1"/>
  <c r="CK9" i="1" l="1"/>
  <c r="CV25" i="1" l="1"/>
  <c r="CU25" i="1"/>
  <c r="CT25" i="1"/>
  <c r="CS25" i="1"/>
  <c r="CR25" i="1"/>
  <c r="CQ25" i="1"/>
  <c r="CP25" i="1"/>
  <c r="CO25" i="1"/>
  <c r="CN25" i="1"/>
  <c r="CM25" i="1"/>
  <c r="CL25" i="1"/>
  <c r="CK25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V7" i="1"/>
  <c r="CU7" i="1"/>
  <c r="CT7" i="1"/>
  <c r="CS7" i="1"/>
  <c r="CR7" i="1"/>
  <c r="CQ7" i="1"/>
  <c r="CP7" i="1"/>
  <c r="CO7" i="1"/>
  <c r="CN7" i="1"/>
  <c r="CM7" i="1"/>
  <c r="CL7" i="1"/>
  <c r="CK7" i="1"/>
  <c r="BY7" i="1"/>
  <c r="BZ7" i="1"/>
  <c r="CA7" i="1"/>
  <c r="CB7" i="1"/>
  <c r="CC7" i="1"/>
  <c r="CD7" i="1"/>
  <c r="CE7" i="1"/>
  <c r="CF7" i="1"/>
  <c r="CG7" i="1"/>
  <c r="CH7" i="1"/>
  <c r="CI7" i="1"/>
  <c r="CK33" i="1" l="1"/>
  <c r="CK10" i="1" s="1"/>
  <c r="CL33" i="1"/>
  <c r="CM33" i="1"/>
  <c r="CN33" i="1"/>
  <c r="CO33" i="1"/>
  <c r="CP33" i="1"/>
  <c r="CQ33" i="1"/>
  <c r="CR33" i="1"/>
  <c r="CS33" i="1"/>
  <c r="CT33" i="1"/>
  <c r="CU33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K27" i="1" s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K21" i="1" s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K15" i="1" s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V8" i="1"/>
  <c r="CU8" i="1"/>
  <c r="CT8" i="1"/>
  <c r="CS8" i="1"/>
  <c r="CR8" i="1"/>
  <c r="CQ8" i="1"/>
  <c r="CP8" i="1"/>
  <c r="CO8" i="1"/>
  <c r="CN8" i="1"/>
  <c r="CM8" i="1"/>
  <c r="CL8" i="1"/>
  <c r="CK8" i="1"/>
  <c r="CV6" i="1"/>
  <c r="CU6" i="1"/>
  <c r="CT6" i="1"/>
  <c r="CS6" i="1"/>
  <c r="CR6" i="1"/>
  <c r="CQ6" i="1"/>
  <c r="CP6" i="1"/>
  <c r="CO6" i="1"/>
  <c r="CN6" i="1"/>
  <c r="CM6" i="1"/>
  <c r="CL6" i="1"/>
  <c r="CK6" i="1"/>
  <c r="CK5" i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K16" i="1" l="1"/>
  <c r="CK28" i="1"/>
  <c r="CK22" i="1"/>
  <c r="CL28" i="1"/>
  <c r="CL27" i="1"/>
  <c r="CL16" i="1"/>
  <c r="CL15" i="1"/>
  <c r="CL22" i="1"/>
  <c r="CL21" i="1"/>
  <c r="C8" i="3"/>
  <c r="CM27" i="1" l="1"/>
  <c r="CM28" i="1"/>
  <c r="CM16" i="1"/>
  <c r="CM15" i="1"/>
  <c r="CM22" i="1"/>
  <c r="CM21" i="1"/>
  <c r="BX7" i="1"/>
  <c r="CN22" i="1" l="1"/>
  <c r="CN21" i="1"/>
  <c r="CN16" i="1"/>
  <c r="CN15" i="1"/>
  <c r="CN28" i="1"/>
  <c r="CN27" i="1"/>
  <c r="CW18" i="1"/>
  <c r="CW12" i="1"/>
  <c r="CW6" i="1"/>
  <c r="CW24" i="1"/>
  <c r="CO28" i="1" l="1"/>
  <c r="CO27" i="1"/>
  <c r="CO16" i="1"/>
  <c r="CO15" i="1"/>
  <c r="CO22" i="1"/>
  <c r="CO21" i="1"/>
  <c r="AZ13" i="1"/>
  <c r="AP13" i="1"/>
  <c r="AQ13" i="1"/>
  <c r="AR13" i="1"/>
  <c r="AS13" i="1"/>
  <c r="AT13" i="1"/>
  <c r="AU13" i="1"/>
  <c r="AV13" i="1"/>
  <c r="AW13" i="1"/>
  <c r="AX13" i="1"/>
  <c r="AY13" i="1"/>
  <c r="AO13" i="1"/>
  <c r="CP22" i="1" l="1"/>
  <c r="CP21" i="1"/>
  <c r="CP28" i="1"/>
  <c r="CP27" i="1"/>
  <c r="CP16" i="1"/>
  <c r="CP15" i="1"/>
  <c r="AN13" i="1"/>
  <c r="AD13" i="1"/>
  <c r="AE13" i="1"/>
  <c r="AF13" i="1"/>
  <c r="AG13" i="1"/>
  <c r="AH13" i="1"/>
  <c r="AI13" i="1"/>
  <c r="AJ13" i="1"/>
  <c r="AK13" i="1"/>
  <c r="AL13" i="1"/>
  <c r="AM13" i="1"/>
  <c r="AC13" i="1"/>
  <c r="CQ28" i="1" l="1"/>
  <c r="CQ27" i="1"/>
  <c r="CQ21" i="1"/>
  <c r="CQ22" i="1"/>
  <c r="CQ15" i="1"/>
  <c r="CQ16" i="1"/>
  <c r="P13" i="1"/>
  <c r="AB13" i="1"/>
  <c r="Z13" i="1"/>
  <c r="AA13" i="1"/>
  <c r="R13" i="1"/>
  <c r="S13" i="1"/>
  <c r="T13" i="1"/>
  <c r="U13" i="1"/>
  <c r="V13" i="1"/>
  <c r="W13" i="1"/>
  <c r="X13" i="1"/>
  <c r="Y13" i="1"/>
  <c r="Q13" i="1"/>
  <c r="CR16" i="1" l="1"/>
  <c r="CR15" i="1"/>
  <c r="CR22" i="1"/>
  <c r="CR21" i="1"/>
  <c r="CR28" i="1"/>
  <c r="CR27" i="1"/>
  <c r="F13" i="1"/>
  <c r="G13" i="1"/>
  <c r="H13" i="1"/>
  <c r="I13" i="1"/>
  <c r="J13" i="1"/>
  <c r="K13" i="1"/>
  <c r="L13" i="1"/>
  <c r="M13" i="1"/>
  <c r="N13" i="1"/>
  <c r="O13" i="1"/>
  <c r="E13" i="1"/>
  <c r="CS22" i="1" l="1"/>
  <c r="CS21" i="1"/>
  <c r="CS15" i="1"/>
  <c r="CS16" i="1"/>
  <c r="CS28" i="1"/>
  <c r="CS27" i="1"/>
  <c r="AZ19" i="1"/>
  <c r="AP19" i="1"/>
  <c r="AQ19" i="1"/>
  <c r="AR19" i="1"/>
  <c r="AS19" i="1"/>
  <c r="AT19" i="1"/>
  <c r="AU19" i="1"/>
  <c r="AV19" i="1"/>
  <c r="AW19" i="1"/>
  <c r="AX19" i="1"/>
  <c r="AY19" i="1"/>
  <c r="AO19" i="1"/>
  <c r="CT28" i="1" l="1"/>
  <c r="CT27" i="1"/>
  <c r="CT16" i="1"/>
  <c r="CT15" i="1"/>
  <c r="CT22" i="1"/>
  <c r="CT21" i="1"/>
  <c r="AN19" i="1"/>
  <c r="AD19" i="1"/>
  <c r="AE19" i="1"/>
  <c r="AF19" i="1"/>
  <c r="AG19" i="1"/>
  <c r="AH19" i="1"/>
  <c r="AI19" i="1"/>
  <c r="AJ19" i="1"/>
  <c r="AK19" i="1"/>
  <c r="AL19" i="1"/>
  <c r="AM19" i="1"/>
  <c r="AC19" i="1"/>
  <c r="CU22" i="1" l="1"/>
  <c r="CU21" i="1"/>
  <c r="CU16" i="1"/>
  <c r="CU15" i="1"/>
  <c r="CU28" i="1"/>
  <c r="CU27" i="1"/>
  <c r="AB19" i="1"/>
  <c r="R19" i="1"/>
  <c r="S19" i="1"/>
  <c r="T19" i="1"/>
  <c r="U19" i="1"/>
  <c r="V19" i="1"/>
  <c r="W19" i="1"/>
  <c r="X19" i="1"/>
  <c r="Y19" i="1"/>
  <c r="Z19" i="1"/>
  <c r="AA19" i="1"/>
  <c r="Q19" i="1"/>
  <c r="CV28" i="1" l="1"/>
  <c r="CV27" i="1"/>
  <c r="CV16" i="1"/>
  <c r="CV15" i="1"/>
  <c r="CV22" i="1"/>
  <c r="CV21" i="1"/>
  <c r="BY5" i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BM5" i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A5" i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AO5" i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AC5" i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Q5" i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P19" i="1" l="1"/>
  <c r="F19" i="1"/>
  <c r="G19" i="1"/>
  <c r="H19" i="1"/>
  <c r="I19" i="1"/>
  <c r="J19" i="1"/>
  <c r="K19" i="1"/>
  <c r="L19" i="1"/>
  <c r="M19" i="1"/>
  <c r="N19" i="1"/>
  <c r="O19" i="1"/>
  <c r="E19" i="1"/>
  <c r="AZ7" i="1" l="1"/>
  <c r="AP7" i="1" l="1"/>
  <c r="AQ7" i="1"/>
  <c r="AR7" i="1"/>
  <c r="AS7" i="1"/>
  <c r="AT7" i="1"/>
  <c r="AU7" i="1"/>
  <c r="AV7" i="1"/>
  <c r="AW7" i="1"/>
  <c r="AX7" i="1"/>
  <c r="AY7" i="1"/>
  <c r="AO7" i="1"/>
  <c r="AC25" i="1" l="1"/>
  <c r="AB25" i="1"/>
  <c r="AC7" i="1"/>
  <c r="AB7" i="1"/>
  <c r="P7" i="1"/>
  <c r="AN7" i="1" l="1"/>
  <c r="AD7" i="1"/>
  <c r="AE7" i="1"/>
  <c r="AF7" i="1"/>
  <c r="AG7" i="1"/>
  <c r="AH7" i="1"/>
  <c r="AI7" i="1"/>
  <c r="AJ7" i="1"/>
  <c r="AK7" i="1"/>
  <c r="AL7" i="1"/>
  <c r="AM7" i="1"/>
  <c r="S7" i="1" l="1"/>
  <c r="T7" i="1"/>
  <c r="U7" i="1"/>
  <c r="V7" i="1"/>
  <c r="W7" i="1"/>
  <c r="X7" i="1"/>
  <c r="Y7" i="1"/>
  <c r="Z7" i="1"/>
  <c r="AA7" i="1"/>
  <c r="Q7" i="1"/>
  <c r="R7" i="1"/>
  <c r="F7" i="1" l="1"/>
  <c r="G7" i="1"/>
  <c r="H7" i="1"/>
  <c r="I7" i="1"/>
  <c r="J7" i="1"/>
  <c r="K7" i="1"/>
  <c r="L7" i="1"/>
  <c r="M7" i="1"/>
  <c r="N7" i="1"/>
  <c r="O7" i="1"/>
  <c r="E7" i="1"/>
  <c r="CJ7" i="1" l="1"/>
  <c r="CJ13" i="1"/>
  <c r="CJ19" i="1"/>
  <c r="CJ25" i="1"/>
  <c r="BZ25" i="1"/>
  <c r="CA25" i="1"/>
  <c r="CB25" i="1"/>
  <c r="CC25" i="1"/>
  <c r="CD25" i="1"/>
  <c r="CE25" i="1"/>
  <c r="CF25" i="1"/>
  <c r="CG25" i="1"/>
  <c r="CH25" i="1"/>
  <c r="CI25" i="1"/>
  <c r="BZ19" i="1"/>
  <c r="CA19" i="1"/>
  <c r="CB19" i="1"/>
  <c r="CC19" i="1"/>
  <c r="CD19" i="1"/>
  <c r="CE19" i="1"/>
  <c r="CF19" i="1"/>
  <c r="CG19" i="1"/>
  <c r="CH19" i="1"/>
  <c r="CI19" i="1"/>
  <c r="BZ13" i="1"/>
  <c r="CA13" i="1"/>
  <c r="CB13" i="1"/>
  <c r="CC13" i="1"/>
  <c r="CD13" i="1"/>
  <c r="CE13" i="1"/>
  <c r="CF13" i="1"/>
  <c r="CG13" i="1"/>
  <c r="CH13" i="1"/>
  <c r="CI13" i="1"/>
  <c r="BY25" i="1"/>
  <c r="BY19" i="1"/>
  <c r="BY13" i="1"/>
  <c r="BX13" i="1" l="1"/>
  <c r="BX19" i="1"/>
  <c r="BX25" i="1"/>
  <c r="BN7" i="1"/>
  <c r="BO7" i="1"/>
  <c r="BP7" i="1"/>
  <c r="BQ7" i="1"/>
  <c r="BR7" i="1"/>
  <c r="BS7" i="1"/>
  <c r="BT7" i="1"/>
  <c r="BU7" i="1"/>
  <c r="BV7" i="1"/>
  <c r="BW7" i="1"/>
  <c r="BN13" i="1"/>
  <c r="BO13" i="1"/>
  <c r="BP13" i="1"/>
  <c r="BQ13" i="1"/>
  <c r="BR13" i="1"/>
  <c r="BS13" i="1"/>
  <c r="BT13" i="1"/>
  <c r="BU13" i="1"/>
  <c r="BV13" i="1"/>
  <c r="BW13" i="1"/>
  <c r="BN19" i="1"/>
  <c r="BO19" i="1"/>
  <c r="BP19" i="1"/>
  <c r="BQ19" i="1"/>
  <c r="BR19" i="1"/>
  <c r="BS19" i="1"/>
  <c r="BT19" i="1"/>
  <c r="BU19" i="1"/>
  <c r="BV19" i="1"/>
  <c r="BW19" i="1"/>
  <c r="BN25" i="1"/>
  <c r="BN26" i="1" s="1"/>
  <c r="BO25" i="1"/>
  <c r="BP25" i="1"/>
  <c r="BQ25" i="1"/>
  <c r="BR25" i="1"/>
  <c r="BS25" i="1"/>
  <c r="BS26" i="1" s="1"/>
  <c r="BT25" i="1"/>
  <c r="BU25" i="1"/>
  <c r="BU26" i="1" s="1"/>
  <c r="BV25" i="1"/>
  <c r="BW25" i="1"/>
  <c r="BM24" i="1"/>
  <c r="BN24" i="1"/>
  <c r="BO24" i="1"/>
  <c r="BP24" i="1"/>
  <c r="BQ24" i="1"/>
  <c r="BR24" i="1"/>
  <c r="BR26" i="1" s="1"/>
  <c r="BS24" i="1"/>
  <c r="BT24" i="1"/>
  <c r="BU24" i="1"/>
  <c r="BV24" i="1"/>
  <c r="BW24" i="1"/>
  <c r="BX24" i="1"/>
  <c r="BY24" i="1"/>
  <c r="BY26" i="1" s="1"/>
  <c r="BZ24" i="1"/>
  <c r="BZ26" i="1" s="1"/>
  <c r="CA24" i="1"/>
  <c r="CA26" i="1" s="1"/>
  <c r="CB24" i="1"/>
  <c r="CB26" i="1" s="1"/>
  <c r="CC24" i="1"/>
  <c r="CC26" i="1" s="1"/>
  <c r="CD24" i="1"/>
  <c r="CD26" i="1" s="1"/>
  <c r="CE24" i="1"/>
  <c r="CE26" i="1" s="1"/>
  <c r="CF24" i="1"/>
  <c r="CF26" i="1" s="1"/>
  <c r="CG24" i="1"/>
  <c r="CG26" i="1" s="1"/>
  <c r="CH24" i="1"/>
  <c r="CH26" i="1" s="1"/>
  <c r="CI24" i="1"/>
  <c r="CI26" i="1" s="1"/>
  <c r="CJ24" i="1"/>
  <c r="CJ26" i="1" s="1"/>
  <c r="BM25" i="1"/>
  <c r="BM26" i="1" s="1"/>
  <c r="BM19" i="1"/>
  <c r="BM13" i="1"/>
  <c r="BM7" i="1"/>
  <c r="BT26" i="1" l="1"/>
  <c r="BW26" i="1"/>
  <c r="BV26" i="1"/>
  <c r="BQ26" i="1"/>
  <c r="BP26" i="1"/>
  <c r="BO26" i="1"/>
  <c r="BX26" i="1"/>
  <c r="BL19" i="1"/>
  <c r="BL13" i="1"/>
  <c r="BI7" i="1"/>
  <c r="BL7" i="1"/>
  <c r="BL25" i="1"/>
  <c r="BB25" i="1" l="1"/>
  <c r="BC25" i="1"/>
  <c r="BD25" i="1"/>
  <c r="BE25" i="1"/>
  <c r="BF25" i="1"/>
  <c r="BG25" i="1"/>
  <c r="BH25" i="1"/>
  <c r="BI25" i="1"/>
  <c r="BJ25" i="1"/>
  <c r="BK25" i="1"/>
  <c r="BB19" i="1"/>
  <c r="BC19" i="1"/>
  <c r="BD19" i="1"/>
  <c r="BE19" i="1"/>
  <c r="BF19" i="1"/>
  <c r="BG19" i="1"/>
  <c r="BH19" i="1"/>
  <c r="BI19" i="1"/>
  <c r="BJ19" i="1"/>
  <c r="BK19" i="1"/>
  <c r="BB13" i="1"/>
  <c r="BC13" i="1"/>
  <c r="BD13" i="1"/>
  <c r="BE13" i="1"/>
  <c r="BF13" i="1"/>
  <c r="BG13" i="1"/>
  <c r="BH13" i="1"/>
  <c r="BI13" i="1"/>
  <c r="BJ13" i="1"/>
  <c r="BK13" i="1"/>
  <c r="BB7" i="1"/>
  <c r="BC7" i="1"/>
  <c r="BD7" i="1"/>
  <c r="BE7" i="1"/>
  <c r="BF7" i="1"/>
  <c r="BG7" i="1"/>
  <c r="BH7" i="1"/>
  <c r="BJ7" i="1"/>
  <c r="BK7" i="1"/>
  <c r="BA19" i="1"/>
  <c r="BA13" i="1"/>
  <c r="BA7" i="1"/>
  <c r="F18" i="1"/>
  <c r="F20" i="1" s="1"/>
  <c r="G18" i="1"/>
  <c r="G20" i="1" s="1"/>
  <c r="H18" i="1"/>
  <c r="H20" i="1" s="1"/>
  <c r="I18" i="1"/>
  <c r="I20" i="1" s="1"/>
  <c r="J18" i="1"/>
  <c r="J20" i="1" s="1"/>
  <c r="K18" i="1"/>
  <c r="K20" i="1" s="1"/>
  <c r="L18" i="1"/>
  <c r="L20" i="1" s="1"/>
  <c r="M18" i="1"/>
  <c r="M20" i="1" s="1"/>
  <c r="N18" i="1"/>
  <c r="N20" i="1" s="1"/>
  <c r="O18" i="1"/>
  <c r="O20" i="1" s="1"/>
  <c r="P18" i="1"/>
  <c r="P20" i="1" s="1"/>
  <c r="Q18" i="1"/>
  <c r="Q20" i="1" s="1"/>
  <c r="R18" i="1"/>
  <c r="R20" i="1" s="1"/>
  <c r="S18" i="1"/>
  <c r="S20" i="1" s="1"/>
  <c r="T18" i="1"/>
  <c r="T20" i="1" s="1"/>
  <c r="U18" i="1"/>
  <c r="U20" i="1" s="1"/>
  <c r="V18" i="1"/>
  <c r="V20" i="1" s="1"/>
  <c r="W18" i="1"/>
  <c r="W20" i="1" s="1"/>
  <c r="X18" i="1"/>
  <c r="X20" i="1" s="1"/>
  <c r="Y18" i="1"/>
  <c r="Y20" i="1" s="1"/>
  <c r="Z18" i="1"/>
  <c r="Z20" i="1" s="1"/>
  <c r="AA18" i="1"/>
  <c r="AA20" i="1" s="1"/>
  <c r="AB18" i="1"/>
  <c r="AB20" i="1" s="1"/>
  <c r="AC18" i="1"/>
  <c r="AC20" i="1" s="1"/>
  <c r="AD18" i="1"/>
  <c r="AD20" i="1" s="1"/>
  <c r="AE18" i="1"/>
  <c r="AE20" i="1" s="1"/>
  <c r="AF18" i="1"/>
  <c r="AF20" i="1" s="1"/>
  <c r="AG18" i="1"/>
  <c r="AG20" i="1" s="1"/>
  <c r="AH18" i="1"/>
  <c r="AH20" i="1" s="1"/>
  <c r="AI18" i="1"/>
  <c r="AI20" i="1" s="1"/>
  <c r="AJ18" i="1"/>
  <c r="AJ20" i="1" s="1"/>
  <c r="AK18" i="1"/>
  <c r="AK20" i="1" s="1"/>
  <c r="AL18" i="1"/>
  <c r="AL20" i="1" s="1"/>
  <c r="AM18" i="1"/>
  <c r="AM20" i="1" s="1"/>
  <c r="AN18" i="1"/>
  <c r="AN20" i="1" s="1"/>
  <c r="AO18" i="1"/>
  <c r="AO20" i="1" s="1"/>
  <c r="AP18" i="1"/>
  <c r="AP20" i="1" s="1"/>
  <c r="AQ18" i="1"/>
  <c r="AQ20" i="1" s="1"/>
  <c r="AR18" i="1"/>
  <c r="AR20" i="1" s="1"/>
  <c r="AS18" i="1"/>
  <c r="AS20" i="1" s="1"/>
  <c r="AT18" i="1"/>
  <c r="AT20" i="1" s="1"/>
  <c r="AU18" i="1"/>
  <c r="AU20" i="1" s="1"/>
  <c r="AV18" i="1"/>
  <c r="AV20" i="1" s="1"/>
  <c r="AW18" i="1"/>
  <c r="AW20" i="1" s="1"/>
  <c r="AX18" i="1"/>
  <c r="AX20" i="1" s="1"/>
  <c r="AY18" i="1"/>
  <c r="AY20" i="1" s="1"/>
  <c r="AZ18" i="1"/>
  <c r="AZ20" i="1" s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L20" i="1" s="1"/>
  <c r="BM18" i="1"/>
  <c r="BM20" i="1" s="1"/>
  <c r="BN18" i="1"/>
  <c r="BN20" i="1" s="1"/>
  <c r="BO18" i="1"/>
  <c r="BO20" i="1" s="1"/>
  <c r="BP18" i="1"/>
  <c r="BP20" i="1" s="1"/>
  <c r="BQ18" i="1"/>
  <c r="BQ20" i="1" s="1"/>
  <c r="BR18" i="1"/>
  <c r="BR20" i="1" s="1"/>
  <c r="BS18" i="1"/>
  <c r="BS20" i="1" s="1"/>
  <c r="BT18" i="1"/>
  <c r="BT20" i="1" s="1"/>
  <c r="BU18" i="1"/>
  <c r="BU20" i="1" s="1"/>
  <c r="BV18" i="1"/>
  <c r="BV20" i="1" s="1"/>
  <c r="BW18" i="1"/>
  <c r="BW20" i="1" s="1"/>
  <c r="BX18" i="1"/>
  <c r="BX20" i="1" s="1"/>
  <c r="BY18" i="1"/>
  <c r="BY20" i="1" s="1"/>
  <c r="BZ18" i="1"/>
  <c r="BZ20" i="1" s="1"/>
  <c r="CA18" i="1"/>
  <c r="CA20" i="1" s="1"/>
  <c r="CB18" i="1"/>
  <c r="CB20" i="1" s="1"/>
  <c r="CC18" i="1"/>
  <c r="CC20" i="1" s="1"/>
  <c r="CD18" i="1"/>
  <c r="CD20" i="1" s="1"/>
  <c r="CE18" i="1"/>
  <c r="CE20" i="1" s="1"/>
  <c r="CF18" i="1"/>
  <c r="CF20" i="1" s="1"/>
  <c r="CG18" i="1"/>
  <c r="CG20" i="1" s="1"/>
  <c r="CH18" i="1"/>
  <c r="CH20" i="1" s="1"/>
  <c r="CI18" i="1"/>
  <c r="CI20" i="1" s="1"/>
  <c r="CJ18" i="1"/>
  <c r="CJ20" i="1" s="1"/>
  <c r="E18" i="1"/>
  <c r="E20" i="1" s="1"/>
  <c r="E21" i="1" s="1"/>
  <c r="F12" i="1"/>
  <c r="F14" i="1" s="1"/>
  <c r="G12" i="1"/>
  <c r="G14" i="1" s="1"/>
  <c r="H12" i="1"/>
  <c r="H14" i="1" s="1"/>
  <c r="I12" i="1"/>
  <c r="I14" i="1" s="1"/>
  <c r="J12" i="1"/>
  <c r="J14" i="1" s="1"/>
  <c r="K12" i="1"/>
  <c r="K14" i="1" s="1"/>
  <c r="L12" i="1"/>
  <c r="L14" i="1" s="1"/>
  <c r="M12" i="1"/>
  <c r="M14" i="1" s="1"/>
  <c r="N12" i="1"/>
  <c r="N14" i="1" s="1"/>
  <c r="O12" i="1"/>
  <c r="O14" i="1" s="1"/>
  <c r="P12" i="1"/>
  <c r="P14" i="1" s="1"/>
  <c r="Q12" i="1"/>
  <c r="Q14" i="1" s="1"/>
  <c r="R12" i="1"/>
  <c r="R14" i="1" s="1"/>
  <c r="S12" i="1"/>
  <c r="S14" i="1" s="1"/>
  <c r="T12" i="1"/>
  <c r="T14" i="1" s="1"/>
  <c r="U12" i="1"/>
  <c r="U14" i="1" s="1"/>
  <c r="V12" i="1"/>
  <c r="V14" i="1" s="1"/>
  <c r="W12" i="1"/>
  <c r="W14" i="1" s="1"/>
  <c r="X12" i="1"/>
  <c r="X14" i="1" s="1"/>
  <c r="Y12" i="1"/>
  <c r="Y14" i="1" s="1"/>
  <c r="Z12" i="1"/>
  <c r="Z14" i="1" s="1"/>
  <c r="AA12" i="1"/>
  <c r="AA14" i="1" s="1"/>
  <c r="AB12" i="1"/>
  <c r="AB14" i="1" s="1"/>
  <c r="AC12" i="1"/>
  <c r="AC14" i="1" s="1"/>
  <c r="AD12" i="1"/>
  <c r="AD14" i="1" s="1"/>
  <c r="AE12" i="1"/>
  <c r="AE14" i="1" s="1"/>
  <c r="AF12" i="1"/>
  <c r="AF14" i="1" s="1"/>
  <c r="AG12" i="1"/>
  <c r="AG14" i="1" s="1"/>
  <c r="AH12" i="1"/>
  <c r="AH14" i="1" s="1"/>
  <c r="AI12" i="1"/>
  <c r="AI14" i="1" s="1"/>
  <c r="AJ12" i="1"/>
  <c r="AJ14" i="1" s="1"/>
  <c r="AK12" i="1"/>
  <c r="AK14" i="1" s="1"/>
  <c r="AL12" i="1"/>
  <c r="AL14" i="1" s="1"/>
  <c r="AM12" i="1"/>
  <c r="AM14" i="1" s="1"/>
  <c r="AN12" i="1"/>
  <c r="AN14" i="1" s="1"/>
  <c r="AO12" i="1"/>
  <c r="AO14" i="1" s="1"/>
  <c r="AP12" i="1"/>
  <c r="AP14" i="1" s="1"/>
  <c r="AQ12" i="1"/>
  <c r="AQ14" i="1" s="1"/>
  <c r="AR12" i="1"/>
  <c r="AR14" i="1" s="1"/>
  <c r="AS12" i="1"/>
  <c r="AS14" i="1" s="1"/>
  <c r="AT12" i="1"/>
  <c r="AT14" i="1" s="1"/>
  <c r="AU12" i="1"/>
  <c r="AU14" i="1" s="1"/>
  <c r="AV12" i="1"/>
  <c r="AV14" i="1" s="1"/>
  <c r="AW12" i="1"/>
  <c r="AW14" i="1" s="1"/>
  <c r="AX12" i="1"/>
  <c r="AX14" i="1" s="1"/>
  <c r="AY12" i="1"/>
  <c r="AY14" i="1" s="1"/>
  <c r="AZ12" i="1"/>
  <c r="AZ14" i="1" s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L14" i="1" s="1"/>
  <c r="BM12" i="1"/>
  <c r="BM14" i="1" s="1"/>
  <c r="BN12" i="1"/>
  <c r="BN14" i="1" s="1"/>
  <c r="BO12" i="1"/>
  <c r="BO14" i="1" s="1"/>
  <c r="BP12" i="1"/>
  <c r="BP14" i="1" s="1"/>
  <c r="BQ12" i="1"/>
  <c r="BQ14" i="1" s="1"/>
  <c r="BR12" i="1"/>
  <c r="BR14" i="1" s="1"/>
  <c r="BS12" i="1"/>
  <c r="BS14" i="1" s="1"/>
  <c r="BT12" i="1"/>
  <c r="BT14" i="1" s="1"/>
  <c r="BU12" i="1"/>
  <c r="BU14" i="1" s="1"/>
  <c r="BV12" i="1"/>
  <c r="BV14" i="1" s="1"/>
  <c r="BW12" i="1"/>
  <c r="BW14" i="1" s="1"/>
  <c r="BX12" i="1"/>
  <c r="BX14" i="1" s="1"/>
  <c r="BY12" i="1"/>
  <c r="BY14" i="1" s="1"/>
  <c r="BZ12" i="1"/>
  <c r="BZ14" i="1" s="1"/>
  <c r="CA12" i="1"/>
  <c r="CA14" i="1" s="1"/>
  <c r="CB12" i="1"/>
  <c r="CB14" i="1" s="1"/>
  <c r="CC12" i="1"/>
  <c r="CC14" i="1" s="1"/>
  <c r="CD12" i="1"/>
  <c r="CD14" i="1" s="1"/>
  <c r="CE12" i="1"/>
  <c r="CE14" i="1" s="1"/>
  <c r="CF12" i="1"/>
  <c r="CF14" i="1" s="1"/>
  <c r="CG12" i="1"/>
  <c r="CG14" i="1" s="1"/>
  <c r="CH12" i="1"/>
  <c r="CH14" i="1" s="1"/>
  <c r="CI12" i="1"/>
  <c r="CI14" i="1" s="1"/>
  <c r="CJ12" i="1"/>
  <c r="CJ14" i="1" s="1"/>
  <c r="E12" i="1"/>
  <c r="E14" i="1" s="1"/>
  <c r="E15" i="1" s="1"/>
  <c r="F6" i="1"/>
  <c r="F8" i="1" s="1"/>
  <c r="G6" i="1"/>
  <c r="G8" i="1" s="1"/>
  <c r="H6" i="1"/>
  <c r="H8" i="1" s="1"/>
  <c r="I6" i="1"/>
  <c r="I8" i="1" s="1"/>
  <c r="J6" i="1"/>
  <c r="J8" i="1" s="1"/>
  <c r="K6" i="1"/>
  <c r="K8" i="1" s="1"/>
  <c r="L6" i="1"/>
  <c r="L8" i="1" s="1"/>
  <c r="M6" i="1"/>
  <c r="M8" i="1" s="1"/>
  <c r="N6" i="1"/>
  <c r="N8" i="1" s="1"/>
  <c r="O6" i="1"/>
  <c r="O8" i="1" s="1"/>
  <c r="P6" i="1"/>
  <c r="P8" i="1" s="1"/>
  <c r="Q6" i="1"/>
  <c r="R6" i="1"/>
  <c r="R8" i="1" s="1"/>
  <c r="S6" i="1"/>
  <c r="S8" i="1" s="1"/>
  <c r="T6" i="1"/>
  <c r="T8" i="1" s="1"/>
  <c r="U6" i="1"/>
  <c r="U8" i="1" s="1"/>
  <c r="V6" i="1"/>
  <c r="V8" i="1" s="1"/>
  <c r="W6" i="1"/>
  <c r="W8" i="1" s="1"/>
  <c r="X6" i="1"/>
  <c r="X8" i="1" s="1"/>
  <c r="Y6" i="1"/>
  <c r="Y8" i="1" s="1"/>
  <c r="Z6" i="1"/>
  <c r="Z8" i="1" s="1"/>
  <c r="AA6" i="1"/>
  <c r="AA8" i="1" s="1"/>
  <c r="AB6" i="1"/>
  <c r="AB8" i="1" s="1"/>
  <c r="AC6" i="1"/>
  <c r="AC8" i="1" s="1"/>
  <c r="AD6" i="1"/>
  <c r="AD8" i="1" s="1"/>
  <c r="AE6" i="1"/>
  <c r="AE8" i="1" s="1"/>
  <c r="AF6" i="1"/>
  <c r="AF8" i="1" s="1"/>
  <c r="AG6" i="1"/>
  <c r="AG8" i="1" s="1"/>
  <c r="AH6" i="1"/>
  <c r="AH8" i="1" s="1"/>
  <c r="AI6" i="1"/>
  <c r="AI8" i="1" s="1"/>
  <c r="AJ6" i="1"/>
  <c r="AJ8" i="1" s="1"/>
  <c r="AK6" i="1"/>
  <c r="AK8" i="1" s="1"/>
  <c r="AL6" i="1"/>
  <c r="AL8" i="1" s="1"/>
  <c r="AM6" i="1"/>
  <c r="AM8" i="1" s="1"/>
  <c r="AN6" i="1"/>
  <c r="AN8" i="1" s="1"/>
  <c r="AO6" i="1"/>
  <c r="AO8" i="1" s="1"/>
  <c r="AP6" i="1"/>
  <c r="AP8" i="1" s="1"/>
  <c r="AQ6" i="1"/>
  <c r="AQ8" i="1" s="1"/>
  <c r="AR6" i="1"/>
  <c r="AR8" i="1" s="1"/>
  <c r="AS6" i="1"/>
  <c r="AS8" i="1" s="1"/>
  <c r="AT6" i="1"/>
  <c r="AT8" i="1" s="1"/>
  <c r="AU6" i="1"/>
  <c r="AU8" i="1" s="1"/>
  <c r="AV6" i="1"/>
  <c r="AV8" i="1" s="1"/>
  <c r="AW6" i="1"/>
  <c r="AW8" i="1" s="1"/>
  <c r="AX6" i="1"/>
  <c r="AX8" i="1" s="1"/>
  <c r="AY6" i="1"/>
  <c r="AY8" i="1" s="1"/>
  <c r="AZ6" i="1"/>
  <c r="AZ8" i="1" s="1"/>
  <c r="BA6" i="1"/>
  <c r="BB6" i="1"/>
  <c r="BC6" i="1"/>
  <c r="BD6" i="1"/>
  <c r="BE6" i="1"/>
  <c r="BF6" i="1"/>
  <c r="BG6" i="1"/>
  <c r="BH6" i="1"/>
  <c r="BI6" i="1"/>
  <c r="BI8" i="1" s="1"/>
  <c r="BJ6" i="1"/>
  <c r="BK6" i="1"/>
  <c r="BL6" i="1"/>
  <c r="BL8" i="1" s="1"/>
  <c r="BM6" i="1"/>
  <c r="BM8" i="1" s="1"/>
  <c r="BN6" i="1"/>
  <c r="BN8" i="1" s="1"/>
  <c r="BO6" i="1"/>
  <c r="BO8" i="1" s="1"/>
  <c r="BP6" i="1"/>
  <c r="BP8" i="1" s="1"/>
  <c r="BQ6" i="1"/>
  <c r="BQ8" i="1" s="1"/>
  <c r="BR6" i="1"/>
  <c r="BR8" i="1" s="1"/>
  <c r="BS6" i="1"/>
  <c r="BS8" i="1" s="1"/>
  <c r="BT6" i="1"/>
  <c r="BT8" i="1" s="1"/>
  <c r="BU6" i="1"/>
  <c r="BU8" i="1" s="1"/>
  <c r="BV6" i="1"/>
  <c r="BV8" i="1" s="1"/>
  <c r="BW6" i="1"/>
  <c r="BW8" i="1" s="1"/>
  <c r="BX6" i="1"/>
  <c r="BX8" i="1" s="1"/>
  <c r="BY6" i="1"/>
  <c r="BY8" i="1" s="1"/>
  <c r="BZ6" i="1"/>
  <c r="BZ8" i="1" s="1"/>
  <c r="CA6" i="1"/>
  <c r="CA8" i="1" s="1"/>
  <c r="CB6" i="1"/>
  <c r="CB8" i="1" s="1"/>
  <c r="CC6" i="1"/>
  <c r="CC8" i="1" s="1"/>
  <c r="CD6" i="1"/>
  <c r="CD8" i="1" s="1"/>
  <c r="CE6" i="1"/>
  <c r="CE8" i="1" s="1"/>
  <c r="CF6" i="1"/>
  <c r="CF8" i="1" s="1"/>
  <c r="CG6" i="1"/>
  <c r="CG8" i="1" s="1"/>
  <c r="CH6" i="1"/>
  <c r="CH8" i="1" s="1"/>
  <c r="CI6" i="1"/>
  <c r="CI8" i="1" s="1"/>
  <c r="CJ6" i="1"/>
  <c r="CJ8" i="1" s="1"/>
  <c r="E8" i="1"/>
  <c r="E9" i="1" s="1"/>
  <c r="BA25" i="1"/>
  <c r="CW26" i="1" l="1"/>
  <c r="BC20" i="1"/>
  <c r="BJ20" i="1"/>
  <c r="F15" i="1"/>
  <c r="BK14" i="1"/>
  <c r="BI20" i="1"/>
  <c r="BJ14" i="1"/>
  <c r="BH20" i="1"/>
  <c r="BG20" i="1"/>
  <c r="BD20" i="1"/>
  <c r="BA14" i="1"/>
  <c r="F21" i="1"/>
  <c r="BA20" i="1"/>
  <c r="BI14" i="1"/>
  <c r="BK8" i="1"/>
  <c r="BH14" i="1"/>
  <c r="BF20" i="1"/>
  <c r="BJ8" i="1"/>
  <c r="BG14" i="1"/>
  <c r="BE20" i="1"/>
  <c r="BH8" i="1"/>
  <c r="BF14" i="1"/>
  <c r="BG8" i="1"/>
  <c r="BE14" i="1"/>
  <c r="BB8" i="1"/>
  <c r="BF8" i="1"/>
  <c r="BD14" i="1"/>
  <c r="BB20" i="1"/>
  <c r="BE8" i="1"/>
  <c r="BC14" i="1"/>
  <c r="BA8" i="1"/>
  <c r="BD8" i="1"/>
  <c r="BB14" i="1"/>
  <c r="F9" i="1"/>
  <c r="BC8" i="1"/>
  <c r="BK20" i="1"/>
  <c r="BA24" i="1"/>
  <c r="BA26" i="1" s="1"/>
  <c r="BB24" i="1"/>
  <c r="BB26" i="1" s="1"/>
  <c r="BC24" i="1"/>
  <c r="BC26" i="1" s="1"/>
  <c r="BD24" i="1"/>
  <c r="BD26" i="1" s="1"/>
  <c r="BE24" i="1"/>
  <c r="BE26" i="1" s="1"/>
  <c r="BF24" i="1"/>
  <c r="BF26" i="1" s="1"/>
  <c r="BG24" i="1"/>
  <c r="BG26" i="1" s="1"/>
  <c r="BH24" i="1"/>
  <c r="BH26" i="1" s="1"/>
  <c r="BI24" i="1"/>
  <c r="BI26" i="1" s="1"/>
  <c r="BJ24" i="1"/>
  <c r="BJ26" i="1" s="1"/>
  <c r="BK24" i="1"/>
  <c r="BK26" i="1" s="1"/>
  <c r="BL24" i="1"/>
  <c r="BL26" i="1" s="1"/>
  <c r="CW14" i="1" l="1"/>
  <c r="G15" i="1"/>
  <c r="CW20" i="1"/>
  <c r="G21" i="1"/>
  <c r="G9" i="1"/>
  <c r="AZ25" i="1"/>
  <c r="AP25" i="1"/>
  <c r="AQ25" i="1"/>
  <c r="AR25" i="1"/>
  <c r="AS25" i="1"/>
  <c r="AT25" i="1"/>
  <c r="AU25" i="1"/>
  <c r="AV25" i="1"/>
  <c r="AW25" i="1"/>
  <c r="AX25" i="1"/>
  <c r="AY25" i="1"/>
  <c r="AO25" i="1"/>
  <c r="H15" i="1" l="1"/>
  <c r="H9" i="1"/>
  <c r="H21" i="1"/>
  <c r="AO24" i="1"/>
  <c r="AO26" i="1" s="1"/>
  <c r="AP24" i="1"/>
  <c r="AP26" i="1" s="1"/>
  <c r="AQ24" i="1"/>
  <c r="AQ26" i="1" s="1"/>
  <c r="AR24" i="1"/>
  <c r="AR26" i="1" s="1"/>
  <c r="AS24" i="1"/>
  <c r="AS26" i="1" s="1"/>
  <c r="AT24" i="1"/>
  <c r="AT26" i="1" s="1"/>
  <c r="AU24" i="1"/>
  <c r="AU26" i="1" s="1"/>
  <c r="AV24" i="1"/>
  <c r="AV26" i="1" s="1"/>
  <c r="AW24" i="1"/>
  <c r="AW26" i="1" s="1"/>
  <c r="AX24" i="1"/>
  <c r="AX26" i="1" s="1"/>
  <c r="AY24" i="1"/>
  <c r="AY26" i="1" s="1"/>
  <c r="AZ24" i="1"/>
  <c r="AZ26" i="1" s="1"/>
  <c r="AN25" i="1"/>
  <c r="AD25" i="1"/>
  <c r="AE25" i="1"/>
  <c r="AF25" i="1"/>
  <c r="AG25" i="1"/>
  <c r="AH25" i="1"/>
  <c r="AI25" i="1"/>
  <c r="AJ25" i="1"/>
  <c r="AK25" i="1"/>
  <c r="AL25" i="1"/>
  <c r="AM25" i="1"/>
  <c r="I15" i="1" l="1"/>
  <c r="I9" i="1"/>
  <c r="I21" i="1"/>
  <c r="AC24" i="1"/>
  <c r="AC26" i="1" s="1"/>
  <c r="AD24" i="1"/>
  <c r="AD26" i="1" s="1"/>
  <c r="AE24" i="1"/>
  <c r="AE26" i="1" s="1"/>
  <c r="AF24" i="1"/>
  <c r="AF26" i="1" s="1"/>
  <c r="AG24" i="1"/>
  <c r="AG26" i="1" s="1"/>
  <c r="AH24" i="1"/>
  <c r="AH26" i="1" s="1"/>
  <c r="AI24" i="1"/>
  <c r="AI26" i="1" s="1"/>
  <c r="AJ24" i="1"/>
  <c r="AJ26" i="1" s="1"/>
  <c r="AK24" i="1"/>
  <c r="AK26" i="1" s="1"/>
  <c r="AL24" i="1"/>
  <c r="AL26" i="1" s="1"/>
  <c r="AM24" i="1"/>
  <c r="AM26" i="1" s="1"/>
  <c r="AN24" i="1"/>
  <c r="AN26" i="1" s="1"/>
  <c r="P25" i="1"/>
  <c r="J15" i="1" l="1"/>
  <c r="J21" i="1"/>
  <c r="J9" i="1"/>
  <c r="AB24" i="1"/>
  <c r="AB26" i="1" s="1"/>
  <c r="R24" i="1"/>
  <c r="S24" i="1"/>
  <c r="T24" i="1"/>
  <c r="U24" i="1"/>
  <c r="V24" i="1"/>
  <c r="W24" i="1"/>
  <c r="X24" i="1"/>
  <c r="Y24" i="1"/>
  <c r="Z24" i="1"/>
  <c r="AA24" i="1"/>
  <c r="R25" i="1"/>
  <c r="S25" i="1"/>
  <c r="T25" i="1"/>
  <c r="U25" i="1"/>
  <c r="V25" i="1"/>
  <c r="W25" i="1"/>
  <c r="X25" i="1"/>
  <c r="Y25" i="1"/>
  <c r="Z25" i="1"/>
  <c r="AA25" i="1"/>
  <c r="Q24" i="1"/>
  <c r="Q25" i="1"/>
  <c r="Q26" i="1" s="1"/>
  <c r="Y26" i="1" l="1"/>
  <c r="X26" i="1"/>
  <c r="T26" i="1"/>
  <c r="U26" i="1"/>
  <c r="K15" i="1"/>
  <c r="R26" i="1"/>
  <c r="V26" i="1"/>
  <c r="K9" i="1"/>
  <c r="W26" i="1"/>
  <c r="S26" i="1"/>
  <c r="AA26" i="1"/>
  <c r="Z26" i="1"/>
  <c r="K21" i="1"/>
  <c r="F33" i="1"/>
  <c r="F16" i="1" s="1"/>
  <c r="G33" i="1"/>
  <c r="G16" i="1" s="1"/>
  <c r="H33" i="1"/>
  <c r="H16" i="1" s="1"/>
  <c r="I33" i="1"/>
  <c r="I16" i="1" s="1"/>
  <c r="J33" i="1"/>
  <c r="J16" i="1" s="1"/>
  <c r="K33" i="1"/>
  <c r="K10" i="1" s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E16" i="1"/>
  <c r="F25" i="1"/>
  <c r="G25" i="1"/>
  <c r="H25" i="1"/>
  <c r="I25" i="1"/>
  <c r="J25" i="1"/>
  <c r="K25" i="1"/>
  <c r="L25" i="1"/>
  <c r="M25" i="1"/>
  <c r="N25" i="1"/>
  <c r="O25" i="1"/>
  <c r="F24" i="1"/>
  <c r="G24" i="1"/>
  <c r="H24" i="1"/>
  <c r="I24" i="1"/>
  <c r="J24" i="1"/>
  <c r="K24" i="1"/>
  <c r="L24" i="1"/>
  <c r="M24" i="1"/>
  <c r="N24" i="1"/>
  <c r="O24" i="1"/>
  <c r="P24" i="1"/>
  <c r="E25" i="1"/>
  <c r="E24" i="1"/>
  <c r="K16" i="1" l="1"/>
  <c r="J26" i="1"/>
  <c r="J22" i="1"/>
  <c r="I22" i="1"/>
  <c r="L15" i="1"/>
  <c r="L16" i="1" s="1"/>
  <c r="H22" i="1"/>
  <c r="G22" i="1"/>
  <c r="K22" i="1"/>
  <c r="F22" i="1"/>
  <c r="E26" i="1"/>
  <c r="E27" i="1" s="1"/>
  <c r="F28" i="1" s="1"/>
  <c r="E17" i="1"/>
  <c r="E22" i="1"/>
  <c r="E23" i="1" s="1"/>
  <c r="L22" i="1"/>
  <c r="N26" i="1"/>
  <c r="F10" i="1"/>
  <c r="E10" i="1"/>
  <c r="E11" i="1" s="1"/>
  <c r="E28" i="1"/>
  <c r="E29" i="1" s="1"/>
  <c r="L21" i="1"/>
  <c r="M22" i="1" s="1"/>
  <c r="H26" i="1"/>
  <c r="J10" i="1"/>
  <c r="I10" i="1"/>
  <c r="L10" i="1"/>
  <c r="L9" i="1"/>
  <c r="H10" i="1"/>
  <c r="O26" i="1"/>
  <c r="G10" i="1"/>
  <c r="K26" i="1"/>
  <c r="I26" i="1"/>
  <c r="G26" i="1"/>
  <c r="F26" i="1"/>
  <c r="M26" i="1"/>
  <c r="L26" i="1"/>
  <c r="P26" i="1"/>
  <c r="F29" i="1" l="1"/>
  <c r="F17" i="1"/>
  <c r="G17" i="1" s="1"/>
  <c r="H17" i="1" s="1"/>
  <c r="I17" i="1" s="1"/>
  <c r="J17" i="1" s="1"/>
  <c r="K17" i="1" s="1"/>
  <c r="L17" i="1" s="1"/>
  <c r="F11" i="1"/>
  <c r="G11" i="1" s="1"/>
  <c r="H11" i="1" s="1"/>
  <c r="I11" i="1" s="1"/>
  <c r="J11" i="1" s="1"/>
  <c r="K11" i="1" s="1"/>
  <c r="L11" i="1" s="1"/>
  <c r="F27" i="1"/>
  <c r="M15" i="1"/>
  <c r="M16" i="1" s="1"/>
  <c r="G27" i="1"/>
  <c r="G28" i="1"/>
  <c r="G29" i="1" s="1"/>
  <c r="M21" i="1"/>
  <c r="N22" i="1" s="1"/>
  <c r="M10" i="1"/>
  <c r="M9" i="1"/>
  <c r="F23" i="1"/>
  <c r="G23" i="1" s="1"/>
  <c r="H23" i="1" s="1"/>
  <c r="I23" i="1" s="1"/>
  <c r="J23" i="1" s="1"/>
  <c r="K23" i="1" s="1"/>
  <c r="L23" i="1" s="1"/>
  <c r="M17" i="1" l="1"/>
  <c r="N15" i="1"/>
  <c r="N16" i="1" s="1"/>
  <c r="M11" i="1"/>
  <c r="N21" i="1"/>
  <c r="O22" i="1" s="1"/>
  <c r="M23" i="1"/>
  <c r="N9" i="1"/>
  <c r="N10" i="1"/>
  <c r="N11" i="1" s="1"/>
  <c r="H28" i="1"/>
  <c r="H29" i="1" s="1"/>
  <c r="H27" i="1"/>
  <c r="N17" i="1" l="1"/>
  <c r="O15" i="1"/>
  <c r="O16" i="1" s="1"/>
  <c r="N23" i="1"/>
  <c r="I27" i="1"/>
  <c r="I28" i="1"/>
  <c r="I29" i="1" s="1"/>
  <c r="O10" i="1"/>
  <c r="O11" i="1" s="1"/>
  <c r="O9" i="1"/>
  <c r="O23" i="1"/>
  <c r="O21" i="1"/>
  <c r="P22" i="1" s="1"/>
  <c r="O17" i="1" l="1"/>
  <c r="P15" i="1"/>
  <c r="P16" i="1" s="1"/>
  <c r="P17" i="1" s="1"/>
  <c r="P23" i="1"/>
  <c r="P21" i="1"/>
  <c r="P10" i="1"/>
  <c r="P11" i="1" s="1"/>
  <c r="P9" i="1"/>
  <c r="J27" i="1"/>
  <c r="J28" i="1"/>
  <c r="J29" i="1" s="1"/>
  <c r="Q21" i="1" l="1"/>
  <c r="Q22" i="1"/>
  <c r="Q23" i="1" s="1"/>
  <c r="Q15" i="1"/>
  <c r="Q16" i="1" s="1"/>
  <c r="Q17" i="1" s="1"/>
  <c r="K27" i="1"/>
  <c r="K28" i="1"/>
  <c r="K29" i="1" s="1"/>
  <c r="Q10" i="1"/>
  <c r="Q11" i="1" s="1"/>
  <c r="R15" i="1" l="1"/>
  <c r="R16" i="1" s="1"/>
  <c r="R17" i="1" s="1"/>
  <c r="R21" i="1"/>
  <c r="R22" i="1"/>
  <c r="R23" i="1" s="1"/>
  <c r="L27" i="1"/>
  <c r="L28" i="1"/>
  <c r="L29" i="1" s="1"/>
  <c r="R9" i="1"/>
  <c r="R10" i="1"/>
  <c r="R11" i="1" s="1"/>
  <c r="S15" i="1" l="1"/>
  <c r="S16" i="1" s="1"/>
  <c r="S17" i="1"/>
  <c r="S21" i="1"/>
  <c r="S22" i="1"/>
  <c r="S23" i="1" s="1"/>
  <c r="S9" i="1"/>
  <c r="S10" i="1"/>
  <c r="S11" i="1" s="1"/>
  <c r="M27" i="1"/>
  <c r="M28" i="1"/>
  <c r="M29" i="1" s="1"/>
  <c r="T15" i="1" l="1"/>
  <c r="T16" i="1" s="1"/>
  <c r="T17" i="1" s="1"/>
  <c r="T21" i="1"/>
  <c r="T22" i="1"/>
  <c r="T23" i="1" s="1"/>
  <c r="N27" i="1"/>
  <c r="N28" i="1"/>
  <c r="N29" i="1" s="1"/>
  <c r="T9" i="1"/>
  <c r="T10" i="1"/>
  <c r="T11" i="1" s="1"/>
  <c r="U21" i="1" l="1"/>
  <c r="U22" i="1"/>
  <c r="U23" i="1" s="1"/>
  <c r="U15" i="1"/>
  <c r="U16" i="1" s="1"/>
  <c r="U17" i="1"/>
  <c r="U10" i="1"/>
  <c r="U11" i="1" s="1"/>
  <c r="U9" i="1"/>
  <c r="O27" i="1"/>
  <c r="O28" i="1"/>
  <c r="O29" i="1" s="1"/>
  <c r="V15" i="1" l="1"/>
  <c r="V16" i="1" s="1"/>
  <c r="V17" i="1" s="1"/>
  <c r="V21" i="1"/>
  <c r="V22" i="1"/>
  <c r="V23" i="1" s="1"/>
  <c r="P28" i="1"/>
  <c r="P29" i="1" s="1"/>
  <c r="P27" i="1"/>
  <c r="V9" i="1"/>
  <c r="V10" i="1"/>
  <c r="V11" i="1" s="1"/>
  <c r="W21" i="1" l="1"/>
  <c r="W22" i="1"/>
  <c r="W23" i="1" s="1"/>
  <c r="W15" i="1"/>
  <c r="W16" i="1" s="1"/>
  <c r="W17" i="1" s="1"/>
  <c r="Q27" i="1"/>
  <c r="Q28" i="1"/>
  <c r="Q29" i="1" s="1"/>
  <c r="W9" i="1"/>
  <c r="W10" i="1"/>
  <c r="W11" i="1" s="1"/>
  <c r="X15" i="1" l="1"/>
  <c r="X16" i="1" s="1"/>
  <c r="X17" i="1" s="1"/>
  <c r="X21" i="1"/>
  <c r="X22" i="1"/>
  <c r="X23" i="1" s="1"/>
  <c r="X9" i="1"/>
  <c r="X10" i="1"/>
  <c r="X11" i="1" s="1"/>
  <c r="R28" i="1"/>
  <c r="R29" i="1" s="1"/>
  <c r="R27" i="1"/>
  <c r="Y15" i="1" l="1"/>
  <c r="Y16" i="1" s="1"/>
  <c r="Y17" i="1" s="1"/>
  <c r="Y21" i="1"/>
  <c r="Y22" i="1"/>
  <c r="Y23" i="1" s="1"/>
  <c r="S28" i="1"/>
  <c r="S29" i="1" s="1"/>
  <c r="S27" i="1"/>
  <c r="Y9" i="1"/>
  <c r="Y10" i="1"/>
  <c r="Y11" i="1" s="1"/>
  <c r="Z21" i="1" l="1"/>
  <c r="Z22" i="1"/>
  <c r="Z23" i="1" s="1"/>
  <c r="Z15" i="1"/>
  <c r="Z17" i="1"/>
  <c r="T27" i="1"/>
  <c r="T28" i="1"/>
  <c r="T29" i="1" s="1"/>
  <c r="Z9" i="1"/>
  <c r="Z10" i="1"/>
  <c r="Z11" i="1" s="1"/>
  <c r="AA15" i="1" l="1"/>
  <c r="AA16" i="1"/>
  <c r="AA17" i="1" s="1"/>
  <c r="AA21" i="1"/>
  <c r="AA22" i="1"/>
  <c r="AA23" i="1" s="1"/>
  <c r="AA9" i="1"/>
  <c r="AA10" i="1"/>
  <c r="AA11" i="1" s="1"/>
  <c r="U27" i="1"/>
  <c r="U28" i="1"/>
  <c r="U29" i="1" s="1"/>
  <c r="AB21" i="1" l="1"/>
  <c r="AB22" i="1"/>
  <c r="AB23" i="1" s="1"/>
  <c r="AB16" i="1"/>
  <c r="AB17" i="1" s="1"/>
  <c r="AB15" i="1"/>
  <c r="V28" i="1"/>
  <c r="V29" i="1" s="1"/>
  <c r="V27" i="1"/>
  <c r="AB10" i="1"/>
  <c r="AB11" i="1" s="1"/>
  <c r="AB9" i="1"/>
  <c r="AC16" i="1" l="1"/>
  <c r="AC17" i="1" s="1"/>
  <c r="AC15" i="1"/>
  <c r="AC22" i="1"/>
  <c r="AC23" i="1" s="1"/>
  <c r="AC21" i="1"/>
  <c r="AC9" i="1"/>
  <c r="AC10" i="1"/>
  <c r="AC11" i="1" s="1"/>
  <c r="W27" i="1"/>
  <c r="W28" i="1"/>
  <c r="W29" i="1" s="1"/>
  <c r="AD21" i="1" l="1"/>
  <c r="AD22" i="1"/>
  <c r="AD23" i="1" s="1"/>
  <c r="AD15" i="1"/>
  <c r="AD16" i="1"/>
  <c r="AD17" i="1" s="1"/>
  <c r="X28" i="1"/>
  <c r="X29" i="1" s="1"/>
  <c r="X27" i="1"/>
  <c r="AD10" i="1"/>
  <c r="AD11" i="1" s="1"/>
  <c r="AD9" i="1"/>
  <c r="AE15" i="1" l="1"/>
  <c r="AE16" i="1"/>
  <c r="AE17" i="1" s="1"/>
  <c r="AE21" i="1"/>
  <c r="AE22" i="1"/>
  <c r="AE23" i="1" s="1"/>
  <c r="AE10" i="1"/>
  <c r="AE11" i="1" s="1"/>
  <c r="AE9" i="1"/>
  <c r="Y27" i="1"/>
  <c r="Y28" i="1"/>
  <c r="Y29" i="1" s="1"/>
  <c r="AF21" i="1" l="1"/>
  <c r="AF22" i="1"/>
  <c r="AF23" i="1" s="1"/>
  <c r="AF15" i="1"/>
  <c r="AF16" i="1"/>
  <c r="AF17" i="1" s="1"/>
  <c r="Z27" i="1"/>
  <c r="Z28" i="1"/>
  <c r="Z29" i="1" s="1"/>
  <c r="AF9" i="1"/>
  <c r="AF10" i="1"/>
  <c r="AF11" i="1" s="1"/>
  <c r="AG15" i="1" l="1"/>
  <c r="AG16" i="1"/>
  <c r="AG17" i="1" s="1"/>
  <c r="AG21" i="1"/>
  <c r="AG22" i="1"/>
  <c r="AG23" i="1" s="1"/>
  <c r="AG9" i="1"/>
  <c r="AG10" i="1"/>
  <c r="AG11" i="1" s="1"/>
  <c r="AA28" i="1"/>
  <c r="AA29" i="1" s="1"/>
  <c r="AA27" i="1"/>
  <c r="AH21" i="1" l="1"/>
  <c r="AH22" i="1"/>
  <c r="AH23" i="1" s="1"/>
  <c r="AH15" i="1"/>
  <c r="AH16" i="1"/>
  <c r="AH17" i="1" s="1"/>
  <c r="AB28" i="1"/>
  <c r="AB29" i="1" s="1"/>
  <c r="AB27" i="1"/>
  <c r="AH9" i="1"/>
  <c r="AH10" i="1"/>
  <c r="AH11" i="1" s="1"/>
  <c r="AI21" i="1" l="1"/>
  <c r="AI22" i="1"/>
  <c r="AI23" i="1" s="1"/>
  <c r="AI16" i="1"/>
  <c r="AI17" i="1" s="1"/>
  <c r="AI15" i="1"/>
  <c r="AI9" i="1"/>
  <c r="AI10" i="1"/>
  <c r="AI11" i="1" s="1"/>
  <c r="AC28" i="1"/>
  <c r="AC29" i="1" s="1"/>
  <c r="AC27" i="1"/>
  <c r="AJ16" i="1" l="1"/>
  <c r="AJ17" i="1" s="1"/>
  <c r="AJ15" i="1"/>
  <c r="AJ21" i="1"/>
  <c r="AJ22" i="1"/>
  <c r="AJ23" i="1" s="1"/>
  <c r="AD28" i="1"/>
  <c r="AD29" i="1" s="1"/>
  <c r="AD27" i="1"/>
  <c r="AJ9" i="1"/>
  <c r="AJ10" i="1"/>
  <c r="AJ11" i="1" s="1"/>
  <c r="AK15" i="1" l="1"/>
  <c r="AK16" i="1"/>
  <c r="AK17" i="1" s="1"/>
  <c r="AK21" i="1"/>
  <c r="AK22" i="1"/>
  <c r="AK23" i="1" s="1"/>
  <c r="AE28" i="1"/>
  <c r="AE29" i="1" s="1"/>
  <c r="AE27" i="1"/>
  <c r="AK9" i="1"/>
  <c r="AK10" i="1"/>
  <c r="AK11" i="1" s="1"/>
  <c r="AL21" i="1" l="1"/>
  <c r="AL22" i="1"/>
  <c r="AL23" i="1" s="1"/>
  <c r="AL15" i="1"/>
  <c r="AL16" i="1"/>
  <c r="AL17" i="1" s="1"/>
  <c r="AF27" i="1"/>
  <c r="AF28" i="1"/>
  <c r="AF29" i="1" s="1"/>
  <c r="AL9" i="1"/>
  <c r="AL10" i="1"/>
  <c r="AL11" i="1" s="1"/>
  <c r="AM21" i="1" l="1"/>
  <c r="AM22" i="1"/>
  <c r="AM23" i="1" s="1"/>
  <c r="AM15" i="1"/>
  <c r="AM16" i="1"/>
  <c r="AM17" i="1" s="1"/>
  <c r="AM9" i="1"/>
  <c r="AM10" i="1"/>
  <c r="AM11" i="1" s="1"/>
  <c r="AG28" i="1"/>
  <c r="AG29" i="1" s="1"/>
  <c r="AG27" i="1"/>
  <c r="AN15" i="1" l="1"/>
  <c r="AN16" i="1"/>
  <c r="AN17" i="1" s="1"/>
  <c r="AN21" i="1"/>
  <c r="AN22" i="1"/>
  <c r="AN23" i="1" s="1"/>
  <c r="AH28" i="1"/>
  <c r="AH29" i="1" s="1"/>
  <c r="AH27" i="1"/>
  <c r="AN9" i="1"/>
  <c r="AN10" i="1"/>
  <c r="AN11" i="1" s="1"/>
  <c r="AO21" i="1" l="1"/>
  <c r="AO22" i="1"/>
  <c r="AO23" i="1" s="1"/>
  <c r="AO15" i="1"/>
  <c r="AO16" i="1"/>
  <c r="AO17" i="1" s="1"/>
  <c r="AO9" i="1"/>
  <c r="AO10" i="1"/>
  <c r="AI27" i="1"/>
  <c r="AI28" i="1"/>
  <c r="AI29" i="1" s="1"/>
  <c r="AO11" i="1"/>
  <c r="AP21" i="1" l="1"/>
  <c r="AP22" i="1"/>
  <c r="AP23" i="1" s="1"/>
  <c r="AP15" i="1"/>
  <c r="AP16" i="1"/>
  <c r="AP17" i="1" s="1"/>
  <c r="AJ27" i="1"/>
  <c r="AJ28" i="1"/>
  <c r="AJ29" i="1" s="1"/>
  <c r="AP9" i="1"/>
  <c r="AP10" i="1"/>
  <c r="AP11" i="1" s="1"/>
  <c r="AQ15" i="1" l="1"/>
  <c r="AQ16" i="1"/>
  <c r="AQ17" i="1" s="1"/>
  <c r="AQ21" i="1"/>
  <c r="AQ22" i="1"/>
  <c r="AQ23" i="1" s="1"/>
  <c r="AK27" i="1"/>
  <c r="AK28" i="1"/>
  <c r="AK29" i="1" s="1"/>
  <c r="AQ9" i="1"/>
  <c r="AQ10" i="1"/>
  <c r="AQ11" i="1" s="1"/>
  <c r="AR21" i="1" l="1"/>
  <c r="AR22" i="1"/>
  <c r="AR23" i="1" s="1"/>
  <c r="AR16" i="1"/>
  <c r="AR17" i="1" s="1"/>
  <c r="AR15" i="1"/>
  <c r="AR9" i="1"/>
  <c r="AR10" i="1"/>
  <c r="AR11" i="1" s="1"/>
  <c r="AL27" i="1"/>
  <c r="AL28" i="1"/>
  <c r="AL29" i="1" s="1"/>
  <c r="AS15" i="1" l="1"/>
  <c r="AS16" i="1"/>
  <c r="AS17" i="1" s="1"/>
  <c r="AS21" i="1"/>
  <c r="AS22" i="1"/>
  <c r="AS23" i="1" s="1"/>
  <c r="AM27" i="1"/>
  <c r="AM28" i="1"/>
  <c r="AM29" i="1" s="1"/>
  <c r="AS9" i="1"/>
  <c r="AS10" i="1"/>
  <c r="AS11" i="1" s="1"/>
  <c r="AT21" i="1" l="1"/>
  <c r="AT22" i="1"/>
  <c r="AT23" i="1" s="1"/>
  <c r="AT16" i="1"/>
  <c r="AT17" i="1" s="1"/>
  <c r="AT15" i="1"/>
  <c r="AT9" i="1"/>
  <c r="AT10" i="1"/>
  <c r="AT11" i="1" s="1"/>
  <c r="AN27" i="1"/>
  <c r="AN28" i="1"/>
  <c r="AN29" i="1" s="1"/>
  <c r="AU21" i="1" l="1"/>
  <c r="AU22" i="1"/>
  <c r="AU23" i="1" s="1"/>
  <c r="AU16" i="1"/>
  <c r="AU17" i="1" s="1"/>
  <c r="AU15" i="1"/>
  <c r="AO27" i="1"/>
  <c r="AO28" i="1"/>
  <c r="AO29" i="1" s="1"/>
  <c r="AU9" i="1"/>
  <c r="AU10" i="1"/>
  <c r="AU11" i="1" s="1"/>
  <c r="AV15" i="1" l="1"/>
  <c r="AV16" i="1"/>
  <c r="AV17" i="1" s="1"/>
  <c r="AV21" i="1"/>
  <c r="AV22" i="1"/>
  <c r="AV23" i="1" s="1"/>
  <c r="AV9" i="1"/>
  <c r="AV10" i="1"/>
  <c r="AV11" i="1" s="1"/>
  <c r="AP27" i="1"/>
  <c r="AP28" i="1"/>
  <c r="AP29" i="1" s="1"/>
  <c r="AW21" i="1" l="1"/>
  <c r="AW22" i="1"/>
  <c r="AW23" i="1" s="1"/>
  <c r="AW15" i="1"/>
  <c r="AW16" i="1"/>
  <c r="AW17" i="1" s="1"/>
  <c r="AQ28" i="1"/>
  <c r="AQ29" i="1" s="1"/>
  <c r="AQ27" i="1"/>
  <c r="AW9" i="1"/>
  <c r="AW10" i="1"/>
  <c r="AW11" i="1" s="1"/>
  <c r="AX21" i="1" l="1"/>
  <c r="AX22" i="1"/>
  <c r="AX23" i="1" s="1"/>
  <c r="AX16" i="1"/>
  <c r="AX17" i="1" s="1"/>
  <c r="AX15" i="1"/>
  <c r="AR28" i="1"/>
  <c r="AR29" i="1" s="1"/>
  <c r="AR27" i="1"/>
  <c r="AX9" i="1"/>
  <c r="AX10" i="1"/>
  <c r="AX11" i="1" s="1"/>
  <c r="AY16" i="1" l="1"/>
  <c r="AY17" i="1" s="1"/>
  <c r="AY15" i="1"/>
  <c r="AY21" i="1"/>
  <c r="AY22" i="1"/>
  <c r="AY23" i="1" s="1"/>
  <c r="AY9" i="1"/>
  <c r="AY10" i="1"/>
  <c r="AY11" i="1" s="1"/>
  <c r="AS28" i="1"/>
  <c r="AS29" i="1" s="1"/>
  <c r="AS27" i="1"/>
  <c r="AZ15" i="1" l="1"/>
  <c r="BA16" i="1" s="1"/>
  <c r="AZ16" i="1"/>
  <c r="AZ17" i="1" s="1"/>
  <c r="AZ21" i="1"/>
  <c r="AZ22" i="1"/>
  <c r="AZ23" i="1" s="1"/>
  <c r="AT27" i="1"/>
  <c r="AT28" i="1"/>
  <c r="AT29" i="1" s="1"/>
  <c r="AZ9" i="1"/>
  <c r="AZ10" i="1"/>
  <c r="AZ11" i="1" s="1"/>
  <c r="BA21" i="1" l="1"/>
  <c r="BA22" i="1"/>
  <c r="BA23" i="1" s="1"/>
  <c r="BA15" i="1"/>
  <c r="BA17" i="1"/>
  <c r="BA9" i="1"/>
  <c r="BA10" i="1"/>
  <c r="BA11" i="1" s="1"/>
  <c r="AU27" i="1"/>
  <c r="AU28" i="1"/>
  <c r="AU29" i="1" s="1"/>
  <c r="BB21" i="1" l="1"/>
  <c r="BB22" i="1"/>
  <c r="BB23" i="1" s="1"/>
  <c r="BB15" i="1"/>
  <c r="BB16" i="1"/>
  <c r="BB17" i="1" s="1"/>
  <c r="AV28" i="1"/>
  <c r="AV29" i="1" s="1"/>
  <c r="AV27" i="1"/>
  <c r="BB9" i="1"/>
  <c r="BB10" i="1"/>
  <c r="BB11" i="1" s="1"/>
  <c r="BC16" i="1" l="1"/>
  <c r="BC17" i="1" s="1"/>
  <c r="BC15" i="1"/>
  <c r="BC21" i="1"/>
  <c r="BC22" i="1"/>
  <c r="BC23" i="1" s="1"/>
  <c r="BC10" i="1"/>
  <c r="BC11" i="1" s="1"/>
  <c r="BC9" i="1"/>
  <c r="AW28" i="1"/>
  <c r="AW29" i="1" s="1"/>
  <c r="AW27" i="1"/>
  <c r="BD21" i="1" l="1"/>
  <c r="BD22" i="1"/>
  <c r="BD23" i="1" s="1"/>
  <c r="BD15" i="1"/>
  <c r="BD16" i="1"/>
  <c r="BD17" i="1" s="1"/>
  <c r="AX27" i="1"/>
  <c r="AX28" i="1"/>
  <c r="AX29" i="1" s="1"/>
  <c r="BD10" i="1"/>
  <c r="BD11" i="1" s="1"/>
  <c r="BD9" i="1"/>
  <c r="BE21" i="1" l="1"/>
  <c r="BE22" i="1"/>
  <c r="BE23" i="1" s="1"/>
  <c r="BE16" i="1"/>
  <c r="BE17" i="1" s="1"/>
  <c r="BE15" i="1"/>
  <c r="BE10" i="1"/>
  <c r="BE11" i="1" s="1"/>
  <c r="BE9" i="1"/>
  <c r="AY27" i="1"/>
  <c r="AY28" i="1"/>
  <c r="AY29" i="1" s="1"/>
  <c r="BF15" i="1" l="1"/>
  <c r="BF16" i="1"/>
  <c r="BF17" i="1" s="1"/>
  <c r="BF21" i="1"/>
  <c r="BF22" i="1"/>
  <c r="BF23" i="1" s="1"/>
  <c r="BF10" i="1"/>
  <c r="BF9" i="1"/>
  <c r="AZ27" i="1"/>
  <c r="AZ28" i="1"/>
  <c r="AZ29" i="1" s="1"/>
  <c r="BF11" i="1"/>
  <c r="BG21" i="1" l="1"/>
  <c r="BG22" i="1"/>
  <c r="BG23" i="1" s="1"/>
  <c r="BG15" i="1"/>
  <c r="BG16" i="1"/>
  <c r="BG17" i="1" s="1"/>
  <c r="BA27" i="1"/>
  <c r="BA28" i="1"/>
  <c r="BA29" i="1" s="1"/>
  <c r="BG9" i="1"/>
  <c r="BG10" i="1"/>
  <c r="BG11" i="1" s="1"/>
  <c r="BH16" i="1" l="1"/>
  <c r="BH17" i="1" s="1"/>
  <c r="BH15" i="1"/>
  <c r="BH21" i="1"/>
  <c r="BH22" i="1"/>
  <c r="BH23" i="1" s="1"/>
  <c r="BH9" i="1"/>
  <c r="BH10" i="1"/>
  <c r="BH11" i="1" s="1"/>
  <c r="BB27" i="1"/>
  <c r="BB28" i="1"/>
  <c r="BB29" i="1" s="1"/>
  <c r="BI15" i="1" l="1"/>
  <c r="BI16" i="1"/>
  <c r="BI17" i="1" s="1"/>
  <c r="BI21" i="1"/>
  <c r="BI22" i="1"/>
  <c r="BI23" i="1" s="1"/>
  <c r="BC27" i="1"/>
  <c r="BC28" i="1"/>
  <c r="BC29" i="1" s="1"/>
  <c r="BI10" i="1"/>
  <c r="BI11" i="1" s="1"/>
  <c r="BI9" i="1"/>
  <c r="BJ15" i="1" l="1"/>
  <c r="BJ16" i="1"/>
  <c r="BJ17" i="1" s="1"/>
  <c r="BJ21" i="1"/>
  <c r="BJ22" i="1"/>
  <c r="BJ23" i="1" s="1"/>
  <c r="BJ9" i="1"/>
  <c r="BJ10" i="1"/>
  <c r="BJ11" i="1" s="1"/>
  <c r="BD28" i="1"/>
  <c r="BD29" i="1" s="1"/>
  <c r="BD27" i="1"/>
  <c r="BK21" i="1" l="1"/>
  <c r="BK22" i="1"/>
  <c r="BK23" i="1" s="1"/>
  <c r="BK16" i="1"/>
  <c r="BK17" i="1" s="1"/>
  <c r="BK15" i="1"/>
  <c r="BE27" i="1"/>
  <c r="BE28" i="1"/>
  <c r="BE29" i="1" s="1"/>
  <c r="BK10" i="1"/>
  <c r="BK11" i="1" s="1"/>
  <c r="BK9" i="1"/>
  <c r="BL15" i="1" l="1"/>
  <c r="BL16" i="1"/>
  <c r="BL17" i="1" s="1"/>
  <c r="BL21" i="1"/>
  <c r="BL22" i="1"/>
  <c r="BL23" i="1" s="1"/>
  <c r="BF27" i="1"/>
  <c r="BF28" i="1"/>
  <c r="BF29" i="1" s="1"/>
  <c r="BL9" i="1"/>
  <c r="BL10" i="1"/>
  <c r="BL11" i="1" s="1"/>
  <c r="BM21" i="1" l="1"/>
  <c r="BM22" i="1"/>
  <c r="BM23" i="1" s="1"/>
  <c r="BM15" i="1"/>
  <c r="BM16" i="1"/>
  <c r="BM17" i="1"/>
  <c r="BM10" i="1"/>
  <c r="BM11" i="1" s="1"/>
  <c r="BM9" i="1"/>
  <c r="BG27" i="1"/>
  <c r="BG28" i="1"/>
  <c r="BG29" i="1" s="1"/>
  <c r="BN15" i="1" l="1"/>
  <c r="BN16" i="1"/>
  <c r="BN17" i="1" s="1"/>
  <c r="BN21" i="1"/>
  <c r="BN22" i="1"/>
  <c r="BN23" i="1" s="1"/>
  <c r="BH27" i="1"/>
  <c r="BH28" i="1"/>
  <c r="BH29" i="1" s="1"/>
  <c r="BN9" i="1"/>
  <c r="BN10" i="1"/>
  <c r="BN11" i="1" s="1"/>
  <c r="BO21" i="1" l="1"/>
  <c r="BO22" i="1"/>
  <c r="BO23" i="1" s="1"/>
  <c r="BO16" i="1"/>
  <c r="BO17" i="1" s="1"/>
  <c r="BO15" i="1"/>
  <c r="BO10" i="1"/>
  <c r="BO11" i="1" s="1"/>
  <c r="BO9" i="1"/>
  <c r="BI27" i="1"/>
  <c r="BI28" i="1"/>
  <c r="BI29" i="1" s="1"/>
  <c r="BP15" i="1" l="1"/>
  <c r="BP16" i="1"/>
  <c r="BP17" i="1" s="1"/>
  <c r="BP21" i="1"/>
  <c r="BP22" i="1"/>
  <c r="BP23" i="1" s="1"/>
  <c r="BJ27" i="1"/>
  <c r="BJ28" i="1"/>
  <c r="BJ29" i="1" s="1"/>
  <c r="BP9" i="1"/>
  <c r="BP10" i="1"/>
  <c r="BP11" i="1" s="1"/>
  <c r="BQ21" i="1" l="1"/>
  <c r="BQ22" i="1"/>
  <c r="BQ23" i="1" s="1"/>
  <c r="BQ16" i="1"/>
  <c r="BQ17" i="1" s="1"/>
  <c r="BQ15" i="1"/>
  <c r="BQ9" i="1"/>
  <c r="BQ10" i="1"/>
  <c r="BQ11" i="1" s="1"/>
  <c r="BK27" i="1"/>
  <c r="BK28" i="1"/>
  <c r="BK29" i="1" s="1"/>
  <c r="BR15" i="1" l="1"/>
  <c r="BR16" i="1"/>
  <c r="BR17" i="1" s="1"/>
  <c r="BR21" i="1"/>
  <c r="BR22" i="1"/>
  <c r="BR23" i="1" s="1"/>
  <c r="BL27" i="1"/>
  <c r="BL28" i="1"/>
  <c r="BL29" i="1" s="1"/>
  <c r="BR9" i="1"/>
  <c r="BR10" i="1"/>
  <c r="BR11" i="1" s="1"/>
  <c r="BS21" i="1" l="1"/>
  <c r="BS22" i="1"/>
  <c r="BS23" i="1" s="1"/>
  <c r="BS15" i="1"/>
  <c r="BS16" i="1"/>
  <c r="BS17" i="1" s="1"/>
  <c r="BS9" i="1"/>
  <c r="BS10" i="1"/>
  <c r="BS11" i="1" s="1"/>
  <c r="BM28" i="1"/>
  <c r="BM29" i="1" s="1"/>
  <c r="BM27" i="1"/>
  <c r="BT15" i="1" l="1"/>
  <c r="BT16" i="1"/>
  <c r="BT17" i="1" s="1"/>
  <c r="BT21" i="1"/>
  <c r="BT22" i="1"/>
  <c r="BT23" i="1" s="1"/>
  <c r="BN27" i="1"/>
  <c r="BN28" i="1"/>
  <c r="BN29" i="1" s="1"/>
  <c r="BT9" i="1"/>
  <c r="BT10" i="1"/>
  <c r="BT11" i="1" s="1"/>
  <c r="BU21" i="1" l="1"/>
  <c r="BU22" i="1"/>
  <c r="BU23" i="1" s="1"/>
  <c r="BU15" i="1"/>
  <c r="BU16" i="1"/>
  <c r="BU17" i="1" s="1"/>
  <c r="BU10" i="1"/>
  <c r="BU11" i="1" s="1"/>
  <c r="BU9" i="1"/>
  <c r="BO27" i="1"/>
  <c r="BO28" i="1"/>
  <c r="BO29" i="1" s="1"/>
  <c r="BV15" i="1" l="1"/>
  <c r="BV16" i="1"/>
  <c r="BV17" i="1" s="1"/>
  <c r="BV21" i="1"/>
  <c r="BV22" i="1"/>
  <c r="BV23" i="1" s="1"/>
  <c r="BP27" i="1"/>
  <c r="BP28" i="1"/>
  <c r="BP29" i="1" s="1"/>
  <c r="BV10" i="1"/>
  <c r="BV11" i="1" s="1"/>
  <c r="BV9" i="1"/>
  <c r="BW21" i="1" l="1"/>
  <c r="BW22" i="1"/>
  <c r="BW23" i="1" s="1"/>
  <c r="BW15" i="1"/>
  <c r="BW16" i="1"/>
  <c r="BW17" i="1" s="1"/>
  <c r="BW9" i="1"/>
  <c r="BW10" i="1"/>
  <c r="BW11" i="1" s="1"/>
  <c r="BQ27" i="1"/>
  <c r="BQ28" i="1"/>
  <c r="BQ29" i="1" s="1"/>
  <c r="BX15" i="1" l="1"/>
  <c r="BX16" i="1"/>
  <c r="BX17" i="1" s="1"/>
  <c r="BX21" i="1"/>
  <c r="BX22" i="1"/>
  <c r="BX23" i="1" s="1"/>
  <c r="BR27" i="1"/>
  <c r="BR28" i="1"/>
  <c r="BR29" i="1" s="1"/>
  <c r="BX10" i="1"/>
  <c r="BX11" i="1" s="1"/>
  <c r="BX9" i="1"/>
  <c r="BY21" i="1" l="1"/>
  <c r="BY22" i="1"/>
  <c r="BY23" i="1" s="1"/>
  <c r="BY15" i="1"/>
  <c r="BY16" i="1"/>
  <c r="BY17" i="1" s="1"/>
  <c r="BY9" i="1"/>
  <c r="BY10" i="1"/>
  <c r="BY11" i="1" s="1"/>
  <c r="BS28" i="1"/>
  <c r="BS29" i="1" s="1"/>
  <c r="BS27" i="1"/>
  <c r="BZ15" i="1" l="1"/>
  <c r="BZ16" i="1"/>
  <c r="BZ17" i="1" s="1"/>
  <c r="BZ21" i="1"/>
  <c r="BZ22" i="1"/>
  <c r="BZ23" i="1" s="1"/>
  <c r="BT28" i="1"/>
  <c r="BT29" i="1" s="1"/>
  <c r="BT27" i="1"/>
  <c r="BZ10" i="1"/>
  <c r="BZ11" i="1" s="1"/>
  <c r="BZ9" i="1"/>
  <c r="CA21" i="1" l="1"/>
  <c r="CA22" i="1"/>
  <c r="CA23" i="1" s="1"/>
  <c r="CA15" i="1"/>
  <c r="CA16" i="1"/>
  <c r="CA17" i="1" s="1"/>
  <c r="CA10" i="1"/>
  <c r="CA11" i="1" s="1"/>
  <c r="CA9" i="1"/>
  <c r="BU27" i="1"/>
  <c r="BU28" i="1"/>
  <c r="BU29" i="1" s="1"/>
  <c r="CB15" i="1" l="1"/>
  <c r="CB16" i="1"/>
  <c r="CB17" i="1" s="1"/>
  <c r="CB21" i="1"/>
  <c r="CB22" i="1"/>
  <c r="CB23" i="1" s="1"/>
  <c r="BV27" i="1"/>
  <c r="BV28" i="1"/>
  <c r="BV29" i="1" s="1"/>
  <c r="CB10" i="1"/>
  <c r="CB11" i="1" s="1"/>
  <c r="CB9" i="1"/>
  <c r="CC21" i="1" l="1"/>
  <c r="CC22" i="1"/>
  <c r="CC23" i="1" s="1"/>
  <c r="CC15" i="1"/>
  <c r="CC16" i="1"/>
  <c r="CC17" i="1" s="1"/>
  <c r="CC9" i="1"/>
  <c r="CC10" i="1"/>
  <c r="CC11" i="1" s="1"/>
  <c r="BW27" i="1"/>
  <c r="BW28" i="1"/>
  <c r="BW29" i="1" s="1"/>
  <c r="CD15" i="1" l="1"/>
  <c r="CD16" i="1"/>
  <c r="CD17" i="1" s="1"/>
  <c r="CD21" i="1"/>
  <c r="CD22" i="1"/>
  <c r="CD23" i="1" s="1"/>
  <c r="BX27" i="1"/>
  <c r="BX28" i="1"/>
  <c r="BX29" i="1" s="1"/>
  <c r="CD9" i="1"/>
  <c r="CD10" i="1"/>
  <c r="CD11" i="1" s="1"/>
  <c r="CE21" i="1" l="1"/>
  <c r="CE22" i="1"/>
  <c r="CE23" i="1" s="1"/>
  <c r="CE15" i="1"/>
  <c r="CE16" i="1"/>
  <c r="CE17" i="1" s="1"/>
  <c r="CE9" i="1"/>
  <c r="CE10" i="1"/>
  <c r="CE11" i="1" s="1"/>
  <c r="BY28" i="1"/>
  <c r="BY29" i="1" s="1"/>
  <c r="BY27" i="1"/>
  <c r="CF16" i="1" l="1"/>
  <c r="CF17" i="1" s="1"/>
  <c r="CF15" i="1"/>
  <c r="CF21" i="1"/>
  <c r="CF22" i="1"/>
  <c r="CF23" i="1" s="1"/>
  <c r="BZ28" i="1"/>
  <c r="BZ29" i="1" s="1"/>
  <c r="BZ27" i="1"/>
  <c r="CF10" i="1"/>
  <c r="CF11" i="1" s="1"/>
  <c r="CF9" i="1"/>
  <c r="CG21" i="1" l="1"/>
  <c r="CG22" i="1"/>
  <c r="CG23" i="1" s="1"/>
  <c r="CG15" i="1"/>
  <c r="CG16" i="1"/>
  <c r="CG17" i="1" s="1"/>
  <c r="CA28" i="1"/>
  <c r="CA29" i="1" s="1"/>
  <c r="CA27" i="1"/>
  <c r="CG10" i="1"/>
  <c r="CG11" i="1" s="1"/>
  <c r="CG9" i="1"/>
  <c r="CH15" i="1" l="1"/>
  <c r="CH16" i="1"/>
  <c r="CH17" i="1" s="1"/>
  <c r="CH21" i="1"/>
  <c r="CH22" i="1"/>
  <c r="CH23" i="1" s="1"/>
  <c r="CH10" i="1"/>
  <c r="CH11" i="1" s="1"/>
  <c r="CH9" i="1"/>
  <c r="CB27" i="1"/>
  <c r="CB28" i="1"/>
  <c r="CB29" i="1" s="1"/>
  <c r="CI21" i="1" l="1"/>
  <c r="CI22" i="1"/>
  <c r="CI23" i="1" s="1"/>
  <c r="CI15" i="1"/>
  <c r="CI16" i="1"/>
  <c r="CI17" i="1" s="1"/>
  <c r="CC27" i="1"/>
  <c r="CC28" i="1"/>
  <c r="CC29" i="1" s="1"/>
  <c r="CI10" i="1"/>
  <c r="CI11" i="1" s="1"/>
  <c r="CI9" i="1"/>
  <c r="CJ21" i="1" l="1"/>
  <c r="CJ22" i="1"/>
  <c r="CJ23" i="1" s="1"/>
  <c r="CK23" i="1" s="1"/>
  <c r="CL23" i="1" s="1"/>
  <c r="CM23" i="1" s="1"/>
  <c r="CN23" i="1" s="1"/>
  <c r="CO23" i="1" s="1"/>
  <c r="CP23" i="1" s="1"/>
  <c r="CQ23" i="1" s="1"/>
  <c r="CR23" i="1" s="1"/>
  <c r="CS23" i="1" s="1"/>
  <c r="CT23" i="1" s="1"/>
  <c r="CU23" i="1" s="1"/>
  <c r="CV23" i="1" s="1"/>
  <c r="CW23" i="1" s="1"/>
  <c r="CJ15" i="1"/>
  <c r="CJ16" i="1"/>
  <c r="CJ17" i="1" s="1"/>
  <c r="CK17" i="1" s="1"/>
  <c r="CL17" i="1" s="1"/>
  <c r="CM17" i="1" s="1"/>
  <c r="CN17" i="1" s="1"/>
  <c r="CO17" i="1" s="1"/>
  <c r="CP17" i="1" s="1"/>
  <c r="CQ17" i="1" s="1"/>
  <c r="CR17" i="1" s="1"/>
  <c r="CS17" i="1" s="1"/>
  <c r="CT17" i="1" s="1"/>
  <c r="CU17" i="1" s="1"/>
  <c r="CV17" i="1" s="1"/>
  <c r="CW17" i="1" s="1"/>
  <c r="CJ10" i="1"/>
  <c r="CJ11" i="1" s="1"/>
  <c r="CJ9" i="1"/>
  <c r="CD28" i="1"/>
  <c r="CD29" i="1" s="1"/>
  <c r="CD27" i="1"/>
  <c r="CK11" i="1" l="1"/>
  <c r="CE27" i="1"/>
  <c r="CE28" i="1"/>
  <c r="CE29" i="1" s="1"/>
  <c r="CL9" i="1" l="1"/>
  <c r="CL10" i="1"/>
  <c r="CL11" i="1" s="1"/>
  <c r="D6" i="3"/>
  <c r="E6" i="3" s="1"/>
  <c r="D5" i="3"/>
  <c r="CF28" i="1"/>
  <c r="CF29" i="1" s="1"/>
  <c r="CF27" i="1"/>
  <c r="CM10" i="1" l="1"/>
  <c r="CM11" i="1" s="1"/>
  <c r="CM9" i="1"/>
  <c r="E5" i="3"/>
  <c r="CG27" i="1"/>
  <c r="CG28" i="1"/>
  <c r="CG29" i="1" s="1"/>
  <c r="CN9" i="1" l="1"/>
  <c r="CN10" i="1"/>
  <c r="CN11" i="1" s="1"/>
  <c r="CH28" i="1"/>
  <c r="CH29" i="1" s="1"/>
  <c r="CH27" i="1"/>
  <c r="CO10" i="1" l="1"/>
  <c r="CO11" i="1" s="1"/>
  <c r="CO9" i="1"/>
  <c r="CI27" i="1"/>
  <c r="CI28" i="1"/>
  <c r="CI29" i="1" s="1"/>
  <c r="CP10" i="1" l="1"/>
  <c r="CP11" i="1" s="1"/>
  <c r="CP9" i="1"/>
  <c r="CJ27" i="1"/>
  <c r="CJ28" i="1"/>
  <c r="CJ29" i="1" s="1"/>
  <c r="CK29" i="1" s="1"/>
  <c r="CL29" i="1" s="1"/>
  <c r="CM29" i="1" s="1"/>
  <c r="CN29" i="1" s="1"/>
  <c r="CO29" i="1" s="1"/>
  <c r="CP29" i="1" s="1"/>
  <c r="CQ29" i="1" s="1"/>
  <c r="CR29" i="1" s="1"/>
  <c r="CS29" i="1" s="1"/>
  <c r="CT29" i="1" s="1"/>
  <c r="CU29" i="1" s="1"/>
  <c r="CV29" i="1" s="1"/>
  <c r="CW29" i="1" s="1"/>
  <c r="CQ10" i="1" l="1"/>
  <c r="CQ11" i="1" s="1"/>
  <c r="CQ9" i="1"/>
  <c r="D7" i="3"/>
  <c r="CR10" i="1" l="1"/>
  <c r="CR11" i="1" s="1"/>
  <c r="CR9" i="1"/>
  <c r="E7" i="3"/>
  <c r="CS9" i="1" l="1"/>
  <c r="CS10" i="1"/>
  <c r="CS11" i="1" s="1"/>
  <c r="CT10" i="1" l="1"/>
  <c r="CT11" i="1" s="1"/>
  <c r="CT9" i="1"/>
  <c r="CU10" i="1" l="1"/>
  <c r="CU11" i="1" s="1"/>
  <c r="CU9" i="1"/>
  <c r="CV10" i="1" l="1"/>
  <c r="CV11" i="1" s="1"/>
  <c r="CW11" i="1" s="1"/>
  <c r="D4" i="3" s="1"/>
  <c r="CV9" i="1"/>
  <c r="E4" i="3" l="1"/>
  <c r="E8" i="3" s="1"/>
  <c r="D8" i="3"/>
</calcChain>
</file>

<file path=xl/sharedStrings.xml><?xml version="1.0" encoding="utf-8"?>
<sst xmlns="http://schemas.openxmlformats.org/spreadsheetml/2006/main" count="181" uniqueCount="60">
  <si>
    <t>HRZ</t>
  </si>
  <si>
    <t>Account 1522 - Pension and OPEB Forecast Accrual versus Actual Cash Payments Differential Carrying Charges</t>
  </si>
  <si>
    <t>Accrual in Rates</t>
  </si>
  <si>
    <t>Cash Payment Made</t>
  </si>
  <si>
    <t>Difference</t>
  </si>
  <si>
    <t>Cumulative Difference</t>
  </si>
  <si>
    <t>Carrying Charges</t>
  </si>
  <si>
    <t>Cumulative Carrying Charges</t>
  </si>
  <si>
    <t>BRZ</t>
  </si>
  <si>
    <t>PRZ</t>
  </si>
  <si>
    <t>ERZ</t>
  </si>
  <si>
    <t>Approved Deferral and Variance Accounts </t>
  </si>
  <si>
    <t>CWIP Account - Prescribed Interest Rate (per the FTSE Canada (formerly DEX) Mid Term Bond Index All Corporate Yield 2)</t>
  </si>
  <si>
    <t>Q1 2026</t>
  </si>
  <si>
    <t>Q4 2025</t>
  </si>
  <si>
    <t>Q3 2025</t>
  </si>
  <si>
    <t>Q2 2025</t>
  </si>
  <si>
    <t>Q1 2025</t>
  </si>
  <si>
    <t>Q4 2024</t>
  </si>
  <si>
    <t>Q3 2024</t>
  </si>
  <si>
    <t>Q2 2024</t>
  </si>
  <si>
    <t>Q1 2024</t>
  </si>
  <si>
    <t>Q4 2023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</si>
  <si>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</si>
  <si>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</si>
  <si>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</si>
  <si>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</si>
  <si>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</si>
  <si>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</si>
  <si>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</si>
  <si>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</si>
  <si>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Q3 2021</t>
  </si>
  <si>
    <t>Q2 2021</t>
  </si>
  <si>
    <t>Q1 2021</t>
  </si>
  <si>
    <t>Q4 2020</t>
  </si>
  <si>
    <t>Q3 2020</t>
  </si>
  <si>
    <t>Q2 2020</t>
  </si>
  <si>
    <t>Q1 2020</t>
  </si>
  <si>
    <t>Q4 2019</t>
  </si>
  <si>
    <t>Q3 2019</t>
  </si>
  <si>
    <t>Q2 2019</t>
  </si>
  <si>
    <t>Q1 2019</t>
  </si>
  <si>
    <t>Q4 2018</t>
  </si>
  <si>
    <t>Q3 2018</t>
  </si>
  <si>
    <t>Q2 2018</t>
  </si>
  <si>
    <t>Q1 2018</t>
  </si>
  <si>
    <t>Quarter by Year1</t>
  </si>
  <si>
    <t>Prescribed interest rates | Ontario Energy Board</t>
  </si>
  <si>
    <t>CWIP Account - Prescribed Interest Rate</t>
  </si>
  <si>
    <t>Full Year Forecast</t>
  </si>
  <si>
    <t>2026 Forecast</t>
  </si>
  <si>
    <t>Worksheet Calculation</t>
  </si>
  <si>
    <t>Opening Balance</t>
  </si>
  <si>
    <t>Total</t>
  </si>
  <si>
    <t>Period</t>
  </si>
  <si>
    <t>Total Claim from DVA Schedule</t>
  </si>
  <si>
    <t>Exhibit 9, Tab 3, Sch 18, page 2, Table 9-3-53 HRZ</t>
  </si>
  <si>
    <t>Exhibit 9, Tab 3, Sch 18, page 2, Table 9-3-53 BRZ</t>
  </si>
  <si>
    <t>Exhibit 9, Tab 3, Sch 18, page 2, Table 9-3-53 PRZ</t>
  </si>
  <si>
    <t>Exhibit 9, Tab 3, Sch 18, page 2, Table 9-3-53 ERZ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</si>
</sst>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4" fillId="0" borderId="1" xfId="1" applyNumberFormat="1" applyFont="1" applyBorder="1"/>
    <xf numFmtId="0" fontId="4" fillId="0" borderId="2" xfId="0" applyFont="1" applyBorder="1"/>
    <xf numFmtId="43" fontId="4" fillId="0" borderId="0" xfId="1" applyFont="1"/>
    <xf numFmtId="0" fontId="5" fillId="0" borderId="0" xfId="0" applyFont="1"/>
    <xf numFmtId="0" fontId="4" fillId="0" borderId="6" xfId="0" applyFont="1" applyBorder="1"/>
    <xf numFmtId="17" fontId="5" fillId="0" borderId="7" xfId="0" applyNumberFormat="1" applyFont="1" applyBorder="1" applyAlignment="1">
      <alignment horizontal="center"/>
    </xf>
    <xf numFmtId="17" fontId="5" fillId="0" borderId="8" xfId="0" applyNumberFormat="1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164" fontId="4" fillId="0" borderId="2" xfId="1" applyNumberFormat="1" applyFont="1" applyFill="1" applyBorder="1"/>
    <xf numFmtId="164" fontId="4" fillId="0" borderId="0" xfId="1" applyNumberFormat="1" applyFont="1" applyFill="1" applyBorder="1"/>
    <xf numFmtId="164" fontId="4" fillId="0" borderId="3" xfId="1" applyNumberFormat="1" applyFont="1" applyFill="1" applyBorder="1"/>
    <xf numFmtId="164" fontId="4" fillId="0" borderId="0" xfId="1" applyNumberFormat="1" applyFont="1" applyFill="1"/>
    <xf numFmtId="0" fontId="5" fillId="0" borderId="2" xfId="0" applyFont="1" applyBorder="1"/>
    <xf numFmtId="164" fontId="4" fillId="0" borderId="2" xfId="0" applyNumberFormat="1" applyFont="1" applyBorder="1"/>
    <xf numFmtId="164" fontId="4" fillId="0" borderId="0" xfId="0" applyNumberFormat="1" applyFont="1"/>
    <xf numFmtId="164" fontId="4" fillId="0" borderId="3" xfId="0" applyNumberFormat="1" applyFont="1" applyBorder="1"/>
    <xf numFmtId="0" fontId="5" fillId="0" borderId="6" xfId="0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2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b.ca/regulatory-rules-and-documents/rules-codes-and-requirements/prescribed-interest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81A9-D165-4BCD-BC95-B51C326BABF7}">
  <dimension ref="A1:I33"/>
  <sheetViews>
    <sheetView tabSelected="1" workbookViewId="0">
      <selection activeCell="B29" sqref="B29"/>
    </sheetView>
  </sheetViews>
  <sheetFormatPr defaultColWidth="8.7109375" defaultRowHeight="14.25" x14ac:dyDescent="0.2"/>
  <cols>
    <col min="1" max="1" width="8.7109375" style="1"/>
    <col min="2" max="2" width="65.42578125" style="1" customWidth="1"/>
    <col min="3" max="3" width="21.85546875" style="1" customWidth="1"/>
    <col min="4" max="4" width="20.85546875" style="1" customWidth="1"/>
    <col min="5" max="5" width="19.42578125" style="1" customWidth="1"/>
    <col min="6" max="8" width="8.7109375" style="1"/>
    <col min="9" max="9" width="11.85546875" style="1" bestFit="1" customWidth="1"/>
    <col min="10" max="16384" width="8.7109375" style="1"/>
  </cols>
  <sheetData>
    <row r="1" spans="1:9" x14ac:dyDescent="0.2">
      <c r="A1" s="1" t="s">
        <v>1</v>
      </c>
    </row>
    <row r="3" spans="1:9" ht="30" x14ac:dyDescent="0.25">
      <c r="A3" s="2"/>
      <c r="B3" s="2"/>
      <c r="C3" s="3" t="s">
        <v>55</v>
      </c>
      <c r="D3" s="4" t="s">
        <v>51</v>
      </c>
      <c r="E3" s="4" t="s">
        <v>4</v>
      </c>
      <c r="F3" s="5"/>
    </row>
    <row r="4" spans="1:9" x14ac:dyDescent="0.2">
      <c r="A4" s="2" t="s">
        <v>0</v>
      </c>
      <c r="B4" s="2" t="s">
        <v>56</v>
      </c>
      <c r="C4" s="6">
        <v>-501255.07902699988</v>
      </c>
      <c r="D4" s="6">
        <f>+Calculation!CW11</f>
        <v>-501255.12974399974</v>
      </c>
      <c r="E4" s="6">
        <f>+C4-D4</f>
        <v>5.0716999860014766E-2</v>
      </c>
      <c r="F4" s="7"/>
      <c r="I4" s="8"/>
    </row>
    <row r="5" spans="1:9" x14ac:dyDescent="0.2">
      <c r="A5" s="2" t="s">
        <v>8</v>
      </c>
      <c r="B5" s="2" t="s">
        <v>57</v>
      </c>
      <c r="C5" s="6">
        <v>-557375.24234799994</v>
      </c>
      <c r="D5" s="6">
        <f>+Calculation!CW17</f>
        <v>-557375.23314933374</v>
      </c>
      <c r="E5" s="6">
        <f>+C5-D5</f>
        <v>-9.1986662009730935E-3</v>
      </c>
      <c r="F5" s="7"/>
      <c r="I5" s="8"/>
    </row>
    <row r="6" spans="1:9" x14ac:dyDescent="0.2">
      <c r="A6" s="2" t="s">
        <v>9</v>
      </c>
      <c r="B6" s="2" t="s">
        <v>58</v>
      </c>
      <c r="C6" s="6">
        <v>-615501.94928399997</v>
      </c>
      <c r="D6" s="6">
        <f>+Calculation!CW23</f>
        <v>-615501.90076523589</v>
      </c>
      <c r="E6" s="6">
        <f>+C6-D6</f>
        <v>-4.8518764087930322E-2</v>
      </c>
      <c r="F6" s="7"/>
      <c r="I6" s="8"/>
    </row>
    <row r="7" spans="1:9" x14ac:dyDescent="0.2">
      <c r="A7" s="2" t="s">
        <v>10</v>
      </c>
      <c r="B7" s="2" t="s">
        <v>59</v>
      </c>
      <c r="C7" s="6">
        <v>-326394.52894799999</v>
      </c>
      <c r="D7" s="6">
        <f>+Calculation!CW29</f>
        <v>-326394.56673731079</v>
      </c>
      <c r="E7" s="6">
        <f>+C7-D7</f>
        <v>3.7789310794323683E-2</v>
      </c>
      <c r="F7" s="7"/>
      <c r="I7" s="8"/>
    </row>
    <row r="8" spans="1:9" x14ac:dyDescent="0.2">
      <c r="A8" s="2" t="s">
        <v>53</v>
      </c>
      <c r="B8" s="2"/>
      <c r="C8" s="6">
        <f>SUM(C4:C7)</f>
        <v>-2000526.7996069996</v>
      </c>
      <c r="D8" s="6">
        <f>SUM(D4:D7)</f>
        <v>-2000526.8303958799</v>
      </c>
      <c r="E8" s="6">
        <f>SUM(E4:E7)</f>
        <v>3.0788880365435034E-2</v>
      </c>
      <c r="F8" s="7"/>
      <c r="I8" s="8"/>
    </row>
    <row r="33" s="1" customFormat="1" ht="15.9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A3C3-F30E-4CA3-BC03-BE99825E126E}">
  <dimension ref="B1:DS34"/>
  <sheetViews>
    <sheetView topLeftCell="A15" zoomScaleNormal="100" workbookViewId="0">
      <selection activeCell="C40" sqref="C40"/>
    </sheetView>
  </sheetViews>
  <sheetFormatPr defaultColWidth="8.7109375" defaultRowHeight="14.25" x14ac:dyDescent="0.2"/>
  <cols>
    <col min="1" max="2" width="8.7109375" style="1"/>
    <col min="3" max="3" width="34.85546875" style="1" customWidth="1"/>
    <col min="4" max="4" width="14.5703125" style="1" customWidth="1"/>
    <col min="5" max="5" width="12.85546875" style="1" bestFit="1" customWidth="1"/>
    <col min="6" max="6" width="12.7109375" style="1" customWidth="1"/>
    <col min="7" max="7" width="10.5703125" style="1" customWidth="1"/>
    <col min="8" max="8" width="12.5703125" style="1" customWidth="1"/>
    <col min="9" max="9" width="12.85546875" style="1" customWidth="1"/>
    <col min="10" max="10" width="11.85546875" style="1" customWidth="1"/>
    <col min="11" max="11" width="12.5703125" style="1" customWidth="1"/>
    <col min="12" max="12" width="12" style="1" customWidth="1"/>
    <col min="13" max="13" width="11.85546875" style="1" customWidth="1"/>
    <col min="14" max="14" width="10.85546875" style="1" customWidth="1"/>
    <col min="15" max="16" width="10.5703125" style="1" customWidth="1"/>
    <col min="17" max="17" width="11.5703125" style="1" customWidth="1"/>
    <col min="18" max="28" width="10.85546875" style="1" customWidth="1"/>
    <col min="29" max="52" width="11.140625" style="1" customWidth="1"/>
    <col min="53" max="63" width="11.42578125" style="1" customWidth="1"/>
    <col min="64" max="64" width="11.140625" style="1" customWidth="1"/>
    <col min="65" max="75" width="12.42578125" style="1" customWidth="1"/>
    <col min="76" max="88" width="11.85546875" style="1" customWidth="1"/>
    <col min="89" max="100" width="12.28515625" style="1" customWidth="1"/>
    <col min="101" max="101" width="15.5703125" style="1" customWidth="1"/>
    <col min="102" max="102" width="16.140625" style="1" customWidth="1"/>
    <col min="103" max="16384" width="8.7109375" style="1"/>
  </cols>
  <sheetData>
    <row r="1" spans="2:123" x14ac:dyDescent="0.2">
      <c r="B1" s="1" t="s">
        <v>1</v>
      </c>
    </row>
    <row r="4" spans="2:123" ht="15" x14ac:dyDescent="0.25">
      <c r="D4" s="9"/>
      <c r="E4" s="30">
        <v>2018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>
        <v>2019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>
        <v>2020</v>
      </c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>
        <v>2021</v>
      </c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>
        <v>2022</v>
      </c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>
        <v>2023</v>
      </c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>
        <v>2024</v>
      </c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>
        <v>2025</v>
      </c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4" t="s">
        <v>50</v>
      </c>
    </row>
    <row r="5" spans="2:123" ht="15" x14ac:dyDescent="0.25">
      <c r="C5" s="10"/>
      <c r="D5" s="11" t="s">
        <v>52</v>
      </c>
      <c r="E5" s="11">
        <f>DATE(E4,1,31)</f>
        <v>43131</v>
      </c>
      <c r="F5" s="12">
        <f>EOMONTH(E5,1)</f>
        <v>43159</v>
      </c>
      <c r="G5" s="12">
        <f t="shared" ref="G5:P5" si="0">EOMONTH(F5,1)</f>
        <v>43190</v>
      </c>
      <c r="H5" s="12">
        <f t="shared" si="0"/>
        <v>43220</v>
      </c>
      <c r="I5" s="12">
        <f t="shared" si="0"/>
        <v>43251</v>
      </c>
      <c r="J5" s="12">
        <f t="shared" si="0"/>
        <v>43281</v>
      </c>
      <c r="K5" s="12">
        <f t="shared" si="0"/>
        <v>43312</v>
      </c>
      <c r="L5" s="12">
        <f t="shared" si="0"/>
        <v>43343</v>
      </c>
      <c r="M5" s="12">
        <f t="shared" si="0"/>
        <v>43373</v>
      </c>
      <c r="N5" s="12">
        <f t="shared" si="0"/>
        <v>43404</v>
      </c>
      <c r="O5" s="12">
        <f t="shared" si="0"/>
        <v>43434</v>
      </c>
      <c r="P5" s="13">
        <f t="shared" si="0"/>
        <v>43465</v>
      </c>
      <c r="Q5" s="11">
        <f>DATE(Q4,1,31)</f>
        <v>43496</v>
      </c>
      <c r="R5" s="12">
        <f>EOMONTH(Q5,1)</f>
        <v>43524</v>
      </c>
      <c r="S5" s="12">
        <f t="shared" ref="S5:AB5" si="1">EOMONTH(R5,1)</f>
        <v>43555</v>
      </c>
      <c r="T5" s="12">
        <f t="shared" si="1"/>
        <v>43585</v>
      </c>
      <c r="U5" s="12">
        <f t="shared" si="1"/>
        <v>43616</v>
      </c>
      <c r="V5" s="12">
        <f t="shared" si="1"/>
        <v>43646</v>
      </c>
      <c r="W5" s="12">
        <f t="shared" si="1"/>
        <v>43677</v>
      </c>
      <c r="X5" s="12">
        <f t="shared" si="1"/>
        <v>43708</v>
      </c>
      <c r="Y5" s="12">
        <f t="shared" si="1"/>
        <v>43738</v>
      </c>
      <c r="Z5" s="12">
        <f t="shared" si="1"/>
        <v>43769</v>
      </c>
      <c r="AA5" s="12">
        <f t="shared" si="1"/>
        <v>43799</v>
      </c>
      <c r="AB5" s="13">
        <f t="shared" si="1"/>
        <v>43830</v>
      </c>
      <c r="AC5" s="11">
        <f>DATE(AC4,1,31)</f>
        <v>43861</v>
      </c>
      <c r="AD5" s="12">
        <f>EOMONTH(AC5,1)</f>
        <v>43890</v>
      </c>
      <c r="AE5" s="12">
        <f t="shared" ref="AE5:AN5" si="2">EOMONTH(AD5,1)</f>
        <v>43921</v>
      </c>
      <c r="AF5" s="12">
        <f t="shared" si="2"/>
        <v>43951</v>
      </c>
      <c r="AG5" s="12">
        <f t="shared" si="2"/>
        <v>43982</v>
      </c>
      <c r="AH5" s="12">
        <f t="shared" si="2"/>
        <v>44012</v>
      </c>
      <c r="AI5" s="12">
        <f t="shared" si="2"/>
        <v>44043</v>
      </c>
      <c r="AJ5" s="12">
        <f t="shared" si="2"/>
        <v>44074</v>
      </c>
      <c r="AK5" s="12">
        <f t="shared" si="2"/>
        <v>44104</v>
      </c>
      <c r="AL5" s="12">
        <f t="shared" si="2"/>
        <v>44135</v>
      </c>
      <c r="AM5" s="12">
        <f t="shared" si="2"/>
        <v>44165</v>
      </c>
      <c r="AN5" s="13">
        <f t="shared" si="2"/>
        <v>44196</v>
      </c>
      <c r="AO5" s="11">
        <f>DATE(AO4,1,31)</f>
        <v>44227</v>
      </c>
      <c r="AP5" s="12">
        <f>EOMONTH(AO5,1)</f>
        <v>44255</v>
      </c>
      <c r="AQ5" s="12">
        <f t="shared" ref="AQ5:AZ5" si="3">EOMONTH(AP5,1)</f>
        <v>44286</v>
      </c>
      <c r="AR5" s="12">
        <f t="shared" si="3"/>
        <v>44316</v>
      </c>
      <c r="AS5" s="12">
        <f t="shared" si="3"/>
        <v>44347</v>
      </c>
      <c r="AT5" s="12">
        <f t="shared" si="3"/>
        <v>44377</v>
      </c>
      <c r="AU5" s="12">
        <f t="shared" si="3"/>
        <v>44408</v>
      </c>
      <c r="AV5" s="12">
        <f t="shared" si="3"/>
        <v>44439</v>
      </c>
      <c r="AW5" s="12">
        <f t="shared" si="3"/>
        <v>44469</v>
      </c>
      <c r="AX5" s="12">
        <f t="shared" si="3"/>
        <v>44500</v>
      </c>
      <c r="AY5" s="12">
        <f t="shared" si="3"/>
        <v>44530</v>
      </c>
      <c r="AZ5" s="13">
        <f t="shared" si="3"/>
        <v>44561</v>
      </c>
      <c r="BA5" s="11">
        <f>DATE(BA4,1,31)</f>
        <v>44592</v>
      </c>
      <c r="BB5" s="12">
        <f>EOMONTH(BA5,1)</f>
        <v>44620</v>
      </c>
      <c r="BC5" s="12">
        <f t="shared" ref="BC5:BL5" si="4">EOMONTH(BB5,1)</f>
        <v>44651</v>
      </c>
      <c r="BD5" s="12">
        <f t="shared" si="4"/>
        <v>44681</v>
      </c>
      <c r="BE5" s="12">
        <f t="shared" si="4"/>
        <v>44712</v>
      </c>
      <c r="BF5" s="12">
        <f t="shared" si="4"/>
        <v>44742</v>
      </c>
      <c r="BG5" s="12">
        <f t="shared" si="4"/>
        <v>44773</v>
      </c>
      <c r="BH5" s="12">
        <f t="shared" si="4"/>
        <v>44804</v>
      </c>
      <c r="BI5" s="12">
        <f t="shared" si="4"/>
        <v>44834</v>
      </c>
      <c r="BJ5" s="12">
        <f t="shared" si="4"/>
        <v>44865</v>
      </c>
      <c r="BK5" s="12">
        <f t="shared" si="4"/>
        <v>44895</v>
      </c>
      <c r="BL5" s="13">
        <f t="shared" si="4"/>
        <v>44926</v>
      </c>
      <c r="BM5" s="11">
        <f>DATE(BM4,1,31)</f>
        <v>44957</v>
      </c>
      <c r="BN5" s="12">
        <f>EOMONTH(BM5,1)</f>
        <v>44985</v>
      </c>
      <c r="BO5" s="12">
        <f t="shared" ref="BO5:BX5" si="5">EOMONTH(BN5,1)</f>
        <v>45016</v>
      </c>
      <c r="BP5" s="12">
        <f t="shared" si="5"/>
        <v>45046</v>
      </c>
      <c r="BQ5" s="12">
        <f t="shared" si="5"/>
        <v>45077</v>
      </c>
      <c r="BR5" s="12">
        <f t="shared" si="5"/>
        <v>45107</v>
      </c>
      <c r="BS5" s="12">
        <f t="shared" si="5"/>
        <v>45138</v>
      </c>
      <c r="BT5" s="12">
        <f t="shared" si="5"/>
        <v>45169</v>
      </c>
      <c r="BU5" s="12">
        <f t="shared" si="5"/>
        <v>45199</v>
      </c>
      <c r="BV5" s="12">
        <f t="shared" si="5"/>
        <v>45230</v>
      </c>
      <c r="BW5" s="12">
        <f t="shared" si="5"/>
        <v>45260</v>
      </c>
      <c r="BX5" s="13">
        <f t="shared" si="5"/>
        <v>45291</v>
      </c>
      <c r="BY5" s="11">
        <f>DATE(BY4,1,31)</f>
        <v>45322</v>
      </c>
      <c r="BZ5" s="12">
        <f>EOMONTH(BY5,1)</f>
        <v>45351</v>
      </c>
      <c r="CA5" s="12">
        <f t="shared" ref="CA5:CJ5" si="6">EOMONTH(BZ5,1)</f>
        <v>45382</v>
      </c>
      <c r="CB5" s="12">
        <f t="shared" si="6"/>
        <v>45412</v>
      </c>
      <c r="CC5" s="12">
        <f t="shared" si="6"/>
        <v>45443</v>
      </c>
      <c r="CD5" s="12">
        <f t="shared" si="6"/>
        <v>45473</v>
      </c>
      <c r="CE5" s="12">
        <f t="shared" si="6"/>
        <v>45504</v>
      </c>
      <c r="CF5" s="12">
        <f t="shared" si="6"/>
        <v>45535</v>
      </c>
      <c r="CG5" s="12">
        <f t="shared" si="6"/>
        <v>45565</v>
      </c>
      <c r="CH5" s="12">
        <f t="shared" si="6"/>
        <v>45596</v>
      </c>
      <c r="CI5" s="12">
        <f t="shared" si="6"/>
        <v>45626</v>
      </c>
      <c r="CJ5" s="13">
        <f t="shared" si="6"/>
        <v>45657</v>
      </c>
      <c r="CK5" s="11">
        <f>DATE(CK4,1,31)</f>
        <v>45688</v>
      </c>
      <c r="CL5" s="12">
        <f>EOMONTH(CK5,1)</f>
        <v>45716</v>
      </c>
      <c r="CM5" s="12">
        <f t="shared" ref="CM5" si="7">EOMONTH(CL5,1)</f>
        <v>45747</v>
      </c>
      <c r="CN5" s="12">
        <f t="shared" ref="CN5" si="8">EOMONTH(CM5,1)</f>
        <v>45777</v>
      </c>
      <c r="CO5" s="12">
        <f t="shared" ref="CO5" si="9">EOMONTH(CN5,1)</f>
        <v>45808</v>
      </c>
      <c r="CP5" s="12">
        <f t="shared" ref="CP5" si="10">EOMONTH(CO5,1)</f>
        <v>45838</v>
      </c>
      <c r="CQ5" s="12">
        <f t="shared" ref="CQ5" si="11">EOMONTH(CP5,1)</f>
        <v>45869</v>
      </c>
      <c r="CR5" s="12">
        <f t="shared" ref="CR5" si="12">EOMONTH(CQ5,1)</f>
        <v>45900</v>
      </c>
      <c r="CS5" s="12">
        <f t="shared" ref="CS5" si="13">EOMONTH(CR5,1)</f>
        <v>45930</v>
      </c>
      <c r="CT5" s="12">
        <f t="shared" ref="CT5" si="14">EOMONTH(CS5,1)</f>
        <v>45961</v>
      </c>
      <c r="CU5" s="12">
        <f t="shared" ref="CU5" si="15">EOMONTH(CT5,1)</f>
        <v>45991</v>
      </c>
      <c r="CV5" s="13">
        <f t="shared" ref="CV5" si="16">EOMONTH(CU5,1)</f>
        <v>46022</v>
      </c>
      <c r="CW5" s="13" t="s">
        <v>49</v>
      </c>
    </row>
    <row r="6" spans="2:123" ht="15" x14ac:dyDescent="0.25">
      <c r="B6" s="29" t="s">
        <v>0</v>
      </c>
      <c r="C6" s="9" t="s">
        <v>2</v>
      </c>
      <c r="D6" s="14"/>
      <c r="E6" s="14">
        <f>1529348/12</f>
        <v>127445.66666666667</v>
      </c>
      <c r="F6" s="15">
        <f t="shared" ref="F6:BQ6" si="17">1529348/12</f>
        <v>127445.66666666667</v>
      </c>
      <c r="G6" s="15">
        <f t="shared" si="17"/>
        <v>127445.66666666667</v>
      </c>
      <c r="H6" s="15">
        <f t="shared" si="17"/>
        <v>127445.66666666667</v>
      </c>
      <c r="I6" s="15">
        <f t="shared" si="17"/>
        <v>127445.66666666667</v>
      </c>
      <c r="J6" s="15">
        <f t="shared" si="17"/>
        <v>127445.66666666667</v>
      </c>
      <c r="K6" s="15">
        <f t="shared" si="17"/>
        <v>127445.66666666667</v>
      </c>
      <c r="L6" s="15">
        <f t="shared" si="17"/>
        <v>127445.66666666667</v>
      </c>
      <c r="M6" s="15">
        <f t="shared" si="17"/>
        <v>127445.66666666667</v>
      </c>
      <c r="N6" s="15">
        <f t="shared" si="17"/>
        <v>127445.66666666667</v>
      </c>
      <c r="O6" s="15">
        <f t="shared" si="17"/>
        <v>127445.66666666667</v>
      </c>
      <c r="P6" s="16">
        <f t="shared" si="17"/>
        <v>127445.66666666667</v>
      </c>
      <c r="Q6" s="14">
        <f t="shared" si="17"/>
        <v>127445.66666666667</v>
      </c>
      <c r="R6" s="15">
        <f t="shared" si="17"/>
        <v>127445.66666666667</v>
      </c>
      <c r="S6" s="15">
        <f t="shared" si="17"/>
        <v>127445.66666666667</v>
      </c>
      <c r="T6" s="15">
        <f t="shared" si="17"/>
        <v>127445.66666666667</v>
      </c>
      <c r="U6" s="15">
        <f t="shared" si="17"/>
        <v>127445.66666666667</v>
      </c>
      <c r="V6" s="15">
        <f t="shared" si="17"/>
        <v>127445.66666666667</v>
      </c>
      <c r="W6" s="15">
        <f t="shared" si="17"/>
        <v>127445.66666666667</v>
      </c>
      <c r="X6" s="15">
        <f t="shared" si="17"/>
        <v>127445.66666666667</v>
      </c>
      <c r="Y6" s="15">
        <f t="shared" si="17"/>
        <v>127445.66666666667</v>
      </c>
      <c r="Z6" s="15">
        <f t="shared" si="17"/>
        <v>127445.66666666667</v>
      </c>
      <c r="AA6" s="15">
        <f t="shared" si="17"/>
        <v>127445.66666666667</v>
      </c>
      <c r="AB6" s="16">
        <f t="shared" si="17"/>
        <v>127445.66666666667</v>
      </c>
      <c r="AC6" s="14">
        <f t="shared" si="17"/>
        <v>127445.66666666667</v>
      </c>
      <c r="AD6" s="15">
        <f t="shared" si="17"/>
        <v>127445.66666666667</v>
      </c>
      <c r="AE6" s="15">
        <f t="shared" si="17"/>
        <v>127445.66666666667</v>
      </c>
      <c r="AF6" s="15">
        <f t="shared" si="17"/>
        <v>127445.66666666667</v>
      </c>
      <c r="AG6" s="15">
        <f t="shared" si="17"/>
        <v>127445.66666666667</v>
      </c>
      <c r="AH6" s="15">
        <f t="shared" si="17"/>
        <v>127445.66666666667</v>
      </c>
      <c r="AI6" s="15">
        <f t="shared" si="17"/>
        <v>127445.66666666667</v>
      </c>
      <c r="AJ6" s="15">
        <f t="shared" si="17"/>
        <v>127445.66666666667</v>
      </c>
      <c r="AK6" s="15">
        <f t="shared" si="17"/>
        <v>127445.66666666667</v>
      </c>
      <c r="AL6" s="15">
        <f t="shared" si="17"/>
        <v>127445.66666666667</v>
      </c>
      <c r="AM6" s="15">
        <f t="shared" si="17"/>
        <v>127445.66666666667</v>
      </c>
      <c r="AN6" s="16">
        <f t="shared" si="17"/>
        <v>127445.66666666667</v>
      </c>
      <c r="AO6" s="14">
        <f t="shared" si="17"/>
        <v>127445.66666666667</v>
      </c>
      <c r="AP6" s="15">
        <f t="shared" si="17"/>
        <v>127445.66666666667</v>
      </c>
      <c r="AQ6" s="15">
        <f t="shared" si="17"/>
        <v>127445.66666666667</v>
      </c>
      <c r="AR6" s="15">
        <f t="shared" si="17"/>
        <v>127445.66666666667</v>
      </c>
      <c r="AS6" s="15">
        <f t="shared" si="17"/>
        <v>127445.66666666667</v>
      </c>
      <c r="AT6" s="15">
        <f t="shared" si="17"/>
        <v>127445.66666666667</v>
      </c>
      <c r="AU6" s="15">
        <f t="shared" si="17"/>
        <v>127445.66666666667</v>
      </c>
      <c r="AV6" s="15">
        <f t="shared" si="17"/>
        <v>127445.66666666667</v>
      </c>
      <c r="AW6" s="15">
        <f t="shared" si="17"/>
        <v>127445.66666666667</v>
      </c>
      <c r="AX6" s="15">
        <f t="shared" si="17"/>
        <v>127445.66666666667</v>
      </c>
      <c r="AY6" s="15">
        <f t="shared" si="17"/>
        <v>127445.66666666667</v>
      </c>
      <c r="AZ6" s="16">
        <f t="shared" si="17"/>
        <v>127445.66666666667</v>
      </c>
      <c r="BA6" s="14">
        <f t="shared" si="17"/>
        <v>127445.66666666667</v>
      </c>
      <c r="BB6" s="15">
        <f t="shared" si="17"/>
        <v>127445.66666666667</v>
      </c>
      <c r="BC6" s="15">
        <f t="shared" si="17"/>
        <v>127445.66666666667</v>
      </c>
      <c r="BD6" s="15">
        <f t="shared" si="17"/>
        <v>127445.66666666667</v>
      </c>
      <c r="BE6" s="15">
        <f t="shared" si="17"/>
        <v>127445.66666666667</v>
      </c>
      <c r="BF6" s="15">
        <f t="shared" si="17"/>
        <v>127445.66666666667</v>
      </c>
      <c r="BG6" s="15">
        <f t="shared" si="17"/>
        <v>127445.66666666667</v>
      </c>
      <c r="BH6" s="15">
        <f t="shared" si="17"/>
        <v>127445.66666666667</v>
      </c>
      <c r="BI6" s="15">
        <f t="shared" si="17"/>
        <v>127445.66666666667</v>
      </c>
      <c r="BJ6" s="15">
        <f t="shared" si="17"/>
        <v>127445.66666666667</v>
      </c>
      <c r="BK6" s="15">
        <f t="shared" si="17"/>
        <v>127445.66666666667</v>
      </c>
      <c r="BL6" s="16">
        <f t="shared" si="17"/>
        <v>127445.66666666667</v>
      </c>
      <c r="BM6" s="14">
        <f t="shared" si="17"/>
        <v>127445.66666666667</v>
      </c>
      <c r="BN6" s="15">
        <f t="shared" si="17"/>
        <v>127445.66666666667</v>
      </c>
      <c r="BO6" s="15">
        <f t="shared" si="17"/>
        <v>127445.66666666667</v>
      </c>
      <c r="BP6" s="15">
        <f t="shared" si="17"/>
        <v>127445.66666666667</v>
      </c>
      <c r="BQ6" s="15">
        <f t="shared" si="17"/>
        <v>127445.66666666667</v>
      </c>
      <c r="BR6" s="15">
        <f t="shared" ref="BR6:CV6" si="18">1529348/12</f>
        <v>127445.66666666667</v>
      </c>
      <c r="BS6" s="15">
        <f t="shared" si="18"/>
        <v>127445.66666666667</v>
      </c>
      <c r="BT6" s="15">
        <f t="shared" si="18"/>
        <v>127445.66666666667</v>
      </c>
      <c r="BU6" s="15">
        <f t="shared" si="18"/>
        <v>127445.66666666667</v>
      </c>
      <c r="BV6" s="15">
        <f t="shared" si="18"/>
        <v>127445.66666666667</v>
      </c>
      <c r="BW6" s="15">
        <f t="shared" si="18"/>
        <v>127445.66666666667</v>
      </c>
      <c r="BX6" s="16">
        <f t="shared" si="18"/>
        <v>127445.66666666667</v>
      </c>
      <c r="BY6" s="14">
        <f t="shared" si="18"/>
        <v>127445.66666666667</v>
      </c>
      <c r="BZ6" s="15">
        <f t="shared" si="18"/>
        <v>127445.66666666667</v>
      </c>
      <c r="CA6" s="15">
        <f t="shared" si="18"/>
        <v>127445.66666666667</v>
      </c>
      <c r="CB6" s="15">
        <f t="shared" si="18"/>
        <v>127445.66666666667</v>
      </c>
      <c r="CC6" s="15">
        <f t="shared" si="18"/>
        <v>127445.66666666667</v>
      </c>
      <c r="CD6" s="15">
        <f t="shared" si="18"/>
        <v>127445.66666666667</v>
      </c>
      <c r="CE6" s="15">
        <f t="shared" si="18"/>
        <v>127445.66666666667</v>
      </c>
      <c r="CF6" s="15">
        <f t="shared" si="18"/>
        <v>127445.66666666667</v>
      </c>
      <c r="CG6" s="15">
        <f t="shared" si="18"/>
        <v>127445.66666666667</v>
      </c>
      <c r="CH6" s="15">
        <f t="shared" si="18"/>
        <v>127445.66666666667</v>
      </c>
      <c r="CI6" s="15">
        <f t="shared" si="18"/>
        <v>127445.66666666667</v>
      </c>
      <c r="CJ6" s="16">
        <f t="shared" si="18"/>
        <v>127445.66666666667</v>
      </c>
      <c r="CK6" s="14">
        <f t="shared" si="18"/>
        <v>127445.66666666667</v>
      </c>
      <c r="CL6" s="15">
        <f t="shared" si="18"/>
        <v>127445.66666666667</v>
      </c>
      <c r="CM6" s="15">
        <f t="shared" si="18"/>
        <v>127445.66666666667</v>
      </c>
      <c r="CN6" s="15">
        <f t="shared" si="18"/>
        <v>127445.66666666667</v>
      </c>
      <c r="CO6" s="15">
        <f t="shared" si="18"/>
        <v>127445.66666666667</v>
      </c>
      <c r="CP6" s="15">
        <f t="shared" si="18"/>
        <v>127445.66666666667</v>
      </c>
      <c r="CQ6" s="15">
        <f t="shared" si="18"/>
        <v>127445.66666666667</v>
      </c>
      <c r="CR6" s="15">
        <f t="shared" si="18"/>
        <v>127445.66666666667</v>
      </c>
      <c r="CS6" s="15">
        <f t="shared" si="18"/>
        <v>127445.66666666667</v>
      </c>
      <c r="CT6" s="15">
        <f t="shared" si="18"/>
        <v>127445.66666666667</v>
      </c>
      <c r="CU6" s="15">
        <f t="shared" si="18"/>
        <v>127445.66666666667</v>
      </c>
      <c r="CV6" s="16">
        <f t="shared" si="18"/>
        <v>127445.66666666667</v>
      </c>
      <c r="CW6" s="16">
        <f>1529348</f>
        <v>1529348</v>
      </c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</row>
    <row r="7" spans="2:123" ht="15" x14ac:dyDescent="0.25">
      <c r="B7" s="29"/>
      <c r="C7" s="9" t="s">
        <v>3</v>
      </c>
      <c r="D7" s="14"/>
      <c r="E7" s="14">
        <f>1055885/12</f>
        <v>87990.416666666672</v>
      </c>
      <c r="F7" s="15">
        <f t="shared" ref="F7:O7" si="19">1055885/12</f>
        <v>87990.416666666672</v>
      </c>
      <c r="G7" s="15">
        <f t="shared" si="19"/>
        <v>87990.416666666672</v>
      </c>
      <c r="H7" s="15">
        <f t="shared" si="19"/>
        <v>87990.416666666672</v>
      </c>
      <c r="I7" s="15">
        <f t="shared" si="19"/>
        <v>87990.416666666672</v>
      </c>
      <c r="J7" s="15">
        <f t="shared" si="19"/>
        <v>87990.416666666672</v>
      </c>
      <c r="K7" s="15">
        <f t="shared" si="19"/>
        <v>87990.416666666672</v>
      </c>
      <c r="L7" s="15">
        <f t="shared" si="19"/>
        <v>87990.416666666672</v>
      </c>
      <c r="M7" s="15">
        <f t="shared" si="19"/>
        <v>87990.416666666672</v>
      </c>
      <c r="N7" s="15">
        <f t="shared" si="19"/>
        <v>87990.416666666672</v>
      </c>
      <c r="O7" s="15">
        <f t="shared" si="19"/>
        <v>87990.416666666672</v>
      </c>
      <c r="P7" s="16">
        <f>1055885/12+(1272706.49-1055885)</f>
        <v>304811.90666666668</v>
      </c>
      <c r="Q7" s="14">
        <f>816890/12</f>
        <v>68074.166666666672</v>
      </c>
      <c r="R7" s="15">
        <f>816890/12</f>
        <v>68074.166666666672</v>
      </c>
      <c r="S7" s="15">
        <f t="shared" ref="S7:AA7" si="20">816890/12</f>
        <v>68074.166666666672</v>
      </c>
      <c r="T7" s="15">
        <f t="shared" si="20"/>
        <v>68074.166666666672</v>
      </c>
      <c r="U7" s="15">
        <f t="shared" si="20"/>
        <v>68074.166666666672</v>
      </c>
      <c r="V7" s="15">
        <f t="shared" si="20"/>
        <v>68074.166666666672</v>
      </c>
      <c r="W7" s="15">
        <f t="shared" si="20"/>
        <v>68074.166666666672</v>
      </c>
      <c r="X7" s="15">
        <f t="shared" si="20"/>
        <v>68074.166666666672</v>
      </c>
      <c r="Y7" s="15">
        <f t="shared" si="20"/>
        <v>68074.166666666672</v>
      </c>
      <c r="Z7" s="15">
        <f t="shared" si="20"/>
        <v>68074.166666666672</v>
      </c>
      <c r="AA7" s="15">
        <f t="shared" si="20"/>
        <v>68074.166666666672</v>
      </c>
      <c r="AB7" s="16">
        <f>816890/12+(1131971.28037037-816890)-255709.78</f>
        <v>127445.66703703671</v>
      </c>
      <c r="AC7" s="14">
        <f>1398540/12+255709.78</f>
        <v>372254.78</v>
      </c>
      <c r="AD7" s="15">
        <f t="shared" ref="AD7:AM7" si="21">1398540/12</f>
        <v>116545</v>
      </c>
      <c r="AE7" s="15">
        <f t="shared" si="21"/>
        <v>116545</v>
      </c>
      <c r="AF7" s="15">
        <f t="shared" si="21"/>
        <v>116545</v>
      </c>
      <c r="AG7" s="15">
        <f t="shared" si="21"/>
        <v>116545</v>
      </c>
      <c r="AH7" s="15">
        <f t="shared" si="21"/>
        <v>116545</v>
      </c>
      <c r="AI7" s="15">
        <f t="shared" si="21"/>
        <v>116545</v>
      </c>
      <c r="AJ7" s="15">
        <f t="shared" si="21"/>
        <v>116545</v>
      </c>
      <c r="AK7" s="15">
        <f t="shared" si="21"/>
        <v>116545</v>
      </c>
      <c r="AL7" s="15">
        <f t="shared" si="21"/>
        <v>116545</v>
      </c>
      <c r="AM7" s="15">
        <f t="shared" si="21"/>
        <v>116545</v>
      </c>
      <c r="AN7" s="16">
        <f>1398540/12+(980737.77-1398540)</f>
        <v>-301257.23</v>
      </c>
      <c r="AO7" s="14">
        <f>1464037/12</f>
        <v>122003.08333333333</v>
      </c>
      <c r="AP7" s="15">
        <f t="shared" ref="AP7:AY7" si="22">1464037/12</f>
        <v>122003.08333333333</v>
      </c>
      <c r="AQ7" s="15">
        <f t="shared" si="22"/>
        <v>122003.08333333333</v>
      </c>
      <c r="AR7" s="15">
        <f t="shared" si="22"/>
        <v>122003.08333333333</v>
      </c>
      <c r="AS7" s="15">
        <f t="shared" si="22"/>
        <v>122003.08333333333</v>
      </c>
      <c r="AT7" s="15">
        <f t="shared" si="22"/>
        <v>122003.08333333333</v>
      </c>
      <c r="AU7" s="15">
        <f t="shared" si="22"/>
        <v>122003.08333333333</v>
      </c>
      <c r="AV7" s="15">
        <f t="shared" si="22"/>
        <v>122003.08333333333</v>
      </c>
      <c r="AW7" s="15">
        <f t="shared" si="22"/>
        <v>122003.08333333333</v>
      </c>
      <c r="AX7" s="15">
        <f t="shared" si="22"/>
        <v>122003.08333333333</v>
      </c>
      <c r="AY7" s="15">
        <f t="shared" si="22"/>
        <v>122003.08333333333</v>
      </c>
      <c r="AZ7" s="16">
        <f>1464037/12+(1209224.26-1464037)</f>
        <v>-132809.65666666668</v>
      </c>
      <c r="BA7" s="14">
        <f>1545343/12</f>
        <v>128778.58333333333</v>
      </c>
      <c r="BB7" s="15">
        <f t="shared" ref="BB7:BK7" si="23">1545343/12</f>
        <v>128778.58333333333</v>
      </c>
      <c r="BC7" s="15">
        <f t="shared" si="23"/>
        <v>128778.58333333333</v>
      </c>
      <c r="BD7" s="15">
        <f t="shared" si="23"/>
        <v>128778.58333333333</v>
      </c>
      <c r="BE7" s="15">
        <f t="shared" si="23"/>
        <v>128778.58333333333</v>
      </c>
      <c r="BF7" s="15">
        <f t="shared" si="23"/>
        <v>128778.58333333333</v>
      </c>
      <c r="BG7" s="15">
        <f t="shared" si="23"/>
        <v>128778.58333333333</v>
      </c>
      <c r="BH7" s="15">
        <f t="shared" si="23"/>
        <v>128778.58333333333</v>
      </c>
      <c r="BI7" s="15">
        <f t="shared" si="23"/>
        <v>128778.58333333333</v>
      </c>
      <c r="BJ7" s="15">
        <f t="shared" si="23"/>
        <v>128778.58333333333</v>
      </c>
      <c r="BK7" s="15">
        <f t="shared" si="23"/>
        <v>128778.58333333333</v>
      </c>
      <c r="BL7" s="16">
        <f>1545343/12+(1325615.3-1545343)</f>
        <v>-90949.116666666625</v>
      </c>
      <c r="BM7" s="14">
        <f>1507148/12</f>
        <v>125595.66666666667</v>
      </c>
      <c r="BN7" s="15">
        <f t="shared" ref="BN7:BW7" si="24">1507148/12</f>
        <v>125595.66666666667</v>
      </c>
      <c r="BO7" s="15">
        <f t="shared" si="24"/>
        <v>125595.66666666667</v>
      </c>
      <c r="BP7" s="15">
        <f t="shared" si="24"/>
        <v>125595.66666666667</v>
      </c>
      <c r="BQ7" s="15">
        <f t="shared" si="24"/>
        <v>125595.66666666667</v>
      </c>
      <c r="BR7" s="15">
        <f t="shared" si="24"/>
        <v>125595.66666666667</v>
      </c>
      <c r="BS7" s="15">
        <f t="shared" si="24"/>
        <v>125595.66666666667</v>
      </c>
      <c r="BT7" s="15">
        <f t="shared" si="24"/>
        <v>125595.66666666667</v>
      </c>
      <c r="BU7" s="15">
        <f t="shared" si="24"/>
        <v>125595.66666666667</v>
      </c>
      <c r="BV7" s="15">
        <f t="shared" si="24"/>
        <v>125595.66666666667</v>
      </c>
      <c r="BW7" s="15">
        <f t="shared" si="24"/>
        <v>125595.66666666667</v>
      </c>
      <c r="BX7" s="16">
        <f>1507148/12+(1259946.05-1507148)</f>
        <v>-121606.28333333328</v>
      </c>
      <c r="BY7" s="14">
        <f>1571882/12</f>
        <v>130990.16666666667</v>
      </c>
      <c r="BZ7" s="15">
        <f t="shared" ref="BZ7:CI7" si="25">1571882/12</f>
        <v>130990.16666666667</v>
      </c>
      <c r="CA7" s="15">
        <f t="shared" si="25"/>
        <v>130990.16666666667</v>
      </c>
      <c r="CB7" s="15">
        <f t="shared" si="25"/>
        <v>130990.16666666667</v>
      </c>
      <c r="CC7" s="15">
        <f t="shared" si="25"/>
        <v>130990.16666666667</v>
      </c>
      <c r="CD7" s="15">
        <f t="shared" si="25"/>
        <v>130990.16666666667</v>
      </c>
      <c r="CE7" s="15">
        <f t="shared" si="25"/>
        <v>130990.16666666667</v>
      </c>
      <c r="CF7" s="15">
        <f t="shared" si="25"/>
        <v>130990.16666666667</v>
      </c>
      <c r="CG7" s="15">
        <f t="shared" si="25"/>
        <v>130990.16666666667</v>
      </c>
      <c r="CH7" s="15">
        <f t="shared" si="25"/>
        <v>130990.16666666667</v>
      </c>
      <c r="CI7" s="15">
        <f t="shared" si="25"/>
        <v>130990.16666666667</v>
      </c>
      <c r="CJ7" s="16">
        <f>1571882/12+(1442157.16-1571882)</f>
        <v>1265.3266666665877</v>
      </c>
      <c r="CK7" s="14">
        <f>1622258/12</f>
        <v>135188.16666666666</v>
      </c>
      <c r="CL7" s="15">
        <f t="shared" ref="CL7:CU7" si="26">1622258/12</f>
        <v>135188.16666666666</v>
      </c>
      <c r="CM7" s="15">
        <f t="shared" si="26"/>
        <v>135188.16666666666</v>
      </c>
      <c r="CN7" s="15">
        <f t="shared" si="26"/>
        <v>135188.16666666666</v>
      </c>
      <c r="CO7" s="15">
        <f t="shared" si="26"/>
        <v>135188.16666666666</v>
      </c>
      <c r="CP7" s="15">
        <f t="shared" si="26"/>
        <v>135188.16666666666</v>
      </c>
      <c r="CQ7" s="15">
        <f t="shared" si="26"/>
        <v>135188.16666666666</v>
      </c>
      <c r="CR7" s="15">
        <f t="shared" si="26"/>
        <v>135188.16666666666</v>
      </c>
      <c r="CS7" s="15">
        <f t="shared" si="26"/>
        <v>135188.16666666666</v>
      </c>
      <c r="CT7" s="15">
        <f t="shared" si="26"/>
        <v>135188.16666666666</v>
      </c>
      <c r="CU7" s="15">
        <f t="shared" si="26"/>
        <v>135188.16666666666</v>
      </c>
      <c r="CV7" s="16">
        <f>1622258/12+(1466813.34-1622258)</f>
        <v>-20256.493333333259</v>
      </c>
      <c r="CW7" s="16">
        <f>SUM(BM7:CV7)/3</f>
        <v>1389638.8499999994</v>
      </c>
    </row>
    <row r="8" spans="2:123" ht="15" x14ac:dyDescent="0.25">
      <c r="B8" s="29"/>
      <c r="C8" s="18" t="s">
        <v>4</v>
      </c>
      <c r="D8" s="19"/>
      <c r="E8" s="19">
        <f>+E7-E6</f>
        <v>-39455.25</v>
      </c>
      <c r="F8" s="20">
        <f t="shared" ref="F8:P8" si="27">+F7-F6</f>
        <v>-39455.25</v>
      </c>
      <c r="G8" s="20">
        <f t="shared" si="27"/>
        <v>-39455.25</v>
      </c>
      <c r="H8" s="20">
        <f t="shared" si="27"/>
        <v>-39455.25</v>
      </c>
      <c r="I8" s="20">
        <f t="shared" si="27"/>
        <v>-39455.25</v>
      </c>
      <c r="J8" s="20">
        <f t="shared" si="27"/>
        <v>-39455.25</v>
      </c>
      <c r="K8" s="20">
        <f t="shared" si="27"/>
        <v>-39455.25</v>
      </c>
      <c r="L8" s="20">
        <f t="shared" si="27"/>
        <v>-39455.25</v>
      </c>
      <c r="M8" s="20">
        <f t="shared" si="27"/>
        <v>-39455.25</v>
      </c>
      <c r="N8" s="20">
        <f t="shared" si="27"/>
        <v>-39455.25</v>
      </c>
      <c r="O8" s="20">
        <f t="shared" si="27"/>
        <v>-39455.25</v>
      </c>
      <c r="P8" s="21">
        <f t="shared" si="27"/>
        <v>177366.24</v>
      </c>
      <c r="Q8" s="19">
        <f>+Q7-Q6</f>
        <v>-59371.5</v>
      </c>
      <c r="R8" s="20">
        <f t="shared" ref="R8" si="28">+R7-R6</f>
        <v>-59371.5</v>
      </c>
      <c r="S8" s="20">
        <f t="shared" ref="S8" si="29">+S7-S6</f>
        <v>-59371.5</v>
      </c>
      <c r="T8" s="20">
        <f t="shared" ref="T8" si="30">+T7-T6</f>
        <v>-59371.5</v>
      </c>
      <c r="U8" s="20">
        <f t="shared" ref="U8" si="31">+U7-U6</f>
        <v>-59371.5</v>
      </c>
      <c r="V8" s="20">
        <f t="shared" ref="V8" si="32">+V7-V6</f>
        <v>-59371.5</v>
      </c>
      <c r="W8" s="20">
        <f t="shared" ref="W8" si="33">+W7-W6</f>
        <v>-59371.5</v>
      </c>
      <c r="X8" s="20">
        <f t="shared" ref="X8" si="34">+X7-X6</f>
        <v>-59371.5</v>
      </c>
      <c r="Y8" s="20">
        <f t="shared" ref="Y8" si="35">+Y7-Y6</f>
        <v>-59371.5</v>
      </c>
      <c r="Z8" s="20">
        <f t="shared" ref="Z8" si="36">+Z7-Z6</f>
        <v>-59371.5</v>
      </c>
      <c r="AA8" s="20">
        <f t="shared" ref="AA8" si="37">+AA7-AA6</f>
        <v>-59371.5</v>
      </c>
      <c r="AB8" s="21">
        <f t="shared" ref="AB8" si="38">+AB7-AB6</f>
        <v>3.7037003494333476E-4</v>
      </c>
      <c r="AC8" s="19">
        <f t="shared" ref="AC8" si="39">+AC7-AC6</f>
        <v>244809.11333333334</v>
      </c>
      <c r="AD8" s="20">
        <f t="shared" ref="AD8" si="40">+AD7-AD6</f>
        <v>-10900.666666666672</v>
      </c>
      <c r="AE8" s="20">
        <f t="shared" ref="AE8" si="41">+AE7-AE6</f>
        <v>-10900.666666666672</v>
      </c>
      <c r="AF8" s="20">
        <f t="shared" ref="AF8" si="42">+AF7-AF6</f>
        <v>-10900.666666666672</v>
      </c>
      <c r="AG8" s="20">
        <f t="shared" ref="AG8" si="43">+AG7-AG6</f>
        <v>-10900.666666666672</v>
      </c>
      <c r="AH8" s="20">
        <f t="shared" ref="AH8" si="44">+AH7-AH6</f>
        <v>-10900.666666666672</v>
      </c>
      <c r="AI8" s="20">
        <f t="shared" ref="AI8" si="45">+AI7-AI6</f>
        <v>-10900.666666666672</v>
      </c>
      <c r="AJ8" s="20">
        <f t="shared" ref="AJ8" si="46">+AJ7-AJ6</f>
        <v>-10900.666666666672</v>
      </c>
      <c r="AK8" s="20">
        <f t="shared" ref="AK8" si="47">+AK7-AK6</f>
        <v>-10900.666666666672</v>
      </c>
      <c r="AL8" s="20">
        <f t="shared" ref="AL8" si="48">+AL7-AL6</f>
        <v>-10900.666666666672</v>
      </c>
      <c r="AM8" s="20">
        <f t="shared" ref="AM8" si="49">+AM7-AM6</f>
        <v>-10900.666666666672</v>
      </c>
      <c r="AN8" s="21">
        <f t="shared" ref="AN8:AZ8" si="50">+AN7-AN6</f>
        <v>-428702.89666666667</v>
      </c>
      <c r="AO8" s="19">
        <f t="shared" si="50"/>
        <v>-5442.583333333343</v>
      </c>
      <c r="AP8" s="20">
        <f t="shared" si="50"/>
        <v>-5442.583333333343</v>
      </c>
      <c r="AQ8" s="20">
        <f t="shared" si="50"/>
        <v>-5442.583333333343</v>
      </c>
      <c r="AR8" s="20">
        <f t="shared" si="50"/>
        <v>-5442.583333333343</v>
      </c>
      <c r="AS8" s="20">
        <f t="shared" si="50"/>
        <v>-5442.583333333343</v>
      </c>
      <c r="AT8" s="20">
        <f t="shared" si="50"/>
        <v>-5442.583333333343</v>
      </c>
      <c r="AU8" s="20">
        <f t="shared" si="50"/>
        <v>-5442.583333333343</v>
      </c>
      <c r="AV8" s="20">
        <f t="shared" si="50"/>
        <v>-5442.583333333343</v>
      </c>
      <c r="AW8" s="20">
        <f t="shared" si="50"/>
        <v>-5442.583333333343</v>
      </c>
      <c r="AX8" s="20">
        <f t="shared" si="50"/>
        <v>-5442.583333333343</v>
      </c>
      <c r="AY8" s="20">
        <f t="shared" si="50"/>
        <v>-5442.583333333343</v>
      </c>
      <c r="AZ8" s="21">
        <f t="shared" si="50"/>
        <v>-260255.32333333336</v>
      </c>
      <c r="BA8" s="19">
        <f t="shared" ref="BA8" si="51">+BA7-BA6</f>
        <v>1332.916666666657</v>
      </c>
      <c r="BB8" s="20">
        <f t="shared" ref="BB8" si="52">+BB7-BB6</f>
        <v>1332.916666666657</v>
      </c>
      <c r="BC8" s="20">
        <f t="shared" ref="BC8" si="53">+BC7-BC6</f>
        <v>1332.916666666657</v>
      </c>
      <c r="BD8" s="20">
        <f t="shared" ref="BD8" si="54">+BD7-BD6</f>
        <v>1332.916666666657</v>
      </c>
      <c r="BE8" s="20">
        <f t="shared" ref="BE8" si="55">+BE7-BE6</f>
        <v>1332.916666666657</v>
      </c>
      <c r="BF8" s="20">
        <f t="shared" ref="BF8" si="56">+BF7-BF6</f>
        <v>1332.916666666657</v>
      </c>
      <c r="BG8" s="20">
        <f t="shared" ref="BG8" si="57">+BG7-BG6</f>
        <v>1332.916666666657</v>
      </c>
      <c r="BH8" s="20">
        <f t="shared" ref="BH8" si="58">+BH7-BH6</f>
        <v>1332.916666666657</v>
      </c>
      <c r="BI8" s="20">
        <f t="shared" ref="BI8" si="59">+BI7-BI6</f>
        <v>1332.916666666657</v>
      </c>
      <c r="BJ8" s="20">
        <f t="shared" ref="BJ8" si="60">+BJ7-BJ6</f>
        <v>1332.916666666657</v>
      </c>
      <c r="BK8" s="20">
        <f t="shared" ref="BK8" si="61">+BK7-BK6</f>
        <v>1332.916666666657</v>
      </c>
      <c r="BL8" s="21">
        <f t="shared" ref="BL8" si="62">+BL7-BL6</f>
        <v>-218394.7833333333</v>
      </c>
      <c r="BM8" s="19">
        <f t="shared" ref="BM8" si="63">+BM7-BM6</f>
        <v>-1850</v>
      </c>
      <c r="BN8" s="20">
        <f t="shared" ref="BN8" si="64">+BN7-BN6</f>
        <v>-1850</v>
      </c>
      <c r="BO8" s="20">
        <f t="shared" ref="BO8" si="65">+BO7-BO6</f>
        <v>-1850</v>
      </c>
      <c r="BP8" s="20">
        <f t="shared" ref="BP8" si="66">+BP7-BP6</f>
        <v>-1850</v>
      </c>
      <c r="BQ8" s="20">
        <f t="shared" ref="BQ8" si="67">+BQ7-BQ6</f>
        <v>-1850</v>
      </c>
      <c r="BR8" s="20">
        <f t="shared" ref="BR8" si="68">+BR7-BR6</f>
        <v>-1850</v>
      </c>
      <c r="BS8" s="20">
        <f t="shared" ref="BS8" si="69">+BS7-BS6</f>
        <v>-1850</v>
      </c>
      <c r="BT8" s="20">
        <f t="shared" ref="BT8" si="70">+BT7-BT6</f>
        <v>-1850</v>
      </c>
      <c r="BU8" s="20">
        <f t="shared" ref="BU8" si="71">+BU7-BU6</f>
        <v>-1850</v>
      </c>
      <c r="BV8" s="20">
        <f t="shared" ref="BV8" si="72">+BV7-BV6</f>
        <v>-1850</v>
      </c>
      <c r="BW8" s="20">
        <f t="shared" ref="BW8" si="73">+BW7-BW6</f>
        <v>-1850</v>
      </c>
      <c r="BX8" s="21">
        <f t="shared" ref="BX8" si="74">+BX7-BX6</f>
        <v>-249051.94999999995</v>
      </c>
      <c r="BY8" s="19">
        <f t="shared" ref="BY8" si="75">+BY7-BY6</f>
        <v>3544.5</v>
      </c>
      <c r="BZ8" s="20">
        <f t="shared" ref="BZ8" si="76">+BZ7-BZ6</f>
        <v>3544.5</v>
      </c>
      <c r="CA8" s="20">
        <f t="shared" ref="CA8" si="77">+CA7-CA6</f>
        <v>3544.5</v>
      </c>
      <c r="CB8" s="20">
        <f t="shared" ref="CB8" si="78">+CB7-CB6</f>
        <v>3544.5</v>
      </c>
      <c r="CC8" s="20">
        <f t="shared" ref="CC8" si="79">+CC7-CC6</f>
        <v>3544.5</v>
      </c>
      <c r="CD8" s="20">
        <f t="shared" ref="CD8" si="80">+CD7-CD6</f>
        <v>3544.5</v>
      </c>
      <c r="CE8" s="20">
        <f t="shared" ref="CE8" si="81">+CE7-CE6</f>
        <v>3544.5</v>
      </c>
      <c r="CF8" s="20">
        <f t="shared" ref="CF8" si="82">+CF7-CF6</f>
        <v>3544.5</v>
      </c>
      <c r="CG8" s="20">
        <f t="shared" ref="CG8" si="83">+CG7-CG6</f>
        <v>3544.5</v>
      </c>
      <c r="CH8" s="20">
        <f t="shared" ref="CH8" si="84">+CH7-CH6</f>
        <v>3544.5</v>
      </c>
      <c r="CI8" s="20">
        <f t="shared" ref="CI8" si="85">+CI7-CI6</f>
        <v>3544.5</v>
      </c>
      <c r="CJ8" s="21">
        <f t="shared" ref="CJ8:CU8" si="86">+CJ7-CJ6</f>
        <v>-126180.34000000008</v>
      </c>
      <c r="CK8" s="19">
        <f t="shared" si="86"/>
        <v>7742.4999999999854</v>
      </c>
      <c r="CL8" s="20">
        <f t="shared" si="86"/>
        <v>7742.4999999999854</v>
      </c>
      <c r="CM8" s="20">
        <f t="shared" si="86"/>
        <v>7742.4999999999854</v>
      </c>
      <c r="CN8" s="20">
        <f t="shared" si="86"/>
        <v>7742.4999999999854</v>
      </c>
      <c r="CO8" s="20">
        <f t="shared" si="86"/>
        <v>7742.4999999999854</v>
      </c>
      <c r="CP8" s="20">
        <f t="shared" si="86"/>
        <v>7742.4999999999854</v>
      </c>
      <c r="CQ8" s="20">
        <f t="shared" si="86"/>
        <v>7742.4999999999854</v>
      </c>
      <c r="CR8" s="20">
        <f t="shared" si="86"/>
        <v>7742.4999999999854</v>
      </c>
      <c r="CS8" s="20">
        <f t="shared" si="86"/>
        <v>7742.4999999999854</v>
      </c>
      <c r="CT8" s="20">
        <f t="shared" si="86"/>
        <v>7742.4999999999854</v>
      </c>
      <c r="CU8" s="20">
        <f t="shared" si="86"/>
        <v>7742.4999999999854</v>
      </c>
      <c r="CV8" s="21">
        <f t="shared" ref="CV8" si="87">+CV7-CV6</f>
        <v>-147702.15999999992</v>
      </c>
      <c r="CW8" s="21">
        <f>+CW7-CW6</f>
        <v>-139709.15000000061</v>
      </c>
    </row>
    <row r="9" spans="2:123" ht="15" x14ac:dyDescent="0.25">
      <c r="B9" s="29"/>
      <c r="C9" s="9" t="s">
        <v>5</v>
      </c>
      <c r="D9" s="19">
        <v>0</v>
      </c>
      <c r="E9" s="19">
        <f>+D9+E8</f>
        <v>-39455.25</v>
      </c>
      <c r="F9" s="20">
        <f t="shared" ref="F9" si="88">+E9+F8</f>
        <v>-78910.5</v>
      </c>
      <c r="G9" s="20">
        <f t="shared" ref="G9" si="89">+F9+G8</f>
        <v>-118365.75</v>
      </c>
      <c r="H9" s="20">
        <f t="shared" ref="H9" si="90">+G9+H8</f>
        <v>-157821</v>
      </c>
      <c r="I9" s="20">
        <f t="shared" ref="I9" si="91">+H9+I8</f>
        <v>-197276.25</v>
      </c>
      <c r="J9" s="20">
        <f t="shared" ref="J9" si="92">+I9+J8</f>
        <v>-236731.5</v>
      </c>
      <c r="K9" s="20">
        <f t="shared" ref="K9" si="93">+J9+K8</f>
        <v>-276186.75</v>
      </c>
      <c r="L9" s="20">
        <f t="shared" ref="L9" si="94">+K9+L8</f>
        <v>-315642</v>
      </c>
      <c r="M9" s="20">
        <f t="shared" ref="M9" si="95">+L9+M8</f>
        <v>-355097.25</v>
      </c>
      <c r="N9" s="20">
        <f t="shared" ref="N9" si="96">+M9+N8</f>
        <v>-394552.5</v>
      </c>
      <c r="O9" s="20">
        <f t="shared" ref="O9" si="97">+N9+O8</f>
        <v>-434007.75</v>
      </c>
      <c r="P9" s="21">
        <f t="shared" ref="P9" si="98">+O9+P8</f>
        <v>-256641.51</v>
      </c>
      <c r="Q9" s="19">
        <f>+P9+Q8</f>
        <v>-316013.01</v>
      </c>
      <c r="R9" s="20">
        <f t="shared" ref="R9" si="99">+Q9+R8</f>
        <v>-375384.51</v>
      </c>
      <c r="S9" s="20">
        <f t="shared" ref="S9" si="100">+R9+S8</f>
        <v>-434756.01</v>
      </c>
      <c r="T9" s="20">
        <f t="shared" ref="T9" si="101">+S9+T8</f>
        <v>-494127.51</v>
      </c>
      <c r="U9" s="20">
        <f t="shared" ref="U9" si="102">+T9+U8</f>
        <v>-553499.01</v>
      </c>
      <c r="V9" s="20">
        <f t="shared" ref="V9" si="103">+U9+V8</f>
        <v>-612870.51</v>
      </c>
      <c r="W9" s="20">
        <f t="shared" ref="W9" si="104">+V9+W8</f>
        <v>-672242.01</v>
      </c>
      <c r="X9" s="20">
        <f t="shared" ref="X9" si="105">+W9+X8</f>
        <v>-731613.51</v>
      </c>
      <c r="Y9" s="20">
        <f t="shared" ref="Y9" si="106">+X9+Y8</f>
        <v>-790985.01</v>
      </c>
      <c r="Z9" s="20">
        <f t="shared" ref="Z9" si="107">+Y9+Z8</f>
        <v>-850356.51</v>
      </c>
      <c r="AA9" s="20">
        <f t="shared" ref="AA9" si="108">+Z9+AA8</f>
        <v>-909728.01</v>
      </c>
      <c r="AB9" s="21">
        <f t="shared" ref="AB9" si="109">+AA9+AB8</f>
        <v>-909728.00962963002</v>
      </c>
      <c r="AC9" s="19">
        <f t="shared" ref="AC9" si="110">+AB9+AC8</f>
        <v>-664918.89629629673</v>
      </c>
      <c r="AD9" s="20">
        <f t="shared" ref="AD9" si="111">+AC9+AD8</f>
        <v>-675819.56296296336</v>
      </c>
      <c r="AE9" s="20">
        <f t="shared" ref="AE9" si="112">+AD9+AE8</f>
        <v>-686720.22962962999</v>
      </c>
      <c r="AF9" s="20">
        <f t="shared" ref="AF9" si="113">+AE9+AF8</f>
        <v>-697620.89629629662</v>
      </c>
      <c r="AG9" s="20">
        <f t="shared" ref="AG9" si="114">+AF9+AG8</f>
        <v>-708521.56296296325</v>
      </c>
      <c r="AH9" s="20">
        <f t="shared" ref="AH9" si="115">+AG9+AH8</f>
        <v>-719422.22962962987</v>
      </c>
      <c r="AI9" s="20">
        <f t="shared" ref="AI9" si="116">+AH9+AI8</f>
        <v>-730322.8962962965</v>
      </c>
      <c r="AJ9" s="20">
        <f t="shared" ref="AJ9" si="117">+AI9+AJ8</f>
        <v>-741223.56296296313</v>
      </c>
      <c r="AK9" s="20">
        <f t="shared" ref="AK9" si="118">+AJ9+AK8</f>
        <v>-752124.22962962976</v>
      </c>
      <c r="AL9" s="20">
        <f t="shared" ref="AL9" si="119">+AK9+AL8</f>
        <v>-763024.89629629639</v>
      </c>
      <c r="AM9" s="20">
        <f t="shared" ref="AM9" si="120">+AL9+AM8</f>
        <v>-773925.56296296301</v>
      </c>
      <c r="AN9" s="21">
        <f t="shared" ref="AN9" si="121">+AM9+AN8</f>
        <v>-1202628.4596296297</v>
      </c>
      <c r="AO9" s="19">
        <f t="shared" ref="AO9" si="122">+AN9+AO8</f>
        <v>-1208071.042962963</v>
      </c>
      <c r="AP9" s="20">
        <f t="shared" ref="AP9" si="123">+AO9+AP8</f>
        <v>-1213513.6262962963</v>
      </c>
      <c r="AQ9" s="20">
        <f t="shared" ref="AQ9" si="124">+AP9+AQ8</f>
        <v>-1218956.2096296295</v>
      </c>
      <c r="AR9" s="20">
        <f t="shared" ref="AR9" si="125">+AQ9+AR8</f>
        <v>-1224398.7929629628</v>
      </c>
      <c r="AS9" s="20">
        <f t="shared" ref="AS9" si="126">+AR9+AS8</f>
        <v>-1229841.376296296</v>
      </c>
      <c r="AT9" s="20">
        <f t="shared" ref="AT9" si="127">+AS9+AT8</f>
        <v>-1235283.9596296293</v>
      </c>
      <c r="AU9" s="20">
        <f t="shared" ref="AU9" si="128">+AT9+AU8</f>
        <v>-1240726.5429629625</v>
      </c>
      <c r="AV9" s="20">
        <f t="shared" ref="AV9" si="129">+AU9+AV8</f>
        <v>-1246169.1262962958</v>
      </c>
      <c r="AW9" s="20">
        <f t="shared" ref="AW9" si="130">+AV9+AW8</f>
        <v>-1251611.709629629</v>
      </c>
      <c r="AX9" s="20">
        <f t="shared" ref="AX9" si="131">+AW9+AX8</f>
        <v>-1257054.2929629623</v>
      </c>
      <c r="AY9" s="20">
        <f t="shared" ref="AY9" si="132">+AX9+AY8</f>
        <v>-1262496.8762962956</v>
      </c>
      <c r="AZ9" s="21">
        <f t="shared" ref="AZ9" si="133">+AY9+AZ8</f>
        <v>-1522752.199629629</v>
      </c>
      <c r="BA9" s="19">
        <f t="shared" ref="BA9" si="134">+AZ9+BA8</f>
        <v>-1521419.2829629623</v>
      </c>
      <c r="BB9" s="20">
        <f t="shared" ref="BB9" si="135">+BA9+BB8</f>
        <v>-1520086.3662962955</v>
      </c>
      <c r="BC9" s="20">
        <f t="shared" ref="BC9" si="136">+BB9+BC8</f>
        <v>-1518753.4496296288</v>
      </c>
      <c r="BD9" s="20">
        <f t="shared" ref="BD9" si="137">+BC9+BD8</f>
        <v>-1517420.5329629621</v>
      </c>
      <c r="BE9" s="20">
        <f t="shared" ref="BE9" si="138">+BD9+BE8</f>
        <v>-1516087.6162962953</v>
      </c>
      <c r="BF9" s="20">
        <f t="shared" ref="BF9" si="139">+BE9+BF8</f>
        <v>-1514754.6996296286</v>
      </c>
      <c r="BG9" s="20">
        <f t="shared" ref="BG9" si="140">+BF9+BG8</f>
        <v>-1513421.7829629618</v>
      </c>
      <c r="BH9" s="20">
        <f t="shared" ref="BH9" si="141">+BG9+BH8</f>
        <v>-1512088.8662962951</v>
      </c>
      <c r="BI9" s="20">
        <f t="shared" ref="BI9" si="142">+BH9+BI8</f>
        <v>-1510755.9496296283</v>
      </c>
      <c r="BJ9" s="20">
        <f t="shared" ref="BJ9" si="143">+BI9+BJ8</f>
        <v>-1509423.0329629616</v>
      </c>
      <c r="BK9" s="20">
        <f t="shared" ref="BK9" si="144">+BJ9+BK8</f>
        <v>-1508090.1162962948</v>
      </c>
      <c r="BL9" s="21">
        <f t="shared" ref="BL9" si="145">+BK9+BL8</f>
        <v>-1726484.8996296281</v>
      </c>
      <c r="BM9" s="19">
        <f t="shared" ref="BM9" si="146">+BL9+BM8</f>
        <v>-1728334.8996296281</v>
      </c>
      <c r="BN9" s="20">
        <f t="shared" ref="BN9" si="147">+BM9+BN8</f>
        <v>-1730184.8996296281</v>
      </c>
      <c r="BO9" s="20">
        <f t="shared" ref="BO9" si="148">+BN9+BO8</f>
        <v>-1732034.8996296281</v>
      </c>
      <c r="BP9" s="20">
        <f t="shared" ref="BP9" si="149">+BO9+BP8</f>
        <v>-1733884.8996296281</v>
      </c>
      <c r="BQ9" s="20">
        <f t="shared" ref="BQ9" si="150">+BP9+BQ8</f>
        <v>-1735734.8996296281</v>
      </c>
      <c r="BR9" s="20">
        <f t="shared" ref="BR9" si="151">+BQ9+BR8</f>
        <v>-1737584.8996296281</v>
      </c>
      <c r="BS9" s="20">
        <f t="shared" ref="BS9" si="152">+BR9+BS8</f>
        <v>-1739434.8996296281</v>
      </c>
      <c r="BT9" s="20">
        <f t="shared" ref="BT9" si="153">+BS9+BT8</f>
        <v>-1741284.8996296281</v>
      </c>
      <c r="BU9" s="20">
        <f t="shared" ref="BU9" si="154">+BT9+BU8</f>
        <v>-1743134.8996296281</v>
      </c>
      <c r="BV9" s="20">
        <f t="shared" ref="BV9" si="155">+BU9+BV8</f>
        <v>-1744984.8996296281</v>
      </c>
      <c r="BW9" s="20">
        <f t="shared" ref="BW9" si="156">+BV9+BW8</f>
        <v>-1746834.8996296281</v>
      </c>
      <c r="BX9" s="21">
        <f t="shared" ref="BX9" si="157">+BW9+BX8</f>
        <v>-1995886.849629628</v>
      </c>
      <c r="BY9" s="19">
        <f t="shared" ref="BY9" si="158">+BX9+BY8</f>
        <v>-1992342.349629628</v>
      </c>
      <c r="BZ9" s="20">
        <f t="shared" ref="BZ9" si="159">+BY9+BZ8</f>
        <v>-1988797.849629628</v>
      </c>
      <c r="CA9" s="20">
        <f t="shared" ref="CA9" si="160">+BZ9+CA8</f>
        <v>-1985253.349629628</v>
      </c>
      <c r="CB9" s="20">
        <f t="shared" ref="CB9" si="161">+CA9+CB8</f>
        <v>-1981708.849629628</v>
      </c>
      <c r="CC9" s="20">
        <f t="shared" ref="CC9" si="162">+CB9+CC8</f>
        <v>-1978164.349629628</v>
      </c>
      <c r="CD9" s="20">
        <f t="shared" ref="CD9" si="163">+CC9+CD8</f>
        <v>-1974619.849629628</v>
      </c>
      <c r="CE9" s="20">
        <f t="shared" ref="CE9" si="164">+CD9+CE8</f>
        <v>-1971075.349629628</v>
      </c>
      <c r="CF9" s="20">
        <f t="shared" ref="CF9" si="165">+CE9+CF8</f>
        <v>-1967530.849629628</v>
      </c>
      <c r="CG9" s="20">
        <f t="shared" ref="CG9" si="166">+CF9+CG8</f>
        <v>-1963986.349629628</v>
      </c>
      <c r="CH9" s="20">
        <f t="shared" ref="CH9" si="167">+CG9+CH8</f>
        <v>-1960441.849629628</v>
      </c>
      <c r="CI9" s="20">
        <f t="shared" ref="CI9" si="168">+CH9+CI8</f>
        <v>-1956897.349629628</v>
      </c>
      <c r="CJ9" s="21">
        <f t="shared" ref="CJ9" si="169">+CI9+CJ8</f>
        <v>-2083077.6896296281</v>
      </c>
      <c r="CK9" s="19">
        <f>+CJ9+CK8</f>
        <v>-2075335.1896296281</v>
      </c>
      <c r="CL9" s="20">
        <f t="shared" ref="CL9" si="170">+CK9+CL8</f>
        <v>-2067592.6896296281</v>
      </c>
      <c r="CM9" s="20">
        <f t="shared" ref="CM9" si="171">+CL9+CM8</f>
        <v>-2059850.1896296281</v>
      </c>
      <c r="CN9" s="20">
        <f t="shared" ref="CN9" si="172">+CM9+CN8</f>
        <v>-2052107.6896296281</v>
      </c>
      <c r="CO9" s="20">
        <f t="shared" ref="CO9" si="173">+CN9+CO8</f>
        <v>-2044365.1896296281</v>
      </c>
      <c r="CP9" s="20">
        <f t="shared" ref="CP9" si="174">+CO9+CP8</f>
        <v>-2036622.6896296281</v>
      </c>
      <c r="CQ9" s="20">
        <f t="shared" ref="CQ9" si="175">+CP9+CQ8</f>
        <v>-2028880.1896296281</v>
      </c>
      <c r="CR9" s="20">
        <f t="shared" ref="CR9" si="176">+CQ9+CR8</f>
        <v>-2021137.6896296281</v>
      </c>
      <c r="CS9" s="20">
        <f t="shared" ref="CS9" si="177">+CR9+CS8</f>
        <v>-2013395.1896296281</v>
      </c>
      <c r="CT9" s="20">
        <f t="shared" ref="CT9" si="178">+CS9+CT8</f>
        <v>-2005652.6896296281</v>
      </c>
      <c r="CU9" s="20">
        <f t="shared" ref="CU9" si="179">+CT9+CU8</f>
        <v>-1997910.1896296281</v>
      </c>
      <c r="CV9" s="21">
        <f t="shared" ref="CV9" si="180">+CU9+CV8</f>
        <v>-2145612.349629628</v>
      </c>
      <c r="CW9" s="21">
        <f>+CV9+CW8</f>
        <v>-2285321.4996296288</v>
      </c>
    </row>
    <row r="10" spans="2:123" ht="15" x14ac:dyDescent="0.25">
      <c r="B10" s="29"/>
      <c r="C10" s="9" t="s">
        <v>6</v>
      </c>
      <c r="D10" s="19"/>
      <c r="E10" s="19">
        <f t="shared" ref="E10:AJ10" si="181">+D9*E$33/12</f>
        <v>0</v>
      </c>
      <c r="F10" s="20">
        <f t="shared" si="181"/>
        <v>-98.309331250000014</v>
      </c>
      <c r="G10" s="20">
        <f t="shared" si="181"/>
        <v>-196.61866250000003</v>
      </c>
      <c r="H10" s="20">
        <f t="shared" si="181"/>
        <v>-330.43771874999999</v>
      </c>
      <c r="I10" s="20">
        <f t="shared" si="181"/>
        <v>-440.58362500000004</v>
      </c>
      <c r="J10" s="20">
        <f t="shared" si="181"/>
        <v>-550.72953125000004</v>
      </c>
      <c r="K10" s="20">
        <f t="shared" si="181"/>
        <v>-660.87543749999998</v>
      </c>
      <c r="L10" s="20">
        <f t="shared" si="181"/>
        <v>-771.02134375000003</v>
      </c>
      <c r="M10" s="20">
        <f t="shared" si="181"/>
        <v>-881.16725000000008</v>
      </c>
      <c r="N10" s="20">
        <f t="shared" si="181"/>
        <v>-991.31315625000013</v>
      </c>
      <c r="O10" s="20">
        <f t="shared" si="181"/>
        <v>-1101.4590625000001</v>
      </c>
      <c r="P10" s="21">
        <f t="shared" si="181"/>
        <v>-1211.6049687500001</v>
      </c>
      <c r="Q10" s="19">
        <f t="shared" si="181"/>
        <v>-816.97547350000002</v>
      </c>
      <c r="R10" s="20">
        <f t="shared" si="181"/>
        <v>-1005.9747484999999</v>
      </c>
      <c r="S10" s="20">
        <f t="shared" si="181"/>
        <v>-1194.9740234999999</v>
      </c>
      <c r="T10" s="20">
        <f t="shared" si="181"/>
        <v>-1228.18572825</v>
      </c>
      <c r="U10" s="20">
        <f t="shared" si="181"/>
        <v>-1395.9102157500001</v>
      </c>
      <c r="V10" s="20">
        <f t="shared" si="181"/>
        <v>-1563.63470325</v>
      </c>
      <c r="W10" s="20">
        <f t="shared" si="181"/>
        <v>-1470.8892239999998</v>
      </c>
      <c r="X10" s="20">
        <f t="shared" si="181"/>
        <v>-1613.3808239999998</v>
      </c>
      <c r="Y10" s="20">
        <f t="shared" si="181"/>
        <v>-1755.8724239999999</v>
      </c>
      <c r="Z10" s="20">
        <f t="shared" si="181"/>
        <v>-1898.3640239999997</v>
      </c>
      <c r="AA10" s="20">
        <f t="shared" si="181"/>
        <v>-2040.855624</v>
      </c>
      <c r="AB10" s="21">
        <f t="shared" si="181"/>
        <v>-2183.3472240000001</v>
      </c>
      <c r="AC10" s="19">
        <f t="shared" si="181"/>
        <v>-2183.3472231111123</v>
      </c>
      <c r="AD10" s="20">
        <f t="shared" si="181"/>
        <v>-1595.805351111112</v>
      </c>
      <c r="AE10" s="20">
        <f t="shared" si="181"/>
        <v>-1621.9669511111122</v>
      </c>
      <c r="AF10" s="20">
        <f t="shared" si="181"/>
        <v>-1419.2218079012353</v>
      </c>
      <c r="AG10" s="20">
        <f t="shared" si="181"/>
        <v>-1441.7498523456798</v>
      </c>
      <c r="AH10" s="20">
        <f t="shared" si="181"/>
        <v>-1464.277896790124</v>
      </c>
      <c r="AI10" s="20">
        <f t="shared" si="181"/>
        <v>-1486.8059412345683</v>
      </c>
      <c r="AJ10" s="20">
        <f t="shared" si="181"/>
        <v>-1509.3339856790126</v>
      </c>
      <c r="AK10" s="20">
        <f t="shared" ref="AK10:BP10" si="182">+AJ9*AK$33/12</f>
        <v>-1531.8620301234571</v>
      </c>
      <c r="AL10" s="20">
        <f t="shared" si="182"/>
        <v>-1272.3434884567903</v>
      </c>
      <c r="AM10" s="20">
        <f t="shared" si="182"/>
        <v>-1290.7837829012346</v>
      </c>
      <c r="AN10" s="21">
        <f t="shared" si="182"/>
        <v>-1309.224077345679</v>
      </c>
      <c r="AO10" s="19">
        <f t="shared" si="182"/>
        <v>-2034.4464775401236</v>
      </c>
      <c r="AP10" s="20">
        <f t="shared" si="182"/>
        <v>-2043.6535143456788</v>
      </c>
      <c r="AQ10" s="20">
        <f t="shared" si="182"/>
        <v>-2052.8605511512346</v>
      </c>
      <c r="AR10" s="20">
        <f t="shared" si="182"/>
        <v>-2326.1747667098766</v>
      </c>
      <c r="AS10" s="20">
        <f t="shared" si="182"/>
        <v>-2336.5610299043205</v>
      </c>
      <c r="AT10" s="20">
        <f t="shared" si="182"/>
        <v>-2346.9472930987649</v>
      </c>
      <c r="AU10" s="20">
        <f t="shared" si="182"/>
        <v>-2357.3335562932093</v>
      </c>
      <c r="AV10" s="20">
        <f t="shared" si="182"/>
        <v>-2367.7198194876532</v>
      </c>
      <c r="AW10" s="20">
        <f t="shared" si="182"/>
        <v>-2378.1060826820981</v>
      </c>
      <c r="AX10" s="20">
        <f t="shared" si="182"/>
        <v>-2388.492345876542</v>
      </c>
      <c r="AY10" s="20">
        <f t="shared" si="182"/>
        <v>-2398.8786090709864</v>
      </c>
      <c r="AZ10" s="21">
        <f t="shared" si="182"/>
        <v>-2409.2648722654308</v>
      </c>
      <c r="BA10" s="19">
        <f t="shared" si="182"/>
        <v>-3451.5716524938257</v>
      </c>
      <c r="BB10" s="20">
        <f t="shared" si="182"/>
        <v>-3448.5503747160478</v>
      </c>
      <c r="BC10" s="20">
        <f t="shared" si="182"/>
        <v>-3445.52909693827</v>
      </c>
      <c r="BD10" s="20">
        <f t="shared" si="182"/>
        <v>-4189.228265228393</v>
      </c>
      <c r="BE10" s="20">
        <f t="shared" si="182"/>
        <v>-4185.5516367561695</v>
      </c>
      <c r="BF10" s="20">
        <f t="shared" si="182"/>
        <v>-4181.8750082839479</v>
      </c>
      <c r="BG10" s="20">
        <f t="shared" si="182"/>
        <v>-5882.2974168950577</v>
      </c>
      <c r="BH10" s="20">
        <f t="shared" si="182"/>
        <v>-5877.1212571728356</v>
      </c>
      <c r="BI10" s="20">
        <f t="shared" si="182"/>
        <v>-5871.9450974506135</v>
      </c>
      <c r="BJ10" s="20">
        <f t="shared" si="182"/>
        <v>-6307.4060897036979</v>
      </c>
      <c r="BK10" s="20">
        <f t="shared" si="182"/>
        <v>-6301.8411626203642</v>
      </c>
      <c r="BL10" s="21">
        <f t="shared" si="182"/>
        <v>-6296.2762355370314</v>
      </c>
      <c r="BM10" s="19">
        <f t="shared" si="182"/>
        <v>-7208.074455953697</v>
      </c>
      <c r="BN10" s="20">
        <f t="shared" si="182"/>
        <v>-7215.7982059536962</v>
      </c>
      <c r="BO10" s="20">
        <f t="shared" si="182"/>
        <v>-7223.5219559536972</v>
      </c>
      <c r="BP10" s="20">
        <f t="shared" si="182"/>
        <v>-7231.2457059536973</v>
      </c>
      <c r="BQ10" s="20">
        <f t="shared" ref="BQ10:CJ10" si="183">+BP9*BQ$33/12</f>
        <v>-7238.9694559536974</v>
      </c>
      <c r="BR10" s="20">
        <f t="shared" si="183"/>
        <v>-7246.6932059536966</v>
      </c>
      <c r="BS10" s="20">
        <f t="shared" si="183"/>
        <v>-7254.4169559536967</v>
      </c>
      <c r="BT10" s="20">
        <f t="shared" si="183"/>
        <v>-7262.1407059536969</v>
      </c>
      <c r="BU10" s="20">
        <f t="shared" si="183"/>
        <v>-7269.8644559536961</v>
      </c>
      <c r="BV10" s="20">
        <f t="shared" si="183"/>
        <v>-7960.3160416419678</v>
      </c>
      <c r="BW10" s="20">
        <f t="shared" si="183"/>
        <v>-7968.7643749753015</v>
      </c>
      <c r="BX10" s="21">
        <f t="shared" si="183"/>
        <v>-7977.2127083086352</v>
      </c>
      <c r="BY10" s="19">
        <f t="shared" si="183"/>
        <v>-9114.5499466419678</v>
      </c>
      <c r="BZ10" s="20">
        <f t="shared" si="183"/>
        <v>-9098.3633966419675</v>
      </c>
      <c r="CA10" s="20">
        <f t="shared" si="183"/>
        <v>-9082.176846641969</v>
      </c>
      <c r="CB10" s="20">
        <f t="shared" si="183"/>
        <v>-8238.8014009629569</v>
      </c>
      <c r="CC10" s="20">
        <f t="shared" si="183"/>
        <v>-8224.0917259629568</v>
      </c>
      <c r="CD10" s="20">
        <f t="shared" si="183"/>
        <v>-8209.3820509629568</v>
      </c>
      <c r="CE10" s="20">
        <f t="shared" si="183"/>
        <v>-8194.6723759629567</v>
      </c>
      <c r="CF10" s="20">
        <f t="shared" si="183"/>
        <v>-8179.9627009629576</v>
      </c>
      <c r="CG10" s="20">
        <f t="shared" si="183"/>
        <v>-8165.2530259629566</v>
      </c>
      <c r="CH10" s="20">
        <f t="shared" si="183"/>
        <v>-7446.7815756790069</v>
      </c>
      <c r="CI10" s="20">
        <f t="shared" si="183"/>
        <v>-7433.3420131790053</v>
      </c>
      <c r="CJ10" s="21">
        <f t="shared" si="183"/>
        <v>-7419.9024506790056</v>
      </c>
      <c r="CK10" s="19">
        <f>+CJ9*CK$33/12</f>
        <v>-7342.8488559444404</v>
      </c>
      <c r="CL10" s="20">
        <f t="shared" ref="CL10" si="184">+CK9*CL$33/12</f>
        <v>-7315.5565434444397</v>
      </c>
      <c r="CM10" s="20">
        <f t="shared" ref="CM10" si="185">+CL9*CM$33/12</f>
        <v>-7288.2642309444391</v>
      </c>
      <c r="CN10" s="20">
        <f t="shared" ref="CN10" si="186">+CM9*CN$33/12</f>
        <v>-7260.9719184444402</v>
      </c>
      <c r="CO10" s="20">
        <f t="shared" ref="CO10" si="187">+CN9*CO$33/12</f>
        <v>-7233.6796059444396</v>
      </c>
      <c r="CP10" s="20">
        <f t="shared" ref="CP10" si="188">+CO9*CP$33/12</f>
        <v>-7206.3872934444398</v>
      </c>
      <c r="CQ10" s="20">
        <f t="shared" ref="CQ10" si="189">+CP9*CQ$33/12</f>
        <v>-7179.0949809444392</v>
      </c>
      <c r="CR10" s="20">
        <f t="shared" ref="CR10" si="190">+CQ9*CR$33/12</f>
        <v>-7151.8026684444403</v>
      </c>
      <c r="CS10" s="20">
        <f t="shared" ref="CS10" si="191">+CR9*CS$33/12</f>
        <v>-7124.5103559444397</v>
      </c>
      <c r="CT10" s="20">
        <f t="shared" ref="CT10" si="192">+CS9*CT$33/12</f>
        <v>-7097.218043444439</v>
      </c>
      <c r="CU10" s="20">
        <f t="shared" ref="CU10" si="193">+CT9*CU$33/12</f>
        <v>-7069.9257309444401</v>
      </c>
      <c r="CV10" s="21">
        <f t="shared" ref="CV10" si="194">+CU9*CV$33/12</f>
        <v>-7042.6334184444395</v>
      </c>
      <c r="CW10" s="21">
        <f>+CW9*CW$33</f>
        <v>-96669.099434333315</v>
      </c>
      <c r="CX10" s="20"/>
    </row>
    <row r="11" spans="2:123" ht="15" x14ac:dyDescent="0.25">
      <c r="B11" s="29"/>
      <c r="C11" s="22" t="s">
        <v>7</v>
      </c>
      <c r="D11" s="23">
        <v>0</v>
      </c>
      <c r="E11" s="23">
        <f>+D11+E10</f>
        <v>0</v>
      </c>
      <c r="F11" s="24">
        <f t="shared" ref="F11" si="195">+E11+F10</f>
        <v>-98.309331250000014</v>
      </c>
      <c r="G11" s="24">
        <f t="shared" ref="G11" si="196">+F11+G10</f>
        <v>-294.92799375000004</v>
      </c>
      <c r="H11" s="24">
        <f t="shared" ref="H11" si="197">+G11+H10</f>
        <v>-625.36571249999997</v>
      </c>
      <c r="I11" s="24">
        <f t="shared" ref="I11" si="198">+H11+I10</f>
        <v>-1065.9493375</v>
      </c>
      <c r="J11" s="24">
        <f t="shared" ref="J11" si="199">+I11+J10</f>
        <v>-1616.67886875</v>
      </c>
      <c r="K11" s="24">
        <f t="shared" ref="K11" si="200">+J11+K10</f>
        <v>-2277.5543062500001</v>
      </c>
      <c r="L11" s="24">
        <f t="shared" ref="L11" si="201">+K11+L10</f>
        <v>-3048.5756500000002</v>
      </c>
      <c r="M11" s="24">
        <f t="shared" ref="M11" si="202">+L11+M10</f>
        <v>-3929.7429000000002</v>
      </c>
      <c r="N11" s="24">
        <f t="shared" ref="N11" si="203">+M11+N10</f>
        <v>-4921.0560562500004</v>
      </c>
      <c r="O11" s="24">
        <f t="shared" ref="O11" si="204">+N11+O10</f>
        <v>-6022.5151187500005</v>
      </c>
      <c r="P11" s="25">
        <f t="shared" ref="P11" si="205">+O11+P10</f>
        <v>-7234.1200875000004</v>
      </c>
      <c r="Q11" s="23">
        <f>+P11+Q10</f>
        <v>-8051.0955610000001</v>
      </c>
      <c r="R11" s="24">
        <f t="shared" ref="R11" si="206">+Q11+R10</f>
        <v>-9057.0703095000008</v>
      </c>
      <c r="S11" s="24">
        <f t="shared" ref="S11" si="207">+R11+S10</f>
        <v>-10252.044333000002</v>
      </c>
      <c r="T11" s="24">
        <f t="shared" ref="T11" si="208">+S11+T10</f>
        <v>-11480.230061250002</v>
      </c>
      <c r="U11" s="24">
        <f t="shared" ref="U11" si="209">+T11+U10</f>
        <v>-12876.140277000002</v>
      </c>
      <c r="V11" s="24">
        <f t="shared" ref="V11" si="210">+U11+V10</f>
        <v>-14439.774980250002</v>
      </c>
      <c r="W11" s="24">
        <f t="shared" ref="W11" si="211">+V11+W10</f>
        <v>-15910.664204250003</v>
      </c>
      <c r="X11" s="24">
        <f t="shared" ref="X11" si="212">+W11+X10</f>
        <v>-17524.045028250002</v>
      </c>
      <c r="Y11" s="24">
        <f t="shared" ref="Y11" si="213">+X11+Y10</f>
        <v>-19279.917452250003</v>
      </c>
      <c r="Z11" s="24">
        <f t="shared" ref="Z11" si="214">+Y11+Z10</f>
        <v>-21178.281476250002</v>
      </c>
      <c r="AA11" s="24">
        <f t="shared" ref="AA11" si="215">+Z11+AA10</f>
        <v>-23219.137100250002</v>
      </c>
      <c r="AB11" s="25">
        <f>+AA11+AB10</f>
        <v>-25402.484324250003</v>
      </c>
      <c r="AC11" s="23">
        <f t="shared" ref="AC11" si="216">+AB11+AC10</f>
        <v>-27585.831547361115</v>
      </c>
      <c r="AD11" s="24">
        <f t="shared" ref="AD11" si="217">+AC11+AD10</f>
        <v>-29181.636898472228</v>
      </c>
      <c r="AE11" s="24">
        <f t="shared" ref="AE11" si="218">+AD11+AE10</f>
        <v>-30803.603849583342</v>
      </c>
      <c r="AF11" s="24">
        <f t="shared" ref="AF11" si="219">+AE11+AF10</f>
        <v>-32222.825657484576</v>
      </c>
      <c r="AG11" s="24">
        <f t="shared" ref="AG11" si="220">+AF11+AG10</f>
        <v>-33664.575509830254</v>
      </c>
      <c r="AH11" s="24">
        <f t="shared" ref="AH11" si="221">+AG11+AH10</f>
        <v>-35128.853406620379</v>
      </c>
      <c r="AI11" s="24">
        <f t="shared" ref="AI11" si="222">+AH11+AI10</f>
        <v>-36615.659347854948</v>
      </c>
      <c r="AJ11" s="24">
        <f t="shared" ref="AJ11" si="223">+AI11+AJ10</f>
        <v>-38124.993333533959</v>
      </c>
      <c r="AK11" s="24">
        <f t="shared" ref="AK11" si="224">+AJ11+AK10</f>
        <v>-39656.855363657414</v>
      </c>
      <c r="AL11" s="24">
        <f t="shared" ref="AL11" si="225">+AK11+AL10</f>
        <v>-40929.198852114205</v>
      </c>
      <c r="AM11" s="24">
        <f t="shared" ref="AM11" si="226">+AL11+AM10</f>
        <v>-42219.98263501544</v>
      </c>
      <c r="AN11" s="25">
        <f t="shared" ref="AN11" si="227">+AM11+AN10</f>
        <v>-43529.20671236112</v>
      </c>
      <c r="AO11" s="23">
        <f t="shared" ref="AO11" si="228">+AN11+AO10</f>
        <v>-45563.653189901241</v>
      </c>
      <c r="AP11" s="24">
        <f t="shared" ref="AP11" si="229">+AO11+AP10</f>
        <v>-47607.306704246919</v>
      </c>
      <c r="AQ11" s="24">
        <f t="shared" ref="AQ11" si="230">+AP11+AQ10</f>
        <v>-49660.167255398155</v>
      </c>
      <c r="AR11" s="24">
        <f t="shared" ref="AR11" si="231">+AQ11+AR10</f>
        <v>-51986.342022108031</v>
      </c>
      <c r="AS11" s="24">
        <f t="shared" ref="AS11" si="232">+AR11+AS10</f>
        <v>-54322.903052012349</v>
      </c>
      <c r="AT11" s="24">
        <f t="shared" ref="AT11" si="233">+AS11+AT10</f>
        <v>-56669.850345111117</v>
      </c>
      <c r="AU11" s="24">
        <f t="shared" ref="AU11" si="234">+AT11+AU10</f>
        <v>-59027.183901404329</v>
      </c>
      <c r="AV11" s="24">
        <f t="shared" ref="AV11" si="235">+AU11+AV10</f>
        <v>-61394.903720891984</v>
      </c>
      <c r="AW11" s="24">
        <f t="shared" ref="AW11" si="236">+AV11+AW10</f>
        <v>-63773.009803574081</v>
      </c>
      <c r="AX11" s="24">
        <f t="shared" ref="AX11" si="237">+AW11+AX10</f>
        <v>-66161.502149450622</v>
      </c>
      <c r="AY11" s="24">
        <f t="shared" ref="AY11" si="238">+AX11+AY10</f>
        <v>-68560.380758521613</v>
      </c>
      <c r="AZ11" s="25">
        <f t="shared" ref="AZ11" si="239">+AY11+AZ10</f>
        <v>-70969.645630787039</v>
      </c>
      <c r="BA11" s="23">
        <f t="shared" ref="BA11" si="240">+AZ11+BA10</f>
        <v>-74421.217283280872</v>
      </c>
      <c r="BB11" s="24">
        <f t="shared" ref="BB11" si="241">+BA11+BB10</f>
        <v>-77869.767657996927</v>
      </c>
      <c r="BC11" s="24">
        <f t="shared" ref="BC11" si="242">+BB11+BC10</f>
        <v>-81315.296754935203</v>
      </c>
      <c r="BD11" s="24">
        <f t="shared" ref="BD11" si="243">+BC11+BD10</f>
        <v>-85504.525020163594</v>
      </c>
      <c r="BE11" s="24">
        <f t="shared" ref="BE11" si="244">+BD11+BE10</f>
        <v>-89690.076656919759</v>
      </c>
      <c r="BF11" s="24">
        <f t="shared" ref="BF11" si="245">+BE11+BF10</f>
        <v>-93871.951665203713</v>
      </c>
      <c r="BG11" s="24">
        <f t="shared" ref="BG11" si="246">+BF11+BG10</f>
        <v>-99754.249082098773</v>
      </c>
      <c r="BH11" s="24">
        <f t="shared" ref="BH11" si="247">+BG11+BH10</f>
        <v>-105631.37033927161</v>
      </c>
      <c r="BI11" s="24">
        <f t="shared" ref="BI11" si="248">+BH11+BI10</f>
        <v>-111503.31543672223</v>
      </c>
      <c r="BJ11" s="24">
        <f t="shared" ref="BJ11" si="249">+BI11+BJ10</f>
        <v>-117810.72152642593</v>
      </c>
      <c r="BK11" s="24">
        <f t="shared" ref="BK11" si="250">+BJ11+BK10</f>
        <v>-124112.56268904629</v>
      </c>
      <c r="BL11" s="25">
        <f t="shared" ref="BL11" si="251">+BK11+BL10</f>
        <v>-130408.83892458332</v>
      </c>
      <c r="BM11" s="23">
        <f t="shared" ref="BM11" si="252">+BL11+BM10</f>
        <v>-137616.91338053701</v>
      </c>
      <c r="BN11" s="24">
        <f t="shared" ref="BN11" si="253">+BM11+BN10</f>
        <v>-144832.71158649071</v>
      </c>
      <c r="BO11" s="24">
        <f t="shared" ref="BO11" si="254">+BN11+BO10</f>
        <v>-152056.23354244442</v>
      </c>
      <c r="BP11" s="24">
        <f t="shared" ref="BP11" si="255">+BO11+BP10</f>
        <v>-159287.4792483981</v>
      </c>
      <c r="BQ11" s="24">
        <f t="shared" ref="BQ11" si="256">+BP11+BQ10</f>
        <v>-166526.44870435179</v>
      </c>
      <c r="BR11" s="24">
        <f t="shared" ref="BR11" si="257">+BQ11+BR10</f>
        <v>-173773.14191030548</v>
      </c>
      <c r="BS11" s="24">
        <f t="shared" ref="BS11" si="258">+BR11+BS10</f>
        <v>-181027.55886625918</v>
      </c>
      <c r="BT11" s="24">
        <f t="shared" ref="BT11" si="259">+BS11+BT10</f>
        <v>-188289.69957221288</v>
      </c>
      <c r="BU11" s="24">
        <f t="shared" ref="BU11" si="260">+BT11+BU10</f>
        <v>-195559.56402816658</v>
      </c>
      <c r="BV11" s="24">
        <f t="shared" ref="BV11" si="261">+BU11+BV10</f>
        <v>-203519.88006980854</v>
      </c>
      <c r="BW11" s="24">
        <f t="shared" ref="BW11" si="262">+BV11+BW10</f>
        <v>-211488.64444478383</v>
      </c>
      <c r="BX11" s="25">
        <f t="shared" ref="BX11" si="263">+BW11+BX10</f>
        <v>-219465.85715309245</v>
      </c>
      <c r="BY11" s="23">
        <f t="shared" ref="BY11" si="264">+BX11+BY10</f>
        <v>-228580.40709973441</v>
      </c>
      <c r="BZ11" s="24">
        <f t="shared" ref="BZ11" si="265">+BY11+BZ10</f>
        <v>-237678.77049637638</v>
      </c>
      <c r="CA11" s="24">
        <f t="shared" ref="CA11" si="266">+BZ11+CA10</f>
        <v>-246760.94734301834</v>
      </c>
      <c r="CB11" s="24">
        <f t="shared" ref="CB11" si="267">+CA11+CB10</f>
        <v>-254999.7487439813</v>
      </c>
      <c r="CC11" s="24">
        <f t="shared" ref="CC11" si="268">+CB11+CC10</f>
        <v>-263223.84046994423</v>
      </c>
      <c r="CD11" s="24">
        <f t="shared" ref="CD11" si="269">+CC11+CD10</f>
        <v>-271433.22252090718</v>
      </c>
      <c r="CE11" s="24">
        <f t="shared" ref="CE11" si="270">+CD11+CE10</f>
        <v>-279627.89489687013</v>
      </c>
      <c r="CF11" s="24">
        <f t="shared" ref="CF11" si="271">+CE11+CF10</f>
        <v>-287807.85759783309</v>
      </c>
      <c r="CG11" s="24">
        <f t="shared" ref="CG11" si="272">+CF11+CG10</f>
        <v>-295973.11062379606</v>
      </c>
      <c r="CH11" s="24">
        <f t="shared" ref="CH11" si="273">+CG11+CH10</f>
        <v>-303419.89219947509</v>
      </c>
      <c r="CI11" s="24">
        <f t="shared" ref="CI11" si="274">+CH11+CI10</f>
        <v>-310853.23421265412</v>
      </c>
      <c r="CJ11" s="25">
        <f t="shared" ref="CJ11" si="275">+CI11+CJ10</f>
        <v>-318273.13666333311</v>
      </c>
      <c r="CK11" s="23">
        <f t="shared" ref="CK11" si="276">+CJ11+CK10</f>
        <v>-325615.98551927757</v>
      </c>
      <c r="CL11" s="24">
        <f t="shared" ref="CL11" si="277">+CK11+CL10</f>
        <v>-332931.54206272203</v>
      </c>
      <c r="CM11" s="24">
        <f t="shared" ref="CM11" si="278">+CL11+CM10</f>
        <v>-340219.80629366648</v>
      </c>
      <c r="CN11" s="24">
        <f t="shared" ref="CN11" si="279">+CM11+CN10</f>
        <v>-347480.77821211092</v>
      </c>
      <c r="CO11" s="24">
        <f t="shared" ref="CO11" si="280">+CN11+CO10</f>
        <v>-354714.45781805535</v>
      </c>
      <c r="CP11" s="24">
        <f t="shared" ref="CP11" si="281">+CO11+CP10</f>
        <v>-361920.84511149977</v>
      </c>
      <c r="CQ11" s="24">
        <f t="shared" ref="CQ11" si="282">+CP11+CQ10</f>
        <v>-369099.94009244419</v>
      </c>
      <c r="CR11" s="24">
        <f t="shared" ref="CR11" si="283">+CQ11+CR10</f>
        <v>-376251.74276088865</v>
      </c>
      <c r="CS11" s="24">
        <f t="shared" ref="CS11" si="284">+CR11+CS10</f>
        <v>-383376.2531168331</v>
      </c>
      <c r="CT11" s="24">
        <f t="shared" ref="CT11" si="285">+CS11+CT10</f>
        <v>-390473.47116027755</v>
      </c>
      <c r="CU11" s="24">
        <f t="shared" ref="CU11" si="286">+CT11+CU10</f>
        <v>-397543.39689122199</v>
      </c>
      <c r="CV11" s="25">
        <f t="shared" ref="CV11" si="287">+CU11+CV10</f>
        <v>-404586.03030966641</v>
      </c>
      <c r="CW11" s="25">
        <f>+CV11+CW10</f>
        <v>-501255.12974399974</v>
      </c>
    </row>
    <row r="12" spans="2:123" ht="15" x14ac:dyDescent="0.25">
      <c r="B12" s="29" t="s">
        <v>8</v>
      </c>
      <c r="C12" s="9" t="s">
        <v>2</v>
      </c>
      <c r="D12" s="14"/>
      <c r="E12" s="14">
        <f>534000/12</f>
        <v>44500</v>
      </c>
      <c r="F12" s="15">
        <f t="shared" ref="F12:BQ12" si="288">534000/12</f>
        <v>44500</v>
      </c>
      <c r="G12" s="15">
        <f t="shared" si="288"/>
        <v>44500</v>
      </c>
      <c r="H12" s="15">
        <f t="shared" si="288"/>
        <v>44500</v>
      </c>
      <c r="I12" s="15">
        <f t="shared" si="288"/>
        <v>44500</v>
      </c>
      <c r="J12" s="15">
        <f t="shared" si="288"/>
        <v>44500</v>
      </c>
      <c r="K12" s="15">
        <f t="shared" si="288"/>
        <v>44500</v>
      </c>
      <c r="L12" s="15">
        <f t="shared" si="288"/>
        <v>44500</v>
      </c>
      <c r="M12" s="15">
        <f t="shared" si="288"/>
        <v>44500</v>
      </c>
      <c r="N12" s="15">
        <f t="shared" si="288"/>
        <v>44500</v>
      </c>
      <c r="O12" s="15">
        <f t="shared" si="288"/>
        <v>44500</v>
      </c>
      <c r="P12" s="16">
        <f t="shared" si="288"/>
        <v>44500</v>
      </c>
      <c r="Q12" s="14">
        <f t="shared" si="288"/>
        <v>44500</v>
      </c>
      <c r="R12" s="15">
        <f t="shared" si="288"/>
        <v>44500</v>
      </c>
      <c r="S12" s="15">
        <f t="shared" si="288"/>
        <v>44500</v>
      </c>
      <c r="T12" s="15">
        <f t="shared" si="288"/>
        <v>44500</v>
      </c>
      <c r="U12" s="15">
        <f t="shared" si="288"/>
        <v>44500</v>
      </c>
      <c r="V12" s="15">
        <f t="shared" si="288"/>
        <v>44500</v>
      </c>
      <c r="W12" s="15">
        <f t="shared" si="288"/>
        <v>44500</v>
      </c>
      <c r="X12" s="15">
        <f t="shared" si="288"/>
        <v>44500</v>
      </c>
      <c r="Y12" s="15">
        <f t="shared" si="288"/>
        <v>44500</v>
      </c>
      <c r="Z12" s="15">
        <f t="shared" si="288"/>
        <v>44500</v>
      </c>
      <c r="AA12" s="15">
        <f t="shared" si="288"/>
        <v>44500</v>
      </c>
      <c r="AB12" s="16">
        <f t="shared" si="288"/>
        <v>44500</v>
      </c>
      <c r="AC12" s="14">
        <f t="shared" si="288"/>
        <v>44500</v>
      </c>
      <c r="AD12" s="15">
        <f t="shared" si="288"/>
        <v>44500</v>
      </c>
      <c r="AE12" s="15">
        <f t="shared" si="288"/>
        <v>44500</v>
      </c>
      <c r="AF12" s="15">
        <f t="shared" si="288"/>
        <v>44500</v>
      </c>
      <c r="AG12" s="15">
        <f t="shared" si="288"/>
        <v>44500</v>
      </c>
      <c r="AH12" s="15">
        <f t="shared" si="288"/>
        <v>44500</v>
      </c>
      <c r="AI12" s="15">
        <f t="shared" si="288"/>
        <v>44500</v>
      </c>
      <c r="AJ12" s="15">
        <f t="shared" si="288"/>
        <v>44500</v>
      </c>
      <c r="AK12" s="15">
        <f t="shared" si="288"/>
        <v>44500</v>
      </c>
      <c r="AL12" s="15">
        <f t="shared" si="288"/>
        <v>44500</v>
      </c>
      <c r="AM12" s="15">
        <f t="shared" si="288"/>
        <v>44500</v>
      </c>
      <c r="AN12" s="16">
        <f t="shared" si="288"/>
        <v>44500</v>
      </c>
      <c r="AO12" s="14">
        <f t="shared" si="288"/>
        <v>44500</v>
      </c>
      <c r="AP12" s="15">
        <f t="shared" si="288"/>
        <v>44500</v>
      </c>
      <c r="AQ12" s="15">
        <f t="shared" si="288"/>
        <v>44500</v>
      </c>
      <c r="AR12" s="15">
        <f t="shared" si="288"/>
        <v>44500</v>
      </c>
      <c r="AS12" s="15">
        <f t="shared" si="288"/>
        <v>44500</v>
      </c>
      <c r="AT12" s="15">
        <f t="shared" si="288"/>
        <v>44500</v>
      </c>
      <c r="AU12" s="15">
        <f t="shared" si="288"/>
        <v>44500</v>
      </c>
      <c r="AV12" s="15">
        <f t="shared" si="288"/>
        <v>44500</v>
      </c>
      <c r="AW12" s="15">
        <f t="shared" si="288"/>
        <v>44500</v>
      </c>
      <c r="AX12" s="15">
        <f t="shared" si="288"/>
        <v>44500</v>
      </c>
      <c r="AY12" s="15">
        <f t="shared" si="288"/>
        <v>44500</v>
      </c>
      <c r="AZ12" s="16">
        <f t="shared" si="288"/>
        <v>44500</v>
      </c>
      <c r="BA12" s="14">
        <f t="shared" si="288"/>
        <v>44500</v>
      </c>
      <c r="BB12" s="15">
        <f t="shared" si="288"/>
        <v>44500</v>
      </c>
      <c r="BC12" s="15">
        <f t="shared" si="288"/>
        <v>44500</v>
      </c>
      <c r="BD12" s="15">
        <f t="shared" si="288"/>
        <v>44500</v>
      </c>
      <c r="BE12" s="15">
        <f t="shared" si="288"/>
        <v>44500</v>
      </c>
      <c r="BF12" s="15">
        <f t="shared" si="288"/>
        <v>44500</v>
      </c>
      <c r="BG12" s="15">
        <f t="shared" si="288"/>
        <v>44500</v>
      </c>
      <c r="BH12" s="15">
        <f t="shared" si="288"/>
        <v>44500</v>
      </c>
      <c r="BI12" s="15">
        <f t="shared" si="288"/>
        <v>44500</v>
      </c>
      <c r="BJ12" s="15">
        <f t="shared" si="288"/>
        <v>44500</v>
      </c>
      <c r="BK12" s="15">
        <f t="shared" si="288"/>
        <v>44500</v>
      </c>
      <c r="BL12" s="16">
        <f t="shared" si="288"/>
        <v>44500</v>
      </c>
      <c r="BM12" s="14">
        <f t="shared" si="288"/>
        <v>44500</v>
      </c>
      <c r="BN12" s="15">
        <f t="shared" si="288"/>
        <v>44500</v>
      </c>
      <c r="BO12" s="15">
        <f t="shared" si="288"/>
        <v>44500</v>
      </c>
      <c r="BP12" s="15">
        <f t="shared" si="288"/>
        <v>44500</v>
      </c>
      <c r="BQ12" s="15">
        <f t="shared" si="288"/>
        <v>44500</v>
      </c>
      <c r="BR12" s="15">
        <f t="shared" ref="BR12:CV12" si="289">534000/12</f>
        <v>44500</v>
      </c>
      <c r="BS12" s="15">
        <f t="shared" si="289"/>
        <v>44500</v>
      </c>
      <c r="BT12" s="15">
        <f t="shared" si="289"/>
        <v>44500</v>
      </c>
      <c r="BU12" s="15">
        <f t="shared" si="289"/>
        <v>44500</v>
      </c>
      <c r="BV12" s="15">
        <f t="shared" si="289"/>
        <v>44500</v>
      </c>
      <c r="BW12" s="15">
        <f t="shared" si="289"/>
        <v>44500</v>
      </c>
      <c r="BX12" s="16">
        <f t="shared" si="289"/>
        <v>44500</v>
      </c>
      <c r="BY12" s="14">
        <f t="shared" si="289"/>
        <v>44500</v>
      </c>
      <c r="BZ12" s="15">
        <f t="shared" si="289"/>
        <v>44500</v>
      </c>
      <c r="CA12" s="15">
        <f t="shared" si="289"/>
        <v>44500</v>
      </c>
      <c r="CB12" s="15">
        <f t="shared" si="289"/>
        <v>44500</v>
      </c>
      <c r="CC12" s="15">
        <f t="shared" si="289"/>
        <v>44500</v>
      </c>
      <c r="CD12" s="15">
        <f t="shared" si="289"/>
        <v>44500</v>
      </c>
      <c r="CE12" s="15">
        <f t="shared" si="289"/>
        <v>44500</v>
      </c>
      <c r="CF12" s="15">
        <f t="shared" si="289"/>
        <v>44500</v>
      </c>
      <c r="CG12" s="15">
        <f t="shared" si="289"/>
        <v>44500</v>
      </c>
      <c r="CH12" s="15">
        <f t="shared" si="289"/>
        <v>44500</v>
      </c>
      <c r="CI12" s="15">
        <f t="shared" si="289"/>
        <v>44500</v>
      </c>
      <c r="CJ12" s="16">
        <f t="shared" si="289"/>
        <v>44500</v>
      </c>
      <c r="CK12" s="14">
        <f t="shared" si="289"/>
        <v>44500</v>
      </c>
      <c r="CL12" s="15">
        <f t="shared" si="289"/>
        <v>44500</v>
      </c>
      <c r="CM12" s="15">
        <f t="shared" si="289"/>
        <v>44500</v>
      </c>
      <c r="CN12" s="15">
        <f t="shared" si="289"/>
        <v>44500</v>
      </c>
      <c r="CO12" s="15">
        <f t="shared" si="289"/>
        <v>44500</v>
      </c>
      <c r="CP12" s="15">
        <f t="shared" si="289"/>
        <v>44500</v>
      </c>
      <c r="CQ12" s="15">
        <f t="shared" si="289"/>
        <v>44500</v>
      </c>
      <c r="CR12" s="15">
        <f t="shared" si="289"/>
        <v>44500</v>
      </c>
      <c r="CS12" s="15">
        <f t="shared" si="289"/>
        <v>44500</v>
      </c>
      <c r="CT12" s="15">
        <f t="shared" si="289"/>
        <v>44500</v>
      </c>
      <c r="CU12" s="15">
        <f t="shared" si="289"/>
        <v>44500</v>
      </c>
      <c r="CV12" s="16">
        <f t="shared" si="289"/>
        <v>44500</v>
      </c>
      <c r="CW12" s="16">
        <f>534000</f>
        <v>534000</v>
      </c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</row>
    <row r="13" spans="2:123" ht="15" x14ac:dyDescent="0.25">
      <c r="B13" s="29"/>
      <c r="C13" s="9" t="s">
        <v>3</v>
      </c>
      <c r="D13" s="14"/>
      <c r="E13" s="14">
        <f>118840/12</f>
        <v>9903.3333333333339</v>
      </c>
      <c r="F13" s="15">
        <f t="shared" ref="F13:O13" si="290">118840/12</f>
        <v>9903.3333333333339</v>
      </c>
      <c r="G13" s="15">
        <f t="shared" si="290"/>
        <v>9903.3333333333339</v>
      </c>
      <c r="H13" s="15">
        <f t="shared" si="290"/>
        <v>9903.3333333333339</v>
      </c>
      <c r="I13" s="15">
        <f t="shared" si="290"/>
        <v>9903.3333333333339</v>
      </c>
      <c r="J13" s="15">
        <f t="shared" si="290"/>
        <v>9903.3333333333339</v>
      </c>
      <c r="K13" s="15">
        <f t="shared" si="290"/>
        <v>9903.3333333333339</v>
      </c>
      <c r="L13" s="15">
        <f t="shared" si="290"/>
        <v>9903.3333333333339</v>
      </c>
      <c r="M13" s="15">
        <f t="shared" si="290"/>
        <v>9903.3333333333339</v>
      </c>
      <c r="N13" s="15">
        <f t="shared" si="290"/>
        <v>9903.3333333333339</v>
      </c>
      <c r="O13" s="15">
        <f t="shared" si="290"/>
        <v>9903.3333333333339</v>
      </c>
      <c r="P13" s="16">
        <f>118840/12+(215265.45-118840)</f>
        <v>106328.78333333334</v>
      </c>
      <c r="Q13" s="14">
        <f>143225/12</f>
        <v>11935.416666666666</v>
      </c>
      <c r="R13" s="15">
        <f t="shared" ref="R13:AA13" si="291">143225/12</f>
        <v>11935.416666666666</v>
      </c>
      <c r="S13" s="15">
        <f t="shared" si="291"/>
        <v>11935.416666666666</v>
      </c>
      <c r="T13" s="15">
        <f t="shared" si="291"/>
        <v>11935.416666666666</v>
      </c>
      <c r="U13" s="15">
        <f t="shared" si="291"/>
        <v>11935.416666666666</v>
      </c>
      <c r="V13" s="15">
        <f t="shared" si="291"/>
        <v>11935.416666666666</v>
      </c>
      <c r="W13" s="15">
        <f t="shared" si="291"/>
        <v>11935.416666666666</v>
      </c>
      <c r="X13" s="15">
        <f t="shared" si="291"/>
        <v>11935.416666666666</v>
      </c>
      <c r="Y13" s="15">
        <f t="shared" si="291"/>
        <v>11935.416666666666</v>
      </c>
      <c r="Z13" s="15">
        <f>143225/12</f>
        <v>11935.416666666666</v>
      </c>
      <c r="AA13" s="15">
        <f t="shared" si="291"/>
        <v>11935.416666666666</v>
      </c>
      <c r="AB13" s="16">
        <f>143225/12+(199572.64-143225)</f>
        <v>68283.056666666685</v>
      </c>
      <c r="AC13" s="14">
        <f>183561/12</f>
        <v>15296.75</v>
      </c>
      <c r="AD13" s="15">
        <f t="shared" ref="AD13:AM13" si="292">183561/12</f>
        <v>15296.75</v>
      </c>
      <c r="AE13" s="15">
        <f t="shared" si="292"/>
        <v>15296.75</v>
      </c>
      <c r="AF13" s="15">
        <f t="shared" si="292"/>
        <v>15296.75</v>
      </c>
      <c r="AG13" s="15">
        <f t="shared" si="292"/>
        <v>15296.75</v>
      </c>
      <c r="AH13" s="15">
        <f t="shared" si="292"/>
        <v>15296.75</v>
      </c>
      <c r="AI13" s="15">
        <f t="shared" si="292"/>
        <v>15296.75</v>
      </c>
      <c r="AJ13" s="15">
        <f t="shared" si="292"/>
        <v>15296.75</v>
      </c>
      <c r="AK13" s="15">
        <f t="shared" si="292"/>
        <v>15296.75</v>
      </c>
      <c r="AL13" s="15">
        <f t="shared" si="292"/>
        <v>15296.75</v>
      </c>
      <c r="AM13" s="15">
        <f t="shared" si="292"/>
        <v>15296.75</v>
      </c>
      <c r="AN13" s="16">
        <f>183561/12+(170814.41-183561)</f>
        <v>2550.1600000000035</v>
      </c>
      <c r="AO13" s="14">
        <f>209866/12</f>
        <v>17488.833333333332</v>
      </c>
      <c r="AP13" s="15">
        <f t="shared" ref="AP13:AY13" si="293">209866/12</f>
        <v>17488.833333333332</v>
      </c>
      <c r="AQ13" s="15">
        <f t="shared" si="293"/>
        <v>17488.833333333332</v>
      </c>
      <c r="AR13" s="15">
        <f t="shared" si="293"/>
        <v>17488.833333333332</v>
      </c>
      <c r="AS13" s="15">
        <f t="shared" si="293"/>
        <v>17488.833333333332</v>
      </c>
      <c r="AT13" s="15">
        <f t="shared" si="293"/>
        <v>17488.833333333332</v>
      </c>
      <c r="AU13" s="15">
        <f t="shared" si="293"/>
        <v>17488.833333333332</v>
      </c>
      <c r="AV13" s="15">
        <f t="shared" si="293"/>
        <v>17488.833333333332</v>
      </c>
      <c r="AW13" s="15">
        <f t="shared" si="293"/>
        <v>17488.833333333332</v>
      </c>
      <c r="AX13" s="15">
        <f t="shared" si="293"/>
        <v>17488.833333333332</v>
      </c>
      <c r="AY13" s="15">
        <f t="shared" si="293"/>
        <v>17488.833333333332</v>
      </c>
      <c r="AZ13" s="16">
        <f>209866/12+(209706.85-209866)</f>
        <v>17329.683333333338</v>
      </c>
      <c r="BA13" s="14">
        <f>234187/12</f>
        <v>19515.583333333332</v>
      </c>
      <c r="BB13" s="15">
        <f t="shared" ref="BB13:BK13" si="294">234187/12</f>
        <v>19515.583333333332</v>
      </c>
      <c r="BC13" s="15">
        <f t="shared" si="294"/>
        <v>19515.583333333332</v>
      </c>
      <c r="BD13" s="15">
        <f t="shared" si="294"/>
        <v>19515.583333333332</v>
      </c>
      <c r="BE13" s="15">
        <f t="shared" si="294"/>
        <v>19515.583333333332</v>
      </c>
      <c r="BF13" s="15">
        <f t="shared" si="294"/>
        <v>19515.583333333332</v>
      </c>
      <c r="BG13" s="15">
        <f t="shared" si="294"/>
        <v>19515.583333333332</v>
      </c>
      <c r="BH13" s="15">
        <f t="shared" si="294"/>
        <v>19515.583333333332</v>
      </c>
      <c r="BI13" s="15">
        <f t="shared" si="294"/>
        <v>19515.583333333332</v>
      </c>
      <c r="BJ13" s="15">
        <f t="shared" si="294"/>
        <v>19515.583333333332</v>
      </c>
      <c r="BK13" s="15">
        <f t="shared" si="294"/>
        <v>19515.583333333332</v>
      </c>
      <c r="BL13" s="16">
        <f>234187/12+(200494.05-234187)</f>
        <v>-14177.36666666668</v>
      </c>
      <c r="BM13" s="14">
        <f>224237/12</f>
        <v>18686.416666666668</v>
      </c>
      <c r="BN13" s="15">
        <f t="shared" ref="BN13:BW13" si="295">224237/12</f>
        <v>18686.416666666668</v>
      </c>
      <c r="BO13" s="15">
        <f t="shared" si="295"/>
        <v>18686.416666666668</v>
      </c>
      <c r="BP13" s="15">
        <f t="shared" si="295"/>
        <v>18686.416666666668</v>
      </c>
      <c r="BQ13" s="15">
        <f t="shared" si="295"/>
        <v>18686.416666666668</v>
      </c>
      <c r="BR13" s="15">
        <f t="shared" si="295"/>
        <v>18686.416666666668</v>
      </c>
      <c r="BS13" s="15">
        <f t="shared" si="295"/>
        <v>18686.416666666668</v>
      </c>
      <c r="BT13" s="15">
        <f t="shared" si="295"/>
        <v>18686.416666666668</v>
      </c>
      <c r="BU13" s="15">
        <f t="shared" si="295"/>
        <v>18686.416666666668</v>
      </c>
      <c r="BV13" s="15">
        <f t="shared" si="295"/>
        <v>18686.416666666668</v>
      </c>
      <c r="BW13" s="15">
        <f t="shared" si="295"/>
        <v>18686.416666666668</v>
      </c>
      <c r="BX13" s="16">
        <f>224237/12+(196383.05-224237)</f>
        <v>-9167.5333333333438</v>
      </c>
      <c r="BY13" s="14">
        <f>235535/12</f>
        <v>19627.916666666668</v>
      </c>
      <c r="BZ13" s="15">
        <f t="shared" ref="BZ13:CI13" si="296">235535/12</f>
        <v>19627.916666666668</v>
      </c>
      <c r="CA13" s="15">
        <f t="shared" si="296"/>
        <v>19627.916666666668</v>
      </c>
      <c r="CB13" s="15">
        <f t="shared" si="296"/>
        <v>19627.916666666668</v>
      </c>
      <c r="CC13" s="15">
        <f t="shared" si="296"/>
        <v>19627.916666666668</v>
      </c>
      <c r="CD13" s="15">
        <f t="shared" si="296"/>
        <v>19627.916666666668</v>
      </c>
      <c r="CE13" s="15">
        <f t="shared" si="296"/>
        <v>19627.916666666668</v>
      </c>
      <c r="CF13" s="15">
        <f t="shared" si="296"/>
        <v>19627.916666666668</v>
      </c>
      <c r="CG13" s="15">
        <f t="shared" si="296"/>
        <v>19627.916666666668</v>
      </c>
      <c r="CH13" s="15">
        <f t="shared" si="296"/>
        <v>19627.916666666668</v>
      </c>
      <c r="CI13" s="15">
        <f t="shared" si="296"/>
        <v>19627.916666666668</v>
      </c>
      <c r="CJ13" s="16">
        <f>235535/12+(223957.82-235535)</f>
        <v>8050.7366666666749</v>
      </c>
      <c r="CK13" s="14">
        <f>225153/12</f>
        <v>18762.75</v>
      </c>
      <c r="CL13" s="15">
        <f t="shared" ref="CL13:CU13" si="297">225153/12</f>
        <v>18762.75</v>
      </c>
      <c r="CM13" s="15">
        <f t="shared" si="297"/>
        <v>18762.75</v>
      </c>
      <c r="CN13" s="15">
        <f t="shared" si="297"/>
        <v>18762.75</v>
      </c>
      <c r="CO13" s="15">
        <f t="shared" si="297"/>
        <v>18762.75</v>
      </c>
      <c r="CP13" s="15">
        <f t="shared" si="297"/>
        <v>18762.75</v>
      </c>
      <c r="CQ13" s="15">
        <f t="shared" si="297"/>
        <v>18762.75</v>
      </c>
      <c r="CR13" s="15">
        <f t="shared" si="297"/>
        <v>18762.75</v>
      </c>
      <c r="CS13" s="15">
        <f t="shared" si="297"/>
        <v>18762.75</v>
      </c>
      <c r="CT13" s="15">
        <f t="shared" si="297"/>
        <v>18762.75</v>
      </c>
      <c r="CU13" s="15">
        <f t="shared" si="297"/>
        <v>18762.75</v>
      </c>
      <c r="CV13" s="16">
        <f>225153/12+(195963.02-225153)</f>
        <v>-10427.23000000001</v>
      </c>
      <c r="CW13" s="16">
        <f>SUM(BM13:CV13)/3</f>
        <v>205434.63000000003</v>
      </c>
    </row>
    <row r="14" spans="2:123" ht="15" x14ac:dyDescent="0.25">
      <c r="B14" s="29"/>
      <c r="C14" s="9" t="s">
        <v>4</v>
      </c>
      <c r="D14" s="19"/>
      <c r="E14" s="19">
        <f>+E13-E12</f>
        <v>-34596.666666666664</v>
      </c>
      <c r="F14" s="20">
        <f t="shared" ref="F14:AB14" si="298">+F13-F12</f>
        <v>-34596.666666666664</v>
      </c>
      <c r="G14" s="20">
        <f t="shared" si="298"/>
        <v>-34596.666666666664</v>
      </c>
      <c r="H14" s="20">
        <f t="shared" si="298"/>
        <v>-34596.666666666664</v>
      </c>
      <c r="I14" s="20">
        <f t="shared" si="298"/>
        <v>-34596.666666666664</v>
      </c>
      <c r="J14" s="20">
        <f t="shared" si="298"/>
        <v>-34596.666666666664</v>
      </c>
      <c r="K14" s="20">
        <f t="shared" si="298"/>
        <v>-34596.666666666664</v>
      </c>
      <c r="L14" s="20">
        <f t="shared" si="298"/>
        <v>-34596.666666666664</v>
      </c>
      <c r="M14" s="20">
        <f t="shared" si="298"/>
        <v>-34596.666666666664</v>
      </c>
      <c r="N14" s="20">
        <f t="shared" si="298"/>
        <v>-34596.666666666664</v>
      </c>
      <c r="O14" s="20">
        <f t="shared" si="298"/>
        <v>-34596.666666666664</v>
      </c>
      <c r="P14" s="21">
        <f t="shared" si="298"/>
        <v>61828.78333333334</v>
      </c>
      <c r="Q14" s="19">
        <f t="shared" si="298"/>
        <v>-32564.583333333336</v>
      </c>
      <c r="R14" s="20">
        <f t="shared" si="298"/>
        <v>-32564.583333333336</v>
      </c>
      <c r="S14" s="20">
        <f t="shared" si="298"/>
        <v>-32564.583333333336</v>
      </c>
      <c r="T14" s="20">
        <f t="shared" si="298"/>
        <v>-32564.583333333336</v>
      </c>
      <c r="U14" s="20">
        <f t="shared" si="298"/>
        <v>-32564.583333333336</v>
      </c>
      <c r="V14" s="20">
        <f t="shared" si="298"/>
        <v>-32564.583333333336</v>
      </c>
      <c r="W14" s="20">
        <f t="shared" si="298"/>
        <v>-32564.583333333336</v>
      </c>
      <c r="X14" s="20">
        <f t="shared" si="298"/>
        <v>-32564.583333333336</v>
      </c>
      <c r="Y14" s="20">
        <f t="shared" si="298"/>
        <v>-32564.583333333336</v>
      </c>
      <c r="Z14" s="20">
        <f t="shared" si="298"/>
        <v>-32564.583333333336</v>
      </c>
      <c r="AA14" s="20">
        <f t="shared" si="298"/>
        <v>-32564.583333333336</v>
      </c>
      <c r="AB14" s="21">
        <f t="shared" si="298"/>
        <v>23783.056666666685</v>
      </c>
      <c r="AC14" s="19">
        <f t="shared" ref="AC14:AN14" si="299">+AC13-AC12</f>
        <v>-29203.25</v>
      </c>
      <c r="AD14" s="20">
        <f t="shared" si="299"/>
        <v>-29203.25</v>
      </c>
      <c r="AE14" s="20">
        <f t="shared" si="299"/>
        <v>-29203.25</v>
      </c>
      <c r="AF14" s="20">
        <f t="shared" si="299"/>
        <v>-29203.25</v>
      </c>
      <c r="AG14" s="20">
        <f t="shared" si="299"/>
        <v>-29203.25</v>
      </c>
      <c r="AH14" s="20">
        <f t="shared" si="299"/>
        <v>-29203.25</v>
      </c>
      <c r="AI14" s="20">
        <f t="shared" si="299"/>
        <v>-29203.25</v>
      </c>
      <c r="AJ14" s="20">
        <f t="shared" si="299"/>
        <v>-29203.25</v>
      </c>
      <c r="AK14" s="20">
        <f t="shared" si="299"/>
        <v>-29203.25</v>
      </c>
      <c r="AL14" s="20">
        <f t="shared" si="299"/>
        <v>-29203.25</v>
      </c>
      <c r="AM14" s="20">
        <f t="shared" si="299"/>
        <v>-29203.25</v>
      </c>
      <c r="AN14" s="21">
        <f t="shared" si="299"/>
        <v>-41949.84</v>
      </c>
      <c r="AO14" s="19">
        <f t="shared" ref="AO14:AZ14" si="300">+AO13-AO12</f>
        <v>-27011.166666666668</v>
      </c>
      <c r="AP14" s="20">
        <f t="shared" si="300"/>
        <v>-27011.166666666668</v>
      </c>
      <c r="AQ14" s="20">
        <f t="shared" si="300"/>
        <v>-27011.166666666668</v>
      </c>
      <c r="AR14" s="20">
        <f t="shared" si="300"/>
        <v>-27011.166666666668</v>
      </c>
      <c r="AS14" s="20">
        <f t="shared" si="300"/>
        <v>-27011.166666666668</v>
      </c>
      <c r="AT14" s="20">
        <f t="shared" si="300"/>
        <v>-27011.166666666668</v>
      </c>
      <c r="AU14" s="20">
        <f t="shared" si="300"/>
        <v>-27011.166666666668</v>
      </c>
      <c r="AV14" s="20">
        <f t="shared" si="300"/>
        <v>-27011.166666666668</v>
      </c>
      <c r="AW14" s="20">
        <f t="shared" si="300"/>
        <v>-27011.166666666668</v>
      </c>
      <c r="AX14" s="20">
        <f t="shared" si="300"/>
        <v>-27011.166666666668</v>
      </c>
      <c r="AY14" s="20">
        <f t="shared" si="300"/>
        <v>-27011.166666666668</v>
      </c>
      <c r="AZ14" s="21">
        <f t="shared" si="300"/>
        <v>-27170.316666666662</v>
      </c>
      <c r="BA14" s="19">
        <f t="shared" ref="BA14" si="301">+BA13-BA12</f>
        <v>-24984.416666666668</v>
      </c>
      <c r="BB14" s="20">
        <f t="shared" ref="BB14" si="302">+BB13-BB12</f>
        <v>-24984.416666666668</v>
      </c>
      <c r="BC14" s="20">
        <f t="shared" ref="BC14" si="303">+BC13-BC12</f>
        <v>-24984.416666666668</v>
      </c>
      <c r="BD14" s="20">
        <f t="shared" ref="BD14" si="304">+BD13-BD12</f>
        <v>-24984.416666666668</v>
      </c>
      <c r="BE14" s="20">
        <f t="shared" ref="BE14" si="305">+BE13-BE12</f>
        <v>-24984.416666666668</v>
      </c>
      <c r="BF14" s="20">
        <f t="shared" ref="BF14" si="306">+BF13-BF12</f>
        <v>-24984.416666666668</v>
      </c>
      <c r="BG14" s="20">
        <f t="shared" ref="BG14" si="307">+BG13-BG12</f>
        <v>-24984.416666666668</v>
      </c>
      <c r="BH14" s="20">
        <f t="shared" ref="BH14" si="308">+BH13-BH12</f>
        <v>-24984.416666666668</v>
      </c>
      <c r="BI14" s="20">
        <f t="shared" ref="BI14" si="309">+BI13-BI12</f>
        <v>-24984.416666666668</v>
      </c>
      <c r="BJ14" s="20">
        <f t="shared" ref="BJ14" si="310">+BJ13-BJ12</f>
        <v>-24984.416666666668</v>
      </c>
      <c r="BK14" s="20">
        <f t="shared" ref="BK14" si="311">+BK13-BK12</f>
        <v>-24984.416666666668</v>
      </c>
      <c r="BL14" s="21">
        <f t="shared" ref="BL14" si="312">+BL13-BL12</f>
        <v>-58677.366666666683</v>
      </c>
      <c r="BM14" s="19">
        <f t="shared" ref="BM14" si="313">+BM13-BM12</f>
        <v>-25813.583333333332</v>
      </c>
      <c r="BN14" s="20">
        <f t="shared" ref="BN14" si="314">+BN13-BN12</f>
        <v>-25813.583333333332</v>
      </c>
      <c r="BO14" s="20">
        <f t="shared" ref="BO14" si="315">+BO13-BO12</f>
        <v>-25813.583333333332</v>
      </c>
      <c r="BP14" s="20">
        <f t="shared" ref="BP14" si="316">+BP13-BP12</f>
        <v>-25813.583333333332</v>
      </c>
      <c r="BQ14" s="20">
        <f t="shared" ref="BQ14" si="317">+BQ13-BQ12</f>
        <v>-25813.583333333332</v>
      </c>
      <c r="BR14" s="20">
        <f t="shared" ref="BR14" si="318">+BR13-BR12</f>
        <v>-25813.583333333332</v>
      </c>
      <c r="BS14" s="20">
        <f t="shared" ref="BS14" si="319">+BS13-BS12</f>
        <v>-25813.583333333332</v>
      </c>
      <c r="BT14" s="20">
        <f t="shared" ref="BT14" si="320">+BT13-BT12</f>
        <v>-25813.583333333332</v>
      </c>
      <c r="BU14" s="20">
        <f t="shared" ref="BU14" si="321">+BU13-BU12</f>
        <v>-25813.583333333332</v>
      </c>
      <c r="BV14" s="20">
        <f t="shared" ref="BV14" si="322">+BV13-BV12</f>
        <v>-25813.583333333332</v>
      </c>
      <c r="BW14" s="20">
        <f t="shared" ref="BW14" si="323">+BW13-BW12</f>
        <v>-25813.583333333332</v>
      </c>
      <c r="BX14" s="21">
        <f t="shared" ref="BX14" si="324">+BX13-BX12</f>
        <v>-53667.53333333334</v>
      </c>
      <c r="BY14" s="19">
        <f t="shared" ref="BY14" si="325">+BY13-BY12</f>
        <v>-24872.083333333332</v>
      </c>
      <c r="BZ14" s="20">
        <f t="shared" ref="BZ14" si="326">+BZ13-BZ12</f>
        <v>-24872.083333333332</v>
      </c>
      <c r="CA14" s="20">
        <f t="shared" ref="CA14" si="327">+CA13-CA12</f>
        <v>-24872.083333333332</v>
      </c>
      <c r="CB14" s="20">
        <f t="shared" ref="CB14" si="328">+CB13-CB12</f>
        <v>-24872.083333333332</v>
      </c>
      <c r="CC14" s="20">
        <f t="shared" ref="CC14" si="329">+CC13-CC12</f>
        <v>-24872.083333333332</v>
      </c>
      <c r="CD14" s="20">
        <f t="shared" ref="CD14" si="330">+CD13-CD12</f>
        <v>-24872.083333333332</v>
      </c>
      <c r="CE14" s="20">
        <f t="shared" ref="CE14" si="331">+CE13-CE12</f>
        <v>-24872.083333333332</v>
      </c>
      <c r="CF14" s="20">
        <f t="shared" ref="CF14" si="332">+CF13-CF12</f>
        <v>-24872.083333333332</v>
      </c>
      <c r="CG14" s="20">
        <f t="shared" ref="CG14" si="333">+CG13-CG12</f>
        <v>-24872.083333333332</v>
      </c>
      <c r="CH14" s="20">
        <f t="shared" ref="CH14" si="334">+CH13-CH12</f>
        <v>-24872.083333333332</v>
      </c>
      <c r="CI14" s="20">
        <f t="shared" ref="CI14" si="335">+CI13-CI12</f>
        <v>-24872.083333333332</v>
      </c>
      <c r="CJ14" s="21">
        <f t="shared" ref="CJ14:CW14" si="336">+CJ13-CJ12</f>
        <v>-36449.263333333321</v>
      </c>
      <c r="CK14" s="19">
        <f t="shared" si="336"/>
        <v>-25737.25</v>
      </c>
      <c r="CL14" s="20">
        <f t="shared" si="336"/>
        <v>-25737.25</v>
      </c>
      <c r="CM14" s="20">
        <f t="shared" si="336"/>
        <v>-25737.25</v>
      </c>
      <c r="CN14" s="20">
        <f t="shared" si="336"/>
        <v>-25737.25</v>
      </c>
      <c r="CO14" s="20">
        <f t="shared" si="336"/>
        <v>-25737.25</v>
      </c>
      <c r="CP14" s="20">
        <f t="shared" si="336"/>
        <v>-25737.25</v>
      </c>
      <c r="CQ14" s="20">
        <f t="shared" si="336"/>
        <v>-25737.25</v>
      </c>
      <c r="CR14" s="20">
        <f t="shared" si="336"/>
        <v>-25737.25</v>
      </c>
      <c r="CS14" s="20">
        <f t="shared" si="336"/>
        <v>-25737.25</v>
      </c>
      <c r="CT14" s="20">
        <f t="shared" si="336"/>
        <v>-25737.25</v>
      </c>
      <c r="CU14" s="20">
        <f t="shared" si="336"/>
        <v>-25737.25</v>
      </c>
      <c r="CV14" s="21">
        <f t="shared" ref="CV14" si="337">+CV13-CV12</f>
        <v>-54927.23000000001</v>
      </c>
      <c r="CW14" s="21">
        <f t="shared" si="336"/>
        <v>-328565.37</v>
      </c>
    </row>
    <row r="15" spans="2:123" ht="15" x14ac:dyDescent="0.25">
      <c r="B15" s="29"/>
      <c r="C15" s="9" t="s">
        <v>5</v>
      </c>
      <c r="D15" s="19">
        <v>0</v>
      </c>
      <c r="E15" s="19">
        <f>+D15+E14</f>
        <v>-34596.666666666664</v>
      </c>
      <c r="F15" s="20">
        <f t="shared" ref="F15" si="338">+E15+F14</f>
        <v>-69193.333333333328</v>
      </c>
      <c r="G15" s="20">
        <f t="shared" ref="G15" si="339">+F15+G14</f>
        <v>-103790</v>
      </c>
      <c r="H15" s="20">
        <f t="shared" ref="H15" si="340">+G15+H14</f>
        <v>-138386.66666666666</v>
      </c>
      <c r="I15" s="20">
        <f t="shared" ref="I15" si="341">+H15+I14</f>
        <v>-172983.33333333331</v>
      </c>
      <c r="J15" s="20">
        <f t="shared" ref="J15" si="342">+I15+J14</f>
        <v>-207579.99999999997</v>
      </c>
      <c r="K15" s="20">
        <f t="shared" ref="K15" si="343">+J15+K14</f>
        <v>-242176.66666666663</v>
      </c>
      <c r="L15" s="20">
        <f t="shared" ref="L15" si="344">+K15+L14</f>
        <v>-276773.33333333331</v>
      </c>
      <c r="M15" s="20">
        <f t="shared" ref="M15" si="345">+L15+M14</f>
        <v>-311370</v>
      </c>
      <c r="N15" s="20">
        <f t="shared" ref="N15" si="346">+M15+N14</f>
        <v>-345966.66666666669</v>
      </c>
      <c r="O15" s="20">
        <f t="shared" ref="O15" si="347">+N15+O14</f>
        <v>-380563.33333333337</v>
      </c>
      <c r="P15" s="21">
        <f t="shared" ref="P15" si="348">+O15+P14</f>
        <v>-318734.55000000005</v>
      </c>
      <c r="Q15" s="19">
        <f t="shared" ref="Q15" si="349">+P15+Q14</f>
        <v>-351299.13333333336</v>
      </c>
      <c r="R15" s="20">
        <f t="shared" ref="R15" si="350">+Q15+R14</f>
        <v>-383863.71666666667</v>
      </c>
      <c r="S15" s="20">
        <f t="shared" ref="S15" si="351">+R15+S14</f>
        <v>-416428.3</v>
      </c>
      <c r="T15" s="20">
        <f t="shared" ref="T15" si="352">+S15+T14</f>
        <v>-448992.8833333333</v>
      </c>
      <c r="U15" s="20">
        <f t="shared" ref="U15" si="353">+T15+U14</f>
        <v>-481557.46666666662</v>
      </c>
      <c r="V15" s="20">
        <f t="shared" ref="V15" si="354">+U15+V14</f>
        <v>-514122.04999999993</v>
      </c>
      <c r="W15" s="20">
        <f t="shared" ref="W15" si="355">+V15+W14</f>
        <v>-546686.6333333333</v>
      </c>
      <c r="X15" s="20">
        <f t="shared" ref="X15" si="356">+W15+X14</f>
        <v>-579251.21666666667</v>
      </c>
      <c r="Y15" s="20">
        <f t="shared" ref="Y15" si="357">+X15+Y14</f>
        <v>-611815.80000000005</v>
      </c>
      <c r="Z15" s="20">
        <f t="shared" ref="Z15" si="358">+Y15+Z14</f>
        <v>-644380.38333333342</v>
      </c>
      <c r="AA15" s="20">
        <f t="shared" ref="AA15" si="359">+Z15+AA14</f>
        <v>-676944.96666666679</v>
      </c>
      <c r="AB15" s="21">
        <f t="shared" ref="AB15" si="360">+AA15+AB14</f>
        <v>-653161.91000000015</v>
      </c>
      <c r="AC15" s="19">
        <f t="shared" ref="AC15" si="361">+AB15+AC14</f>
        <v>-682365.16000000015</v>
      </c>
      <c r="AD15" s="20">
        <f t="shared" ref="AD15" si="362">+AC15+AD14</f>
        <v>-711568.41000000015</v>
      </c>
      <c r="AE15" s="20">
        <f t="shared" ref="AE15" si="363">+AD15+AE14</f>
        <v>-740771.66000000015</v>
      </c>
      <c r="AF15" s="20">
        <f t="shared" ref="AF15" si="364">+AE15+AF14</f>
        <v>-769974.91000000015</v>
      </c>
      <c r="AG15" s="20">
        <f t="shared" ref="AG15" si="365">+AF15+AG14</f>
        <v>-799178.16000000015</v>
      </c>
      <c r="AH15" s="20">
        <f t="shared" ref="AH15" si="366">+AG15+AH14</f>
        <v>-828381.41000000015</v>
      </c>
      <c r="AI15" s="20">
        <f t="shared" ref="AI15" si="367">+AH15+AI14</f>
        <v>-857584.66000000015</v>
      </c>
      <c r="AJ15" s="20">
        <f t="shared" ref="AJ15" si="368">+AI15+AJ14</f>
        <v>-886787.91000000015</v>
      </c>
      <c r="AK15" s="20">
        <f t="shared" ref="AK15" si="369">+AJ15+AK14</f>
        <v>-915991.16000000015</v>
      </c>
      <c r="AL15" s="20">
        <f t="shared" ref="AL15" si="370">+AK15+AL14</f>
        <v>-945194.41000000015</v>
      </c>
      <c r="AM15" s="20">
        <f t="shared" ref="AM15" si="371">+AL15+AM14</f>
        <v>-974397.66000000015</v>
      </c>
      <c r="AN15" s="21">
        <f t="shared" ref="AN15" si="372">+AM15+AN14</f>
        <v>-1016347.5000000001</v>
      </c>
      <c r="AO15" s="19">
        <f t="shared" ref="AO15" si="373">+AN15+AO14</f>
        <v>-1043358.6666666667</v>
      </c>
      <c r="AP15" s="20">
        <f t="shared" ref="AP15" si="374">+AO15+AP14</f>
        <v>-1070369.8333333335</v>
      </c>
      <c r="AQ15" s="20">
        <f t="shared" ref="AQ15" si="375">+AP15+AQ14</f>
        <v>-1097381.0000000002</v>
      </c>
      <c r="AR15" s="20">
        <f t="shared" ref="AR15" si="376">+AQ15+AR14</f>
        <v>-1124392.166666667</v>
      </c>
      <c r="AS15" s="20">
        <f t="shared" ref="AS15" si="377">+AR15+AS14</f>
        <v>-1151403.3333333337</v>
      </c>
      <c r="AT15" s="20">
        <f t="shared" ref="AT15" si="378">+AS15+AT14</f>
        <v>-1178414.5000000005</v>
      </c>
      <c r="AU15" s="20">
        <f t="shared" ref="AU15" si="379">+AT15+AU14</f>
        <v>-1205425.6666666672</v>
      </c>
      <c r="AV15" s="20">
        <f t="shared" ref="AV15" si="380">+AU15+AV14</f>
        <v>-1232436.833333334</v>
      </c>
      <c r="AW15" s="20">
        <f t="shared" ref="AW15" si="381">+AV15+AW14</f>
        <v>-1259448.0000000007</v>
      </c>
      <c r="AX15" s="20">
        <f t="shared" ref="AX15" si="382">+AW15+AX14</f>
        <v>-1286459.1666666674</v>
      </c>
      <c r="AY15" s="20">
        <f t="shared" ref="AY15" si="383">+AX15+AY14</f>
        <v>-1313470.3333333342</v>
      </c>
      <c r="AZ15" s="21">
        <f t="shared" ref="AZ15" si="384">+AY15+AZ14</f>
        <v>-1340640.6500000008</v>
      </c>
      <c r="BA15" s="19">
        <f t="shared" ref="BA15" si="385">+AZ15+BA14</f>
        <v>-1365625.0666666676</v>
      </c>
      <c r="BB15" s="20">
        <f t="shared" ref="BB15" si="386">+BA15+BB14</f>
        <v>-1390609.4833333343</v>
      </c>
      <c r="BC15" s="20">
        <f t="shared" ref="BC15" si="387">+BB15+BC14</f>
        <v>-1415593.9000000011</v>
      </c>
      <c r="BD15" s="20">
        <f t="shared" ref="BD15" si="388">+BC15+BD14</f>
        <v>-1440578.3166666678</v>
      </c>
      <c r="BE15" s="20">
        <f t="shared" ref="BE15" si="389">+BD15+BE14</f>
        <v>-1465562.7333333346</v>
      </c>
      <c r="BF15" s="20">
        <f t="shared" ref="BF15" si="390">+BE15+BF14</f>
        <v>-1490547.1500000013</v>
      </c>
      <c r="BG15" s="20">
        <f t="shared" ref="BG15" si="391">+BF15+BG14</f>
        <v>-1515531.566666668</v>
      </c>
      <c r="BH15" s="20">
        <f t="shared" ref="BH15" si="392">+BG15+BH14</f>
        <v>-1540515.9833333348</v>
      </c>
      <c r="BI15" s="20">
        <f t="shared" ref="BI15" si="393">+BH15+BI14</f>
        <v>-1565500.4000000015</v>
      </c>
      <c r="BJ15" s="20">
        <f t="shared" ref="BJ15" si="394">+BI15+BJ14</f>
        <v>-1590484.8166666683</v>
      </c>
      <c r="BK15" s="20">
        <f t="shared" ref="BK15" si="395">+BJ15+BK14</f>
        <v>-1615469.233333335</v>
      </c>
      <c r="BL15" s="21">
        <f t="shared" ref="BL15" si="396">+BK15+BL14</f>
        <v>-1674146.6000000017</v>
      </c>
      <c r="BM15" s="19">
        <f t="shared" ref="BM15" si="397">+BL15+BM14</f>
        <v>-1699960.183333335</v>
      </c>
      <c r="BN15" s="20">
        <f t="shared" ref="BN15" si="398">+BM15+BN14</f>
        <v>-1725773.7666666682</v>
      </c>
      <c r="BO15" s="20">
        <f t="shared" ref="BO15" si="399">+BN15+BO14</f>
        <v>-1751587.3500000015</v>
      </c>
      <c r="BP15" s="20">
        <f t="shared" ref="BP15" si="400">+BO15+BP14</f>
        <v>-1777400.9333333347</v>
      </c>
      <c r="BQ15" s="20">
        <f t="shared" ref="BQ15" si="401">+BP15+BQ14</f>
        <v>-1803214.516666668</v>
      </c>
      <c r="BR15" s="20">
        <f t="shared" ref="BR15" si="402">+BQ15+BR14</f>
        <v>-1829028.1000000013</v>
      </c>
      <c r="BS15" s="20">
        <f t="shared" ref="BS15" si="403">+BR15+BS14</f>
        <v>-1854841.6833333345</v>
      </c>
      <c r="BT15" s="20">
        <f t="shared" ref="BT15" si="404">+BS15+BT14</f>
        <v>-1880655.2666666678</v>
      </c>
      <c r="BU15" s="20">
        <f t="shared" ref="BU15" si="405">+BT15+BU14</f>
        <v>-1906468.850000001</v>
      </c>
      <c r="BV15" s="20">
        <f t="shared" ref="BV15" si="406">+BU15+BV14</f>
        <v>-1932282.4333333343</v>
      </c>
      <c r="BW15" s="20">
        <f t="shared" ref="BW15" si="407">+BV15+BW14</f>
        <v>-1958096.0166666675</v>
      </c>
      <c r="BX15" s="21">
        <f t="shared" ref="BX15" si="408">+BW15+BX14</f>
        <v>-2011763.550000001</v>
      </c>
      <c r="BY15" s="19">
        <f t="shared" ref="BY15" si="409">+BX15+BY14</f>
        <v>-2036635.6333333342</v>
      </c>
      <c r="BZ15" s="20">
        <f t="shared" ref="BZ15" si="410">+BY15+BZ14</f>
        <v>-2061507.7166666675</v>
      </c>
      <c r="CA15" s="20">
        <f t="shared" ref="CA15" si="411">+BZ15+CA14</f>
        <v>-2086379.8000000007</v>
      </c>
      <c r="CB15" s="20">
        <f t="shared" ref="CB15" si="412">+CA15+CB14</f>
        <v>-2111251.8833333342</v>
      </c>
      <c r="CC15" s="20">
        <f t="shared" ref="CC15" si="413">+CB15+CC14</f>
        <v>-2136123.9666666677</v>
      </c>
      <c r="CD15" s="20">
        <f t="shared" ref="CD15" si="414">+CC15+CD14</f>
        <v>-2160996.0500000012</v>
      </c>
      <c r="CE15" s="20">
        <f t="shared" ref="CE15" si="415">+CD15+CE14</f>
        <v>-2185868.1333333347</v>
      </c>
      <c r="CF15" s="20">
        <f t="shared" ref="CF15" si="416">+CE15+CF14</f>
        <v>-2210740.2166666682</v>
      </c>
      <c r="CG15" s="20">
        <f t="shared" ref="CG15" si="417">+CF15+CG14</f>
        <v>-2235612.3000000017</v>
      </c>
      <c r="CH15" s="20">
        <f t="shared" ref="CH15" si="418">+CG15+CH14</f>
        <v>-2260484.3833333352</v>
      </c>
      <c r="CI15" s="20">
        <f t="shared" ref="CI15" si="419">+CH15+CI14</f>
        <v>-2285356.4666666687</v>
      </c>
      <c r="CJ15" s="21">
        <f t="shared" ref="CJ15" si="420">+CI15+CJ14</f>
        <v>-2321805.7300000018</v>
      </c>
      <c r="CK15" s="19">
        <f t="shared" ref="CK15" si="421">+CJ15+CK14</f>
        <v>-2347542.9800000018</v>
      </c>
      <c r="CL15" s="20">
        <f t="shared" ref="CL15" si="422">+CK15+CL14</f>
        <v>-2373280.2300000018</v>
      </c>
      <c r="CM15" s="20">
        <f t="shared" ref="CM15" si="423">+CL15+CM14</f>
        <v>-2399017.4800000018</v>
      </c>
      <c r="CN15" s="20">
        <f t="shared" ref="CN15" si="424">+CM15+CN14</f>
        <v>-2424754.7300000018</v>
      </c>
      <c r="CO15" s="20">
        <f t="shared" ref="CO15" si="425">+CN15+CO14</f>
        <v>-2450491.9800000018</v>
      </c>
      <c r="CP15" s="20">
        <f t="shared" ref="CP15" si="426">+CO15+CP14</f>
        <v>-2476229.2300000018</v>
      </c>
      <c r="CQ15" s="20">
        <f t="shared" ref="CQ15" si="427">+CP15+CQ14</f>
        <v>-2501966.4800000018</v>
      </c>
      <c r="CR15" s="20">
        <f t="shared" ref="CR15" si="428">+CQ15+CR14</f>
        <v>-2527703.7300000018</v>
      </c>
      <c r="CS15" s="20">
        <f t="shared" ref="CS15" si="429">+CR15+CS14</f>
        <v>-2553440.9800000018</v>
      </c>
      <c r="CT15" s="20">
        <f t="shared" ref="CT15" si="430">+CS15+CT14</f>
        <v>-2579178.2300000018</v>
      </c>
      <c r="CU15" s="20">
        <f t="shared" ref="CU15" si="431">+CT15+CU14</f>
        <v>-2604915.4800000018</v>
      </c>
      <c r="CV15" s="21">
        <f t="shared" ref="CV15" si="432">+CU15+CV14</f>
        <v>-2659842.7100000018</v>
      </c>
      <c r="CW15" s="21">
        <f>+CV15+CW14</f>
        <v>-2988408.0800000019</v>
      </c>
    </row>
    <row r="16" spans="2:123" ht="15" x14ac:dyDescent="0.25">
      <c r="B16" s="29"/>
      <c r="C16" s="9" t="s">
        <v>6</v>
      </c>
      <c r="D16" s="19"/>
      <c r="E16" s="19">
        <f>+E15*E$33/12</f>
        <v>-86.203361111111121</v>
      </c>
      <c r="F16" s="20">
        <f t="shared" ref="F16:Y16" si="433">+F15*F$33/12</f>
        <v>-172.40672222222224</v>
      </c>
      <c r="G16" s="20">
        <f t="shared" si="433"/>
        <v>-258.61008333333336</v>
      </c>
      <c r="H16" s="20">
        <f t="shared" si="433"/>
        <v>-386.32944444444439</v>
      </c>
      <c r="I16" s="20">
        <f t="shared" si="433"/>
        <v>-482.91180555555553</v>
      </c>
      <c r="J16" s="20">
        <f t="shared" si="433"/>
        <v>-579.49416666666662</v>
      </c>
      <c r="K16" s="20">
        <f t="shared" si="433"/>
        <v>-676.07652777777764</v>
      </c>
      <c r="L16" s="20">
        <f t="shared" si="433"/>
        <v>-772.65888888888878</v>
      </c>
      <c r="M16" s="20">
        <f t="shared" si="433"/>
        <v>-869.24125000000004</v>
      </c>
      <c r="N16" s="20">
        <f t="shared" si="433"/>
        <v>-965.82361111111129</v>
      </c>
      <c r="O16" s="20">
        <f t="shared" si="433"/>
        <v>-1062.4059722222225</v>
      </c>
      <c r="P16" s="21">
        <f t="shared" si="433"/>
        <v>-889.80061875000013</v>
      </c>
      <c r="Q16" s="19">
        <f t="shared" si="433"/>
        <v>-1118.3022411111112</v>
      </c>
      <c r="R16" s="20">
        <f t="shared" si="433"/>
        <v>-1221.9661647222222</v>
      </c>
      <c r="S16" s="20">
        <f t="shared" si="433"/>
        <v>-1325.6300883333331</v>
      </c>
      <c r="T16" s="20">
        <f t="shared" si="433"/>
        <v>-1268.4048954166667</v>
      </c>
      <c r="U16" s="20">
        <f t="shared" si="433"/>
        <v>-1360.3998433333331</v>
      </c>
      <c r="V16" s="20">
        <f t="shared" si="433"/>
        <v>-1452.3947912499998</v>
      </c>
      <c r="W16" s="20">
        <f t="shared" si="433"/>
        <v>-1312.0479199999997</v>
      </c>
      <c r="X16" s="20">
        <f t="shared" si="433"/>
        <v>-1390.2029199999999</v>
      </c>
      <c r="Y16" s="20">
        <f t="shared" si="433"/>
        <v>-1468.3579200000001</v>
      </c>
      <c r="Z16" s="20"/>
      <c r="AA16" s="20">
        <f t="shared" ref="AA16:BR16" si="434">+Z15*AA$33/12</f>
        <v>-1546.5129200000001</v>
      </c>
      <c r="AB16" s="21">
        <f t="shared" si="434"/>
        <v>-1624.6679200000001</v>
      </c>
      <c r="AC16" s="19">
        <f t="shared" si="434"/>
        <v>-1567.5885840000003</v>
      </c>
      <c r="AD16" s="20">
        <f t="shared" si="434"/>
        <v>-1637.6763840000003</v>
      </c>
      <c r="AE16" s="20">
        <f t="shared" si="434"/>
        <v>-1707.7641840000003</v>
      </c>
      <c r="AF16" s="20">
        <f t="shared" si="434"/>
        <v>-1530.9280973333337</v>
      </c>
      <c r="AG16" s="20">
        <f t="shared" si="434"/>
        <v>-1591.2814806666668</v>
      </c>
      <c r="AH16" s="20">
        <f t="shared" si="434"/>
        <v>-1651.6348640000003</v>
      </c>
      <c r="AI16" s="20">
        <f t="shared" si="434"/>
        <v>-1711.9882473333337</v>
      </c>
      <c r="AJ16" s="20">
        <f t="shared" si="434"/>
        <v>-1772.3416306666668</v>
      </c>
      <c r="AK16" s="20">
        <f t="shared" si="434"/>
        <v>-1832.6950140000001</v>
      </c>
      <c r="AL16" s="20">
        <f t="shared" si="434"/>
        <v>-1549.5517123333336</v>
      </c>
      <c r="AM16" s="20">
        <f t="shared" si="434"/>
        <v>-1598.9538769166668</v>
      </c>
      <c r="AN16" s="21">
        <f t="shared" si="434"/>
        <v>-1648.3560415000002</v>
      </c>
      <c r="AO16" s="19">
        <f t="shared" si="434"/>
        <v>-1719.3211875</v>
      </c>
      <c r="AP16" s="20">
        <f t="shared" si="434"/>
        <v>-1765.0150777777778</v>
      </c>
      <c r="AQ16" s="20">
        <f t="shared" si="434"/>
        <v>-1810.7089680555557</v>
      </c>
      <c r="AR16" s="20">
        <f t="shared" si="434"/>
        <v>-2094.1687416666668</v>
      </c>
      <c r="AS16" s="20">
        <f t="shared" si="434"/>
        <v>-2145.7150513888896</v>
      </c>
      <c r="AT16" s="20">
        <f t="shared" si="434"/>
        <v>-2197.2613611111119</v>
      </c>
      <c r="AU16" s="20">
        <f t="shared" si="434"/>
        <v>-2248.8076708333342</v>
      </c>
      <c r="AV16" s="20">
        <f t="shared" si="434"/>
        <v>-2300.3539805555565</v>
      </c>
      <c r="AW16" s="20">
        <f t="shared" si="434"/>
        <v>-2351.9002902777788</v>
      </c>
      <c r="AX16" s="20">
        <f t="shared" si="434"/>
        <v>-2403.4466000000016</v>
      </c>
      <c r="AY16" s="20">
        <f t="shared" si="434"/>
        <v>-2454.9929097222234</v>
      </c>
      <c r="AZ16" s="21">
        <f t="shared" si="434"/>
        <v>-2506.5392194444462</v>
      </c>
      <c r="BA16" s="19">
        <f>+AZ15*AZ$33/12</f>
        <v>-2558.3892404166681</v>
      </c>
      <c r="BB16" s="20">
        <f t="shared" si="434"/>
        <v>-3095.4168177777797</v>
      </c>
      <c r="BC16" s="20">
        <f t="shared" si="434"/>
        <v>-3152.0481622222246</v>
      </c>
      <c r="BD16" s="20">
        <f t="shared" si="434"/>
        <v>-3904.6798408333361</v>
      </c>
      <c r="BE16" s="20">
        <f t="shared" si="434"/>
        <v>-3973.5951901388921</v>
      </c>
      <c r="BF16" s="20">
        <f t="shared" si="434"/>
        <v>-4042.5105394444477</v>
      </c>
      <c r="BG16" s="20">
        <f t="shared" si="434"/>
        <v>-5788.2914325000056</v>
      </c>
      <c r="BH16" s="20">
        <f t="shared" si="434"/>
        <v>-5885.3142505555616</v>
      </c>
      <c r="BI16" s="20">
        <f t="shared" si="434"/>
        <v>-5982.3370686111166</v>
      </c>
      <c r="BJ16" s="20">
        <f t="shared" si="434"/>
        <v>-6535.9641700000066</v>
      </c>
      <c r="BK16" s="20">
        <f t="shared" si="434"/>
        <v>-6640.2741095833399</v>
      </c>
      <c r="BL16" s="21">
        <f t="shared" si="434"/>
        <v>-6744.584049166674</v>
      </c>
      <c r="BM16" s="19">
        <f t="shared" si="434"/>
        <v>-6989.5620550000067</v>
      </c>
      <c r="BN16" s="20">
        <f t="shared" si="434"/>
        <v>-7097.3337654166726</v>
      </c>
      <c r="BO16" s="20">
        <f t="shared" si="434"/>
        <v>-7205.1054758333403</v>
      </c>
      <c r="BP16" s="20">
        <f t="shared" si="434"/>
        <v>-7312.8771862500062</v>
      </c>
      <c r="BQ16" s="20">
        <f t="shared" si="434"/>
        <v>-7420.648896666673</v>
      </c>
      <c r="BR16" s="20">
        <f t="shared" si="434"/>
        <v>-7528.4206070833388</v>
      </c>
      <c r="BS16" s="20">
        <f t="shared" ref="BS16:CJ16" si="435">+BR15*BS$33/12</f>
        <v>-7636.1923175000047</v>
      </c>
      <c r="BT16" s="20">
        <f t="shared" si="435"/>
        <v>-7743.9640279166715</v>
      </c>
      <c r="BU16" s="20">
        <f t="shared" si="435"/>
        <v>-7851.7357383333374</v>
      </c>
      <c r="BV16" s="20">
        <f t="shared" si="435"/>
        <v>-8706.2077483333378</v>
      </c>
      <c r="BW16" s="20">
        <f t="shared" si="435"/>
        <v>-8824.0897788888924</v>
      </c>
      <c r="BX16" s="21">
        <f t="shared" si="435"/>
        <v>-8941.9718094444488</v>
      </c>
      <c r="BY16" s="19">
        <f t="shared" si="435"/>
        <v>-9187.0535450000043</v>
      </c>
      <c r="BZ16" s="20">
        <f t="shared" si="435"/>
        <v>-9300.6360588888929</v>
      </c>
      <c r="CA16" s="20">
        <f t="shared" si="435"/>
        <v>-9414.2185727777814</v>
      </c>
      <c r="CB16" s="20">
        <f t="shared" si="435"/>
        <v>-8658.4761700000035</v>
      </c>
      <c r="CC16" s="20">
        <f t="shared" si="435"/>
        <v>-8761.6953158333381</v>
      </c>
      <c r="CD16" s="20">
        <f t="shared" si="435"/>
        <v>-8864.9144616666727</v>
      </c>
      <c r="CE16" s="20">
        <f t="shared" si="435"/>
        <v>-8968.1336075000054</v>
      </c>
      <c r="CF16" s="20">
        <f t="shared" si="435"/>
        <v>-9071.3527533333399</v>
      </c>
      <c r="CG16" s="20">
        <f t="shared" si="435"/>
        <v>-9174.5718991666745</v>
      </c>
      <c r="CH16" s="20">
        <f t="shared" si="435"/>
        <v>-8476.6966375000065</v>
      </c>
      <c r="CI16" s="20">
        <f t="shared" si="435"/>
        <v>-8571.0032868055623</v>
      </c>
      <c r="CJ16" s="21">
        <f t="shared" si="435"/>
        <v>-8665.3099361111181</v>
      </c>
      <c r="CK16" s="19">
        <f t="shared" ref="CK16" si="436">+CJ15*CK$33/12</f>
        <v>-8184.3651982500078</v>
      </c>
      <c r="CL16" s="20">
        <f t="shared" ref="CL16" si="437">+CK15*CL$33/12</f>
        <v>-8275.0890045000069</v>
      </c>
      <c r="CM16" s="20">
        <f t="shared" ref="CM16" si="438">+CL15*CM$33/12</f>
        <v>-8365.812810750007</v>
      </c>
      <c r="CN16" s="20">
        <f t="shared" ref="CN16" si="439">+CM15*CN$33/12</f>
        <v>-8456.536617000007</v>
      </c>
      <c r="CO16" s="20">
        <f t="shared" ref="CO16" si="440">+CN15*CO$33/12</f>
        <v>-8547.2604232500071</v>
      </c>
      <c r="CP16" s="20">
        <f t="shared" ref="CP16" si="441">+CO15*CP$33/12</f>
        <v>-8637.9842295000071</v>
      </c>
      <c r="CQ16" s="20">
        <f t="shared" ref="CQ16" si="442">+CP15*CQ$33/12</f>
        <v>-8728.7080357500072</v>
      </c>
      <c r="CR16" s="20">
        <f t="shared" ref="CR16" si="443">+CQ15*CR$33/12</f>
        <v>-8819.4318420000072</v>
      </c>
      <c r="CS16" s="20">
        <f t="shared" ref="CS16" si="444">+CR15*CS$33/12</f>
        <v>-8910.1556482500073</v>
      </c>
      <c r="CT16" s="20">
        <f t="shared" ref="CT16" si="445">+CS15*CT$33/12</f>
        <v>-9000.8794545000073</v>
      </c>
      <c r="CU16" s="20">
        <f t="shared" ref="CU16" si="446">+CT15*CU$33/12</f>
        <v>-9091.6032607500074</v>
      </c>
      <c r="CV16" s="21">
        <f t="shared" ref="CV16" si="447">+CU15*CV$33/12</f>
        <v>-9182.3270670000074</v>
      </c>
      <c r="CW16" s="21">
        <f>+CW15*CW$33</f>
        <v>-126409.6617840001</v>
      </c>
      <c r="CX16" s="20"/>
    </row>
    <row r="17" spans="2:123" ht="15" x14ac:dyDescent="0.25">
      <c r="B17" s="29"/>
      <c r="C17" s="22" t="s">
        <v>7</v>
      </c>
      <c r="D17" s="23">
        <v>0</v>
      </c>
      <c r="E17" s="23">
        <f>+D17+E16</f>
        <v>-86.203361111111121</v>
      </c>
      <c r="F17" s="24">
        <f t="shared" ref="F17" si="448">+E17+F16</f>
        <v>-258.61008333333336</v>
      </c>
      <c r="G17" s="24">
        <f t="shared" ref="G17" si="449">+F17+G16</f>
        <v>-517.22016666666673</v>
      </c>
      <c r="H17" s="24">
        <f t="shared" ref="H17" si="450">+G17+H16</f>
        <v>-903.54961111111106</v>
      </c>
      <c r="I17" s="24">
        <f t="shared" ref="I17" si="451">+H17+I16</f>
        <v>-1386.4614166666665</v>
      </c>
      <c r="J17" s="24">
        <f t="shared" ref="J17" si="452">+I17+J16</f>
        <v>-1965.9555833333332</v>
      </c>
      <c r="K17" s="24">
        <f t="shared" ref="K17" si="453">+J17+K16</f>
        <v>-2642.0321111111107</v>
      </c>
      <c r="L17" s="24">
        <f t="shared" ref="L17" si="454">+K17+L16</f>
        <v>-3414.6909999999993</v>
      </c>
      <c r="M17" s="24">
        <f t="shared" ref="M17" si="455">+L17+M16</f>
        <v>-4283.9322499999998</v>
      </c>
      <c r="N17" s="24">
        <f t="shared" ref="N17" si="456">+M17+N16</f>
        <v>-5249.7558611111108</v>
      </c>
      <c r="O17" s="24">
        <f t="shared" ref="O17" si="457">+N17+O16</f>
        <v>-6312.1618333333336</v>
      </c>
      <c r="P17" s="25">
        <f t="shared" ref="P17" si="458">+O17+P16</f>
        <v>-7201.962452083334</v>
      </c>
      <c r="Q17" s="23">
        <f t="shared" ref="Q17" si="459">+P17+Q16</f>
        <v>-8320.2646931944455</v>
      </c>
      <c r="R17" s="24">
        <f t="shared" ref="R17" si="460">+Q17+R16</f>
        <v>-9542.2308579166674</v>
      </c>
      <c r="S17" s="24">
        <f t="shared" ref="S17" si="461">+R17+S16</f>
        <v>-10867.860946250001</v>
      </c>
      <c r="T17" s="24">
        <f t="shared" ref="T17" si="462">+S17+T16</f>
        <v>-12136.265841666667</v>
      </c>
      <c r="U17" s="24">
        <f t="shared" ref="U17" si="463">+T17+U16</f>
        <v>-13496.665685</v>
      </c>
      <c r="V17" s="24">
        <f t="shared" ref="V17" si="464">+U17+V16</f>
        <v>-14949.060476250001</v>
      </c>
      <c r="W17" s="24">
        <f t="shared" ref="W17" si="465">+V17+W16</f>
        <v>-16261.10839625</v>
      </c>
      <c r="X17" s="24">
        <f t="shared" ref="X17" si="466">+W17+X16</f>
        <v>-17651.311316250001</v>
      </c>
      <c r="Y17" s="24">
        <f t="shared" ref="Y17" si="467">+X17+Y16</f>
        <v>-19119.66923625</v>
      </c>
      <c r="Z17" s="24">
        <f t="shared" ref="Z17" si="468">+Y17+Z16</f>
        <v>-19119.66923625</v>
      </c>
      <c r="AA17" s="24">
        <f t="shared" ref="AA17" si="469">+Z17+AA16</f>
        <v>-20666.182156250001</v>
      </c>
      <c r="AB17" s="25">
        <f t="shared" ref="AB17" si="470">+AA17+AB16</f>
        <v>-22290.850076250001</v>
      </c>
      <c r="AC17" s="23">
        <f t="shared" ref="AC17" si="471">+AB17+AC16</f>
        <v>-23858.438660250002</v>
      </c>
      <c r="AD17" s="24">
        <f t="shared" ref="AD17" si="472">+AC17+AD16</f>
        <v>-25496.11504425</v>
      </c>
      <c r="AE17" s="24">
        <f t="shared" ref="AE17" si="473">+AD17+AE16</f>
        <v>-27203.87922825</v>
      </c>
      <c r="AF17" s="24">
        <f t="shared" ref="AF17" si="474">+AE17+AF16</f>
        <v>-28734.807325583333</v>
      </c>
      <c r="AG17" s="24">
        <f t="shared" ref="AG17" si="475">+AF17+AG16</f>
        <v>-30326.088806250002</v>
      </c>
      <c r="AH17" s="24">
        <f t="shared" ref="AH17" si="476">+AG17+AH16</f>
        <v>-31977.723670250001</v>
      </c>
      <c r="AI17" s="24">
        <f t="shared" ref="AI17" si="477">+AH17+AI16</f>
        <v>-33689.711917583336</v>
      </c>
      <c r="AJ17" s="24">
        <f t="shared" ref="AJ17" si="478">+AI17+AJ16</f>
        <v>-35462.053548250005</v>
      </c>
      <c r="AK17" s="24">
        <f t="shared" ref="AK17" si="479">+AJ17+AK16</f>
        <v>-37294.748562250003</v>
      </c>
      <c r="AL17" s="24">
        <f t="shared" ref="AL17" si="480">+AK17+AL16</f>
        <v>-38844.300274583336</v>
      </c>
      <c r="AM17" s="24">
        <f t="shared" ref="AM17" si="481">+AL17+AM16</f>
        <v>-40443.254151500005</v>
      </c>
      <c r="AN17" s="25">
        <f t="shared" ref="AN17" si="482">+AM17+AN16</f>
        <v>-42091.610193000008</v>
      </c>
      <c r="AO17" s="23">
        <f t="shared" ref="AO17" si="483">+AN17+AO16</f>
        <v>-43810.931380500006</v>
      </c>
      <c r="AP17" s="24">
        <f t="shared" ref="AP17" si="484">+AO17+AP16</f>
        <v>-45575.94645827778</v>
      </c>
      <c r="AQ17" s="24">
        <f t="shared" ref="AQ17" si="485">+AP17+AQ16</f>
        <v>-47386.655426333338</v>
      </c>
      <c r="AR17" s="24">
        <f t="shared" ref="AR17" si="486">+AQ17+AR16</f>
        <v>-49480.824168000006</v>
      </c>
      <c r="AS17" s="24">
        <f t="shared" ref="AS17" si="487">+AR17+AS16</f>
        <v>-51626.539219388898</v>
      </c>
      <c r="AT17" s="24">
        <f t="shared" ref="AT17" si="488">+AS17+AT16</f>
        <v>-53823.800580500014</v>
      </c>
      <c r="AU17" s="24">
        <f t="shared" ref="AU17" si="489">+AT17+AU16</f>
        <v>-56072.608251333346</v>
      </c>
      <c r="AV17" s="24">
        <f t="shared" ref="AV17" si="490">+AU17+AV16</f>
        <v>-58372.962231888901</v>
      </c>
      <c r="AW17" s="24">
        <f t="shared" ref="AW17" si="491">+AV17+AW16</f>
        <v>-60724.862522166681</v>
      </c>
      <c r="AX17" s="24">
        <f t="shared" ref="AX17" si="492">+AW17+AX16</f>
        <v>-63128.309122166684</v>
      </c>
      <c r="AY17" s="24">
        <f t="shared" ref="AY17" si="493">+AX17+AY16</f>
        <v>-65583.302031888903</v>
      </c>
      <c r="AZ17" s="25">
        <f t="shared" ref="AZ17" si="494">+AY17+AZ16</f>
        <v>-68089.841251333346</v>
      </c>
      <c r="BA17" s="23">
        <f t="shared" ref="BA17" si="495">+AZ17+BA16</f>
        <v>-70648.230491750015</v>
      </c>
      <c r="BB17" s="24">
        <f t="shared" ref="BB17" si="496">+BA17+BB16</f>
        <v>-73743.647309527791</v>
      </c>
      <c r="BC17" s="24">
        <f t="shared" ref="BC17" si="497">+BB17+BC16</f>
        <v>-76895.695471750019</v>
      </c>
      <c r="BD17" s="24">
        <f t="shared" ref="BD17" si="498">+BC17+BD16</f>
        <v>-80800.375312583361</v>
      </c>
      <c r="BE17" s="24">
        <f t="shared" ref="BE17" si="499">+BD17+BE16</f>
        <v>-84773.970502722252</v>
      </c>
      <c r="BF17" s="24">
        <f t="shared" ref="BF17" si="500">+BE17+BF16</f>
        <v>-88816.481042166706</v>
      </c>
      <c r="BG17" s="24">
        <f t="shared" ref="BG17" si="501">+BF17+BG16</f>
        <v>-94604.772474666708</v>
      </c>
      <c r="BH17" s="24">
        <f t="shared" ref="BH17" si="502">+BG17+BH16</f>
        <v>-100490.08672522227</v>
      </c>
      <c r="BI17" s="24">
        <f t="shared" ref="BI17" si="503">+BH17+BI16</f>
        <v>-106472.42379383338</v>
      </c>
      <c r="BJ17" s="24">
        <f t="shared" ref="BJ17" si="504">+BI17+BJ16</f>
        <v>-113008.38796383339</v>
      </c>
      <c r="BK17" s="24">
        <f t="shared" ref="BK17" si="505">+BJ17+BK16</f>
        <v>-119648.66207341672</v>
      </c>
      <c r="BL17" s="25">
        <f t="shared" ref="BL17" si="506">+BK17+BL16</f>
        <v>-126393.2461225834</v>
      </c>
      <c r="BM17" s="23">
        <f t="shared" ref="BM17" si="507">+BL17+BM16</f>
        <v>-133382.80817758341</v>
      </c>
      <c r="BN17" s="24">
        <f t="shared" ref="BN17" si="508">+BM17+BN16</f>
        <v>-140480.14194300008</v>
      </c>
      <c r="BO17" s="24">
        <f t="shared" ref="BO17" si="509">+BN17+BO16</f>
        <v>-147685.24741883343</v>
      </c>
      <c r="BP17" s="24">
        <f t="shared" ref="BP17" si="510">+BO17+BP16</f>
        <v>-154998.12460508343</v>
      </c>
      <c r="BQ17" s="24">
        <f t="shared" ref="BQ17" si="511">+BP17+BQ16</f>
        <v>-162418.77350175011</v>
      </c>
      <c r="BR17" s="24">
        <f t="shared" ref="BR17" si="512">+BQ17+BR16</f>
        <v>-169947.19410883344</v>
      </c>
      <c r="BS17" s="24">
        <f t="shared" ref="BS17" si="513">+BR17+BS16</f>
        <v>-177583.38642633345</v>
      </c>
      <c r="BT17" s="24">
        <f t="shared" ref="BT17" si="514">+BS17+BT16</f>
        <v>-185327.35045425012</v>
      </c>
      <c r="BU17" s="24">
        <f t="shared" ref="BU17" si="515">+BT17+BU16</f>
        <v>-193179.08619258346</v>
      </c>
      <c r="BV17" s="24">
        <f t="shared" ref="BV17" si="516">+BU17+BV16</f>
        <v>-201885.2939409168</v>
      </c>
      <c r="BW17" s="24">
        <f t="shared" ref="BW17" si="517">+BV17+BW16</f>
        <v>-210709.38371980569</v>
      </c>
      <c r="BX17" s="25">
        <f t="shared" ref="BX17" si="518">+BW17+BX16</f>
        <v>-219651.35552925014</v>
      </c>
      <c r="BY17" s="23">
        <f t="shared" ref="BY17" si="519">+BX17+BY16</f>
        <v>-228838.40907425014</v>
      </c>
      <c r="BZ17" s="24">
        <f t="shared" ref="BZ17" si="520">+BY17+BZ16</f>
        <v>-238139.04513313904</v>
      </c>
      <c r="CA17" s="24">
        <f t="shared" ref="CA17" si="521">+BZ17+CA16</f>
        <v>-247553.26370591682</v>
      </c>
      <c r="CB17" s="24">
        <f t="shared" ref="CB17" si="522">+CA17+CB16</f>
        <v>-256211.73987591683</v>
      </c>
      <c r="CC17" s="24">
        <f t="shared" ref="CC17" si="523">+CB17+CC16</f>
        <v>-264973.43519175018</v>
      </c>
      <c r="CD17" s="24">
        <f t="shared" ref="CD17" si="524">+CC17+CD16</f>
        <v>-273838.34965341684</v>
      </c>
      <c r="CE17" s="24">
        <f t="shared" ref="CE17" si="525">+CD17+CE16</f>
        <v>-282806.48326091684</v>
      </c>
      <c r="CF17" s="24">
        <f t="shared" ref="CF17" si="526">+CE17+CF16</f>
        <v>-291877.83601425018</v>
      </c>
      <c r="CG17" s="24">
        <f t="shared" ref="CG17" si="527">+CF17+CG16</f>
        <v>-301052.40791341686</v>
      </c>
      <c r="CH17" s="24">
        <f t="shared" ref="CH17" si="528">+CG17+CH16</f>
        <v>-309529.10455091688</v>
      </c>
      <c r="CI17" s="24">
        <f t="shared" ref="CI17" si="529">+CH17+CI16</f>
        <v>-318100.10783772246</v>
      </c>
      <c r="CJ17" s="25">
        <f t="shared" ref="CJ17" si="530">+CI17+CJ16</f>
        <v>-326765.41777383356</v>
      </c>
      <c r="CK17" s="23">
        <f t="shared" ref="CK17" si="531">+CJ17+CK16</f>
        <v>-334949.78297208354</v>
      </c>
      <c r="CL17" s="24">
        <f t="shared" ref="CL17" si="532">+CK17+CL16</f>
        <v>-343224.87197658356</v>
      </c>
      <c r="CM17" s="24">
        <f t="shared" ref="CM17" si="533">+CL17+CM16</f>
        <v>-351590.68478733354</v>
      </c>
      <c r="CN17" s="24">
        <f t="shared" ref="CN17" si="534">+CM17+CN16</f>
        <v>-360047.22140433354</v>
      </c>
      <c r="CO17" s="24">
        <f t="shared" ref="CO17" si="535">+CN17+CO16</f>
        <v>-368594.48182758357</v>
      </c>
      <c r="CP17" s="24">
        <f t="shared" ref="CP17" si="536">+CO17+CP16</f>
        <v>-377232.46605708357</v>
      </c>
      <c r="CQ17" s="24">
        <f t="shared" ref="CQ17" si="537">+CP17+CQ16</f>
        <v>-385961.17409283359</v>
      </c>
      <c r="CR17" s="24">
        <f t="shared" ref="CR17" si="538">+CQ17+CR16</f>
        <v>-394780.60593483358</v>
      </c>
      <c r="CS17" s="24">
        <f t="shared" ref="CS17" si="539">+CR17+CS16</f>
        <v>-403690.7615830836</v>
      </c>
      <c r="CT17" s="24">
        <f t="shared" ref="CT17" si="540">+CS17+CT16</f>
        <v>-412691.64103758358</v>
      </c>
      <c r="CU17" s="24">
        <f t="shared" ref="CU17" si="541">+CT17+CU16</f>
        <v>-421783.24429833359</v>
      </c>
      <c r="CV17" s="25">
        <f t="shared" ref="CV17" si="542">+CU17+CV16</f>
        <v>-430965.57136533363</v>
      </c>
      <c r="CW17" s="25">
        <f>+CV17+CW16</f>
        <v>-557375.23314933374</v>
      </c>
    </row>
    <row r="18" spans="2:123" ht="15" x14ac:dyDescent="0.25">
      <c r="B18" s="29" t="s">
        <v>9</v>
      </c>
      <c r="C18" s="9" t="s">
        <v>2</v>
      </c>
      <c r="D18" s="14"/>
      <c r="E18" s="14">
        <f>1326000/12</f>
        <v>110500</v>
      </c>
      <c r="F18" s="15">
        <f t="shared" ref="F18:BQ18" si="543">1326000/12</f>
        <v>110500</v>
      </c>
      <c r="G18" s="15">
        <f t="shared" si="543"/>
        <v>110500</v>
      </c>
      <c r="H18" s="15">
        <f t="shared" si="543"/>
        <v>110500</v>
      </c>
      <c r="I18" s="15">
        <f t="shared" si="543"/>
        <v>110500</v>
      </c>
      <c r="J18" s="15">
        <f t="shared" si="543"/>
        <v>110500</v>
      </c>
      <c r="K18" s="15">
        <f t="shared" si="543"/>
        <v>110500</v>
      </c>
      <c r="L18" s="15">
        <f t="shared" si="543"/>
        <v>110500</v>
      </c>
      <c r="M18" s="15">
        <f t="shared" si="543"/>
        <v>110500</v>
      </c>
      <c r="N18" s="15">
        <f t="shared" si="543"/>
        <v>110500</v>
      </c>
      <c r="O18" s="15">
        <f t="shared" si="543"/>
        <v>110500</v>
      </c>
      <c r="P18" s="16">
        <f t="shared" si="543"/>
        <v>110500</v>
      </c>
      <c r="Q18" s="14">
        <f t="shared" si="543"/>
        <v>110500</v>
      </c>
      <c r="R18" s="15">
        <f t="shared" si="543"/>
        <v>110500</v>
      </c>
      <c r="S18" s="15">
        <f t="shared" si="543"/>
        <v>110500</v>
      </c>
      <c r="T18" s="15">
        <f t="shared" si="543"/>
        <v>110500</v>
      </c>
      <c r="U18" s="15">
        <f t="shared" si="543"/>
        <v>110500</v>
      </c>
      <c r="V18" s="15">
        <f t="shared" si="543"/>
        <v>110500</v>
      </c>
      <c r="W18" s="15">
        <f t="shared" si="543"/>
        <v>110500</v>
      </c>
      <c r="X18" s="15">
        <f t="shared" si="543"/>
        <v>110500</v>
      </c>
      <c r="Y18" s="15">
        <f t="shared" si="543"/>
        <v>110500</v>
      </c>
      <c r="Z18" s="15">
        <f t="shared" si="543"/>
        <v>110500</v>
      </c>
      <c r="AA18" s="15">
        <f t="shared" si="543"/>
        <v>110500</v>
      </c>
      <c r="AB18" s="16">
        <f t="shared" si="543"/>
        <v>110500</v>
      </c>
      <c r="AC18" s="14">
        <f t="shared" si="543"/>
        <v>110500</v>
      </c>
      <c r="AD18" s="15">
        <f t="shared" si="543"/>
        <v>110500</v>
      </c>
      <c r="AE18" s="15">
        <f t="shared" si="543"/>
        <v>110500</v>
      </c>
      <c r="AF18" s="15">
        <f t="shared" si="543"/>
        <v>110500</v>
      </c>
      <c r="AG18" s="15">
        <f t="shared" si="543"/>
        <v>110500</v>
      </c>
      <c r="AH18" s="15">
        <f t="shared" si="543"/>
        <v>110500</v>
      </c>
      <c r="AI18" s="15">
        <f t="shared" si="543"/>
        <v>110500</v>
      </c>
      <c r="AJ18" s="15">
        <f t="shared" si="543"/>
        <v>110500</v>
      </c>
      <c r="AK18" s="15">
        <f t="shared" si="543"/>
        <v>110500</v>
      </c>
      <c r="AL18" s="15">
        <f t="shared" si="543"/>
        <v>110500</v>
      </c>
      <c r="AM18" s="15">
        <f t="shared" si="543"/>
        <v>110500</v>
      </c>
      <c r="AN18" s="16">
        <f t="shared" si="543"/>
        <v>110500</v>
      </c>
      <c r="AO18" s="14">
        <f t="shared" si="543"/>
        <v>110500</v>
      </c>
      <c r="AP18" s="15">
        <f t="shared" si="543"/>
        <v>110500</v>
      </c>
      <c r="AQ18" s="15">
        <f t="shared" si="543"/>
        <v>110500</v>
      </c>
      <c r="AR18" s="15">
        <f t="shared" si="543"/>
        <v>110500</v>
      </c>
      <c r="AS18" s="15">
        <f t="shared" si="543"/>
        <v>110500</v>
      </c>
      <c r="AT18" s="15">
        <f t="shared" si="543"/>
        <v>110500</v>
      </c>
      <c r="AU18" s="15">
        <f t="shared" si="543"/>
        <v>110500</v>
      </c>
      <c r="AV18" s="15">
        <f t="shared" si="543"/>
        <v>110500</v>
      </c>
      <c r="AW18" s="15">
        <f t="shared" si="543"/>
        <v>110500</v>
      </c>
      <c r="AX18" s="15">
        <f t="shared" si="543"/>
        <v>110500</v>
      </c>
      <c r="AY18" s="15">
        <f t="shared" si="543"/>
        <v>110500</v>
      </c>
      <c r="AZ18" s="16">
        <f t="shared" si="543"/>
        <v>110500</v>
      </c>
      <c r="BA18" s="14">
        <f t="shared" si="543"/>
        <v>110500</v>
      </c>
      <c r="BB18" s="15">
        <f t="shared" si="543"/>
        <v>110500</v>
      </c>
      <c r="BC18" s="15">
        <f t="shared" si="543"/>
        <v>110500</v>
      </c>
      <c r="BD18" s="15">
        <f t="shared" si="543"/>
        <v>110500</v>
      </c>
      <c r="BE18" s="15">
        <f t="shared" si="543"/>
        <v>110500</v>
      </c>
      <c r="BF18" s="15">
        <f t="shared" si="543"/>
        <v>110500</v>
      </c>
      <c r="BG18" s="15">
        <f t="shared" si="543"/>
        <v>110500</v>
      </c>
      <c r="BH18" s="15">
        <f t="shared" si="543"/>
        <v>110500</v>
      </c>
      <c r="BI18" s="15">
        <f t="shared" si="543"/>
        <v>110500</v>
      </c>
      <c r="BJ18" s="15">
        <f t="shared" si="543"/>
        <v>110500</v>
      </c>
      <c r="BK18" s="15">
        <f t="shared" si="543"/>
        <v>110500</v>
      </c>
      <c r="BL18" s="16">
        <f t="shared" si="543"/>
        <v>110500</v>
      </c>
      <c r="BM18" s="14">
        <f t="shared" si="543"/>
        <v>110500</v>
      </c>
      <c r="BN18" s="15">
        <f t="shared" si="543"/>
        <v>110500</v>
      </c>
      <c r="BO18" s="15">
        <f t="shared" si="543"/>
        <v>110500</v>
      </c>
      <c r="BP18" s="15">
        <f t="shared" si="543"/>
        <v>110500</v>
      </c>
      <c r="BQ18" s="15">
        <f t="shared" si="543"/>
        <v>110500</v>
      </c>
      <c r="BR18" s="15">
        <f t="shared" ref="BR18:CV18" si="544">1326000/12</f>
        <v>110500</v>
      </c>
      <c r="BS18" s="15">
        <f t="shared" si="544"/>
        <v>110500</v>
      </c>
      <c r="BT18" s="15">
        <f t="shared" si="544"/>
        <v>110500</v>
      </c>
      <c r="BU18" s="15">
        <f t="shared" si="544"/>
        <v>110500</v>
      </c>
      <c r="BV18" s="15">
        <f t="shared" si="544"/>
        <v>110500</v>
      </c>
      <c r="BW18" s="15">
        <f t="shared" si="544"/>
        <v>110500</v>
      </c>
      <c r="BX18" s="16">
        <f t="shared" si="544"/>
        <v>110500</v>
      </c>
      <c r="BY18" s="14">
        <f t="shared" si="544"/>
        <v>110500</v>
      </c>
      <c r="BZ18" s="15">
        <f t="shared" si="544"/>
        <v>110500</v>
      </c>
      <c r="CA18" s="15">
        <f t="shared" si="544"/>
        <v>110500</v>
      </c>
      <c r="CB18" s="15">
        <f t="shared" si="544"/>
        <v>110500</v>
      </c>
      <c r="CC18" s="15">
        <f t="shared" si="544"/>
        <v>110500</v>
      </c>
      <c r="CD18" s="15">
        <f t="shared" si="544"/>
        <v>110500</v>
      </c>
      <c r="CE18" s="15">
        <f t="shared" si="544"/>
        <v>110500</v>
      </c>
      <c r="CF18" s="15">
        <f t="shared" si="544"/>
        <v>110500</v>
      </c>
      <c r="CG18" s="15">
        <f t="shared" si="544"/>
        <v>110500</v>
      </c>
      <c r="CH18" s="15">
        <f t="shared" si="544"/>
        <v>110500</v>
      </c>
      <c r="CI18" s="15">
        <f t="shared" si="544"/>
        <v>110500</v>
      </c>
      <c r="CJ18" s="16">
        <f t="shared" si="544"/>
        <v>110500</v>
      </c>
      <c r="CK18" s="14">
        <f t="shared" si="544"/>
        <v>110500</v>
      </c>
      <c r="CL18" s="15">
        <f t="shared" si="544"/>
        <v>110500</v>
      </c>
      <c r="CM18" s="15">
        <f t="shared" si="544"/>
        <v>110500</v>
      </c>
      <c r="CN18" s="15">
        <f t="shared" si="544"/>
        <v>110500</v>
      </c>
      <c r="CO18" s="15">
        <f t="shared" si="544"/>
        <v>110500</v>
      </c>
      <c r="CP18" s="15">
        <f t="shared" si="544"/>
        <v>110500</v>
      </c>
      <c r="CQ18" s="15">
        <f t="shared" si="544"/>
        <v>110500</v>
      </c>
      <c r="CR18" s="15">
        <f t="shared" si="544"/>
        <v>110500</v>
      </c>
      <c r="CS18" s="15">
        <f t="shared" si="544"/>
        <v>110500</v>
      </c>
      <c r="CT18" s="15">
        <f t="shared" si="544"/>
        <v>110500</v>
      </c>
      <c r="CU18" s="15">
        <f t="shared" si="544"/>
        <v>110500</v>
      </c>
      <c r="CV18" s="16">
        <f t="shared" si="544"/>
        <v>110500</v>
      </c>
      <c r="CW18" s="16">
        <f>1326000</f>
        <v>1326000</v>
      </c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</row>
    <row r="19" spans="2:123" ht="15" x14ac:dyDescent="0.25">
      <c r="B19" s="29"/>
      <c r="C19" s="9" t="s">
        <v>3</v>
      </c>
      <c r="D19" s="14"/>
      <c r="E19" s="14">
        <f>(628568+13395.88)/12</f>
        <v>53496.99</v>
      </c>
      <c r="F19" s="15">
        <f t="shared" ref="F19:O19" si="545">(628568+13395.88)/12</f>
        <v>53496.99</v>
      </c>
      <c r="G19" s="15">
        <f t="shared" si="545"/>
        <v>53496.99</v>
      </c>
      <c r="H19" s="15">
        <f t="shared" si="545"/>
        <v>53496.99</v>
      </c>
      <c r="I19" s="15">
        <f t="shared" si="545"/>
        <v>53496.99</v>
      </c>
      <c r="J19" s="15">
        <f t="shared" si="545"/>
        <v>53496.99</v>
      </c>
      <c r="K19" s="15">
        <f t="shared" si="545"/>
        <v>53496.99</v>
      </c>
      <c r="L19" s="15">
        <f t="shared" si="545"/>
        <v>53496.99</v>
      </c>
      <c r="M19" s="15">
        <f t="shared" si="545"/>
        <v>53496.99</v>
      </c>
      <c r="N19" s="15">
        <f t="shared" si="545"/>
        <v>53496.99</v>
      </c>
      <c r="O19" s="15">
        <f t="shared" si="545"/>
        <v>53496.99</v>
      </c>
      <c r="P19" s="16">
        <f>(628568+13395.88)/12+(832871.77-628568-13395.88)</f>
        <v>244404.88</v>
      </c>
      <c r="Q19" s="14">
        <f>731786/12</f>
        <v>60982.166666666664</v>
      </c>
      <c r="R19" s="15">
        <f t="shared" ref="R19:AA19" si="546">731786/12</f>
        <v>60982.166666666664</v>
      </c>
      <c r="S19" s="15">
        <f t="shared" si="546"/>
        <v>60982.166666666664</v>
      </c>
      <c r="T19" s="15">
        <f t="shared" si="546"/>
        <v>60982.166666666664</v>
      </c>
      <c r="U19" s="15">
        <f t="shared" si="546"/>
        <v>60982.166666666664</v>
      </c>
      <c r="V19" s="15">
        <f t="shared" si="546"/>
        <v>60982.166666666664</v>
      </c>
      <c r="W19" s="15">
        <f t="shared" si="546"/>
        <v>60982.166666666664</v>
      </c>
      <c r="X19" s="15">
        <f t="shared" si="546"/>
        <v>60982.166666666664</v>
      </c>
      <c r="Y19" s="15">
        <f t="shared" si="546"/>
        <v>60982.166666666664</v>
      </c>
      <c r="Z19" s="15">
        <f t="shared" si="546"/>
        <v>60982.166666666664</v>
      </c>
      <c r="AA19" s="15">
        <f t="shared" si="546"/>
        <v>60982.166666666664</v>
      </c>
      <c r="AB19" s="16">
        <f>731786/12+(912059.18-731786)</f>
        <v>241255.34666666671</v>
      </c>
      <c r="AC19" s="14">
        <f>996221/12</f>
        <v>83018.416666666672</v>
      </c>
      <c r="AD19" s="15">
        <f t="shared" ref="AD19:AM19" si="547">996221/12</f>
        <v>83018.416666666672</v>
      </c>
      <c r="AE19" s="15">
        <f t="shared" si="547"/>
        <v>83018.416666666672</v>
      </c>
      <c r="AF19" s="15">
        <f t="shared" si="547"/>
        <v>83018.416666666672</v>
      </c>
      <c r="AG19" s="15">
        <f t="shared" si="547"/>
        <v>83018.416666666672</v>
      </c>
      <c r="AH19" s="15">
        <f t="shared" si="547"/>
        <v>83018.416666666672</v>
      </c>
      <c r="AI19" s="15">
        <f t="shared" si="547"/>
        <v>83018.416666666672</v>
      </c>
      <c r="AJ19" s="15">
        <f t="shared" si="547"/>
        <v>83018.416666666672</v>
      </c>
      <c r="AK19" s="15">
        <f t="shared" si="547"/>
        <v>83018.416666666672</v>
      </c>
      <c r="AL19" s="15">
        <f t="shared" si="547"/>
        <v>83018.416666666672</v>
      </c>
      <c r="AM19" s="15">
        <f t="shared" si="547"/>
        <v>83018.416666666672</v>
      </c>
      <c r="AN19" s="16">
        <f>996221/12+(943049.806-996221)</f>
        <v>29847.222666666654</v>
      </c>
      <c r="AO19" s="14">
        <f>1087208/12</f>
        <v>90600.666666666672</v>
      </c>
      <c r="AP19" s="15">
        <f t="shared" ref="AP19:AY19" si="548">1087208/12</f>
        <v>90600.666666666672</v>
      </c>
      <c r="AQ19" s="15">
        <f t="shared" si="548"/>
        <v>90600.666666666672</v>
      </c>
      <c r="AR19" s="15">
        <f t="shared" si="548"/>
        <v>90600.666666666672</v>
      </c>
      <c r="AS19" s="15">
        <f t="shared" si="548"/>
        <v>90600.666666666672</v>
      </c>
      <c r="AT19" s="15">
        <f t="shared" si="548"/>
        <v>90600.666666666672</v>
      </c>
      <c r="AU19" s="15">
        <f t="shared" si="548"/>
        <v>90600.666666666672</v>
      </c>
      <c r="AV19" s="15">
        <f t="shared" si="548"/>
        <v>90600.666666666672</v>
      </c>
      <c r="AW19" s="15">
        <f t="shared" si="548"/>
        <v>90600.666666666672</v>
      </c>
      <c r="AX19" s="15">
        <f t="shared" si="548"/>
        <v>90600.666666666672</v>
      </c>
      <c r="AY19" s="15">
        <f t="shared" si="548"/>
        <v>90600.666666666672</v>
      </c>
      <c r="AZ19" s="16">
        <f>1087208/12+(924001.52-1087208)</f>
        <v>-72605.81333333331</v>
      </c>
      <c r="BA19" s="14">
        <f>1176555/12</f>
        <v>98046.25</v>
      </c>
      <c r="BB19" s="15">
        <f t="shared" ref="BB19:BK19" si="549">1176555/12</f>
        <v>98046.25</v>
      </c>
      <c r="BC19" s="15">
        <f t="shared" si="549"/>
        <v>98046.25</v>
      </c>
      <c r="BD19" s="15">
        <f t="shared" si="549"/>
        <v>98046.25</v>
      </c>
      <c r="BE19" s="15">
        <f t="shared" si="549"/>
        <v>98046.25</v>
      </c>
      <c r="BF19" s="15">
        <f t="shared" si="549"/>
        <v>98046.25</v>
      </c>
      <c r="BG19" s="15">
        <f t="shared" si="549"/>
        <v>98046.25</v>
      </c>
      <c r="BH19" s="15">
        <f t="shared" si="549"/>
        <v>98046.25</v>
      </c>
      <c r="BI19" s="15">
        <f t="shared" si="549"/>
        <v>98046.25</v>
      </c>
      <c r="BJ19" s="15">
        <f t="shared" si="549"/>
        <v>98046.25</v>
      </c>
      <c r="BK19" s="15">
        <f t="shared" si="549"/>
        <v>98046.25</v>
      </c>
      <c r="BL19" s="16">
        <f>1176555/12+(996727.68-1176555)</f>
        <v>-81781.069999999949</v>
      </c>
      <c r="BM19" s="14">
        <f>1238537/12</f>
        <v>103211.41666666667</v>
      </c>
      <c r="BN19" s="15">
        <f t="shared" ref="BN19:BW19" si="550">1238537/12</f>
        <v>103211.41666666667</v>
      </c>
      <c r="BO19" s="15">
        <f t="shared" si="550"/>
        <v>103211.41666666667</v>
      </c>
      <c r="BP19" s="15">
        <f t="shared" si="550"/>
        <v>103211.41666666667</v>
      </c>
      <c r="BQ19" s="15">
        <f t="shared" si="550"/>
        <v>103211.41666666667</v>
      </c>
      <c r="BR19" s="15">
        <f t="shared" si="550"/>
        <v>103211.41666666667</v>
      </c>
      <c r="BS19" s="15">
        <f t="shared" si="550"/>
        <v>103211.41666666667</v>
      </c>
      <c r="BT19" s="15">
        <f t="shared" si="550"/>
        <v>103211.41666666667</v>
      </c>
      <c r="BU19" s="15">
        <f t="shared" si="550"/>
        <v>103211.41666666667</v>
      </c>
      <c r="BV19" s="15">
        <f t="shared" si="550"/>
        <v>103211.41666666667</v>
      </c>
      <c r="BW19" s="15">
        <f t="shared" si="550"/>
        <v>103211.41666666667</v>
      </c>
      <c r="BX19" s="16">
        <f>1238537/12+(1029845.478-1238537)</f>
        <v>-105480.10533333333</v>
      </c>
      <c r="BY19" s="14">
        <f>1295562/12</f>
        <v>107963.5</v>
      </c>
      <c r="BZ19" s="15">
        <f t="shared" ref="BZ19:CI19" si="551">1295562/12</f>
        <v>107963.5</v>
      </c>
      <c r="CA19" s="15">
        <f t="shared" si="551"/>
        <v>107963.5</v>
      </c>
      <c r="CB19" s="15">
        <f t="shared" si="551"/>
        <v>107963.5</v>
      </c>
      <c r="CC19" s="15">
        <f t="shared" si="551"/>
        <v>107963.5</v>
      </c>
      <c r="CD19" s="15">
        <f t="shared" si="551"/>
        <v>107963.5</v>
      </c>
      <c r="CE19" s="15">
        <f t="shared" si="551"/>
        <v>107963.5</v>
      </c>
      <c r="CF19" s="15">
        <f t="shared" si="551"/>
        <v>107963.5</v>
      </c>
      <c r="CG19" s="15">
        <f t="shared" si="551"/>
        <v>107963.5</v>
      </c>
      <c r="CH19" s="15">
        <f t="shared" si="551"/>
        <v>107963.5</v>
      </c>
      <c r="CI19" s="15">
        <f t="shared" si="551"/>
        <v>107963.5</v>
      </c>
      <c r="CJ19" s="16">
        <f>1295562/12+(1144841.802-1295562)</f>
        <v>-42756.698000000091</v>
      </c>
      <c r="CK19" s="14">
        <f>1313795/12</f>
        <v>109482.91666666667</v>
      </c>
      <c r="CL19" s="15">
        <f t="shared" ref="CL19:CU19" si="552">1313795/12</f>
        <v>109482.91666666667</v>
      </c>
      <c r="CM19" s="15">
        <f t="shared" si="552"/>
        <v>109482.91666666667</v>
      </c>
      <c r="CN19" s="15">
        <f t="shared" si="552"/>
        <v>109482.91666666667</v>
      </c>
      <c r="CO19" s="15">
        <f t="shared" si="552"/>
        <v>109482.91666666667</v>
      </c>
      <c r="CP19" s="15">
        <f t="shared" si="552"/>
        <v>109482.91666666667</v>
      </c>
      <c r="CQ19" s="15">
        <f t="shared" si="552"/>
        <v>109482.91666666667</v>
      </c>
      <c r="CR19" s="15">
        <f t="shared" si="552"/>
        <v>109482.91666666667</v>
      </c>
      <c r="CS19" s="15">
        <f t="shared" si="552"/>
        <v>109482.91666666667</v>
      </c>
      <c r="CT19" s="15">
        <f t="shared" si="552"/>
        <v>109482.91666666667</v>
      </c>
      <c r="CU19" s="15">
        <f t="shared" si="552"/>
        <v>109482.91666666667</v>
      </c>
      <c r="CV19" s="16">
        <f>1313795/12+(1083405.4-1313795)</f>
        <v>-120906.68333333342</v>
      </c>
      <c r="CW19" s="16">
        <f>SUM(BM19:CV19)/3</f>
        <v>1086030.8933333328</v>
      </c>
    </row>
    <row r="20" spans="2:123" ht="15" x14ac:dyDescent="0.25">
      <c r="B20" s="29"/>
      <c r="C20" s="9" t="s">
        <v>4</v>
      </c>
      <c r="D20" s="19"/>
      <c r="E20" s="19">
        <f>+E19-E18</f>
        <v>-57003.01</v>
      </c>
      <c r="F20" s="20">
        <f t="shared" ref="F20:P20" si="553">+F19-F18</f>
        <v>-57003.01</v>
      </c>
      <c r="G20" s="20">
        <f t="shared" si="553"/>
        <v>-57003.01</v>
      </c>
      <c r="H20" s="20">
        <f t="shared" si="553"/>
        <v>-57003.01</v>
      </c>
      <c r="I20" s="20">
        <f t="shared" si="553"/>
        <v>-57003.01</v>
      </c>
      <c r="J20" s="20">
        <f t="shared" si="553"/>
        <v>-57003.01</v>
      </c>
      <c r="K20" s="20">
        <f t="shared" si="553"/>
        <v>-57003.01</v>
      </c>
      <c r="L20" s="20">
        <f t="shared" si="553"/>
        <v>-57003.01</v>
      </c>
      <c r="M20" s="20">
        <f t="shared" si="553"/>
        <v>-57003.01</v>
      </c>
      <c r="N20" s="20">
        <f t="shared" si="553"/>
        <v>-57003.01</v>
      </c>
      <c r="O20" s="20">
        <f t="shared" si="553"/>
        <v>-57003.01</v>
      </c>
      <c r="P20" s="21">
        <f t="shared" si="553"/>
        <v>133904.88</v>
      </c>
      <c r="Q20" s="19">
        <f t="shared" ref="Q20:AB20" si="554">+Q19-Q18</f>
        <v>-49517.833333333336</v>
      </c>
      <c r="R20" s="20">
        <f t="shared" si="554"/>
        <v>-49517.833333333336</v>
      </c>
      <c r="S20" s="20">
        <f t="shared" si="554"/>
        <v>-49517.833333333336</v>
      </c>
      <c r="T20" s="20">
        <f t="shared" si="554"/>
        <v>-49517.833333333336</v>
      </c>
      <c r="U20" s="20">
        <f t="shared" si="554"/>
        <v>-49517.833333333336</v>
      </c>
      <c r="V20" s="20">
        <f t="shared" si="554"/>
        <v>-49517.833333333336</v>
      </c>
      <c r="W20" s="20">
        <f t="shared" si="554"/>
        <v>-49517.833333333336</v>
      </c>
      <c r="X20" s="20">
        <f t="shared" si="554"/>
        <v>-49517.833333333336</v>
      </c>
      <c r="Y20" s="20">
        <f t="shared" si="554"/>
        <v>-49517.833333333336</v>
      </c>
      <c r="Z20" s="20">
        <f t="shared" si="554"/>
        <v>-49517.833333333336</v>
      </c>
      <c r="AA20" s="20">
        <f t="shared" si="554"/>
        <v>-49517.833333333336</v>
      </c>
      <c r="AB20" s="21">
        <f t="shared" si="554"/>
        <v>130755.34666666671</v>
      </c>
      <c r="AC20" s="19">
        <f t="shared" ref="AC20:AZ20" si="555">+AC19-AC18</f>
        <v>-27481.583333333328</v>
      </c>
      <c r="AD20" s="20">
        <f t="shared" si="555"/>
        <v>-27481.583333333328</v>
      </c>
      <c r="AE20" s="20">
        <f t="shared" si="555"/>
        <v>-27481.583333333328</v>
      </c>
      <c r="AF20" s="20">
        <f t="shared" si="555"/>
        <v>-27481.583333333328</v>
      </c>
      <c r="AG20" s="20">
        <f t="shared" si="555"/>
        <v>-27481.583333333328</v>
      </c>
      <c r="AH20" s="20">
        <f t="shared" si="555"/>
        <v>-27481.583333333328</v>
      </c>
      <c r="AI20" s="20">
        <f t="shared" si="555"/>
        <v>-27481.583333333328</v>
      </c>
      <c r="AJ20" s="20">
        <f t="shared" si="555"/>
        <v>-27481.583333333328</v>
      </c>
      <c r="AK20" s="20">
        <f t="shared" si="555"/>
        <v>-27481.583333333328</v>
      </c>
      <c r="AL20" s="20">
        <f t="shared" si="555"/>
        <v>-27481.583333333328</v>
      </c>
      <c r="AM20" s="20">
        <f t="shared" si="555"/>
        <v>-27481.583333333328</v>
      </c>
      <c r="AN20" s="21">
        <f t="shared" si="555"/>
        <v>-80652.777333333346</v>
      </c>
      <c r="AO20" s="19">
        <f t="shared" si="555"/>
        <v>-19899.333333333328</v>
      </c>
      <c r="AP20" s="20">
        <f t="shared" si="555"/>
        <v>-19899.333333333328</v>
      </c>
      <c r="AQ20" s="20">
        <f t="shared" si="555"/>
        <v>-19899.333333333328</v>
      </c>
      <c r="AR20" s="20">
        <f t="shared" si="555"/>
        <v>-19899.333333333328</v>
      </c>
      <c r="AS20" s="20">
        <f t="shared" si="555"/>
        <v>-19899.333333333328</v>
      </c>
      <c r="AT20" s="20">
        <f t="shared" si="555"/>
        <v>-19899.333333333328</v>
      </c>
      <c r="AU20" s="20">
        <f t="shared" si="555"/>
        <v>-19899.333333333328</v>
      </c>
      <c r="AV20" s="20">
        <f t="shared" si="555"/>
        <v>-19899.333333333328</v>
      </c>
      <c r="AW20" s="20">
        <f t="shared" si="555"/>
        <v>-19899.333333333328</v>
      </c>
      <c r="AX20" s="20">
        <f t="shared" si="555"/>
        <v>-19899.333333333328</v>
      </c>
      <c r="AY20" s="20">
        <f t="shared" si="555"/>
        <v>-19899.333333333328</v>
      </c>
      <c r="AZ20" s="21">
        <f t="shared" si="555"/>
        <v>-183105.8133333333</v>
      </c>
      <c r="BA20" s="19">
        <f t="shared" ref="BA20" si="556">+BA19-BA18</f>
        <v>-12453.75</v>
      </c>
      <c r="BB20" s="20">
        <f t="shared" ref="BB20" si="557">+BB19-BB18</f>
        <v>-12453.75</v>
      </c>
      <c r="BC20" s="20">
        <f t="shared" ref="BC20" si="558">+BC19-BC18</f>
        <v>-12453.75</v>
      </c>
      <c r="BD20" s="20">
        <f t="shared" ref="BD20" si="559">+BD19-BD18</f>
        <v>-12453.75</v>
      </c>
      <c r="BE20" s="20">
        <f t="shared" ref="BE20" si="560">+BE19-BE18</f>
        <v>-12453.75</v>
      </c>
      <c r="BF20" s="20">
        <f t="shared" ref="BF20" si="561">+BF19-BF18</f>
        <v>-12453.75</v>
      </c>
      <c r="BG20" s="20">
        <f t="shared" ref="BG20" si="562">+BG19-BG18</f>
        <v>-12453.75</v>
      </c>
      <c r="BH20" s="20">
        <f t="shared" ref="BH20" si="563">+BH19-BH18</f>
        <v>-12453.75</v>
      </c>
      <c r="BI20" s="20">
        <f t="shared" ref="BI20" si="564">+BI19-BI18</f>
        <v>-12453.75</v>
      </c>
      <c r="BJ20" s="20">
        <f t="shared" ref="BJ20" si="565">+BJ19-BJ18</f>
        <v>-12453.75</v>
      </c>
      <c r="BK20" s="20">
        <f t="shared" ref="BK20" si="566">+BK19-BK18</f>
        <v>-12453.75</v>
      </c>
      <c r="BL20" s="21">
        <f t="shared" ref="BL20" si="567">+BL19-BL18</f>
        <v>-192281.06999999995</v>
      </c>
      <c r="BM20" s="19">
        <f t="shared" ref="BM20" si="568">+BM19-BM18</f>
        <v>-7288.5833333333285</v>
      </c>
      <c r="BN20" s="20">
        <f t="shared" ref="BN20" si="569">+BN19-BN18</f>
        <v>-7288.5833333333285</v>
      </c>
      <c r="BO20" s="20">
        <f t="shared" ref="BO20" si="570">+BO19-BO18</f>
        <v>-7288.5833333333285</v>
      </c>
      <c r="BP20" s="20">
        <f t="shared" ref="BP20" si="571">+BP19-BP18</f>
        <v>-7288.5833333333285</v>
      </c>
      <c r="BQ20" s="20">
        <f t="shared" ref="BQ20" si="572">+BQ19-BQ18</f>
        <v>-7288.5833333333285</v>
      </c>
      <c r="BR20" s="20">
        <f t="shared" ref="BR20" si="573">+BR19-BR18</f>
        <v>-7288.5833333333285</v>
      </c>
      <c r="BS20" s="20">
        <f t="shared" ref="BS20" si="574">+BS19-BS18</f>
        <v>-7288.5833333333285</v>
      </c>
      <c r="BT20" s="20">
        <f t="shared" ref="BT20" si="575">+BT19-BT18</f>
        <v>-7288.5833333333285</v>
      </c>
      <c r="BU20" s="20">
        <f t="shared" ref="BU20" si="576">+BU19-BU18</f>
        <v>-7288.5833333333285</v>
      </c>
      <c r="BV20" s="20">
        <f t="shared" ref="BV20" si="577">+BV19-BV18</f>
        <v>-7288.5833333333285</v>
      </c>
      <c r="BW20" s="20">
        <f t="shared" ref="BW20" si="578">+BW19-BW18</f>
        <v>-7288.5833333333285</v>
      </c>
      <c r="BX20" s="21">
        <f t="shared" ref="BX20" si="579">+BX19-BX18</f>
        <v>-215980.10533333331</v>
      </c>
      <c r="BY20" s="19">
        <f t="shared" ref="BY20" si="580">+BY19-BY18</f>
        <v>-2536.5</v>
      </c>
      <c r="BZ20" s="20">
        <f t="shared" ref="BZ20" si="581">+BZ19-BZ18</f>
        <v>-2536.5</v>
      </c>
      <c r="CA20" s="20">
        <f t="shared" ref="CA20" si="582">+CA19-CA18</f>
        <v>-2536.5</v>
      </c>
      <c r="CB20" s="20">
        <f t="shared" ref="CB20" si="583">+CB19-CB18</f>
        <v>-2536.5</v>
      </c>
      <c r="CC20" s="20">
        <f t="shared" ref="CC20" si="584">+CC19-CC18</f>
        <v>-2536.5</v>
      </c>
      <c r="CD20" s="20">
        <f t="shared" ref="CD20" si="585">+CD19-CD18</f>
        <v>-2536.5</v>
      </c>
      <c r="CE20" s="20">
        <f t="shared" ref="CE20" si="586">+CE19-CE18</f>
        <v>-2536.5</v>
      </c>
      <c r="CF20" s="20">
        <f t="shared" ref="CF20" si="587">+CF19-CF18</f>
        <v>-2536.5</v>
      </c>
      <c r="CG20" s="20">
        <f t="shared" ref="CG20" si="588">+CG19-CG18</f>
        <v>-2536.5</v>
      </c>
      <c r="CH20" s="20">
        <f t="shared" ref="CH20" si="589">+CH19-CH18</f>
        <v>-2536.5</v>
      </c>
      <c r="CI20" s="20">
        <f t="shared" ref="CI20" si="590">+CI19-CI18</f>
        <v>-2536.5</v>
      </c>
      <c r="CJ20" s="21">
        <f t="shared" ref="CJ20:CW20" si="591">+CJ19-CJ18</f>
        <v>-153256.69800000009</v>
      </c>
      <c r="CK20" s="19">
        <f t="shared" si="591"/>
        <v>-1017.0833333333285</v>
      </c>
      <c r="CL20" s="20">
        <f t="shared" si="591"/>
        <v>-1017.0833333333285</v>
      </c>
      <c r="CM20" s="20">
        <f t="shared" si="591"/>
        <v>-1017.0833333333285</v>
      </c>
      <c r="CN20" s="20">
        <f t="shared" si="591"/>
        <v>-1017.0833333333285</v>
      </c>
      <c r="CO20" s="20">
        <f t="shared" si="591"/>
        <v>-1017.0833333333285</v>
      </c>
      <c r="CP20" s="20">
        <f t="shared" si="591"/>
        <v>-1017.0833333333285</v>
      </c>
      <c r="CQ20" s="20">
        <f t="shared" si="591"/>
        <v>-1017.0833333333285</v>
      </c>
      <c r="CR20" s="20">
        <f t="shared" si="591"/>
        <v>-1017.0833333333285</v>
      </c>
      <c r="CS20" s="20">
        <f t="shared" si="591"/>
        <v>-1017.0833333333285</v>
      </c>
      <c r="CT20" s="20">
        <f t="shared" si="591"/>
        <v>-1017.0833333333285</v>
      </c>
      <c r="CU20" s="20">
        <f t="shared" si="591"/>
        <v>-1017.0833333333285</v>
      </c>
      <c r="CV20" s="21">
        <f t="shared" ref="CV20" si="592">+CV19-CV18</f>
        <v>-231406.68333333341</v>
      </c>
      <c r="CW20" s="21">
        <f t="shared" si="591"/>
        <v>-239969.10666666715</v>
      </c>
    </row>
    <row r="21" spans="2:123" ht="15" x14ac:dyDescent="0.25">
      <c r="B21" s="29"/>
      <c r="C21" s="9" t="s">
        <v>5</v>
      </c>
      <c r="D21" s="19">
        <v>0</v>
      </c>
      <c r="E21" s="19">
        <f>+D21+E20</f>
        <v>-57003.01</v>
      </c>
      <c r="F21" s="20">
        <f t="shared" ref="F21" si="593">+E21+F20</f>
        <v>-114006.02</v>
      </c>
      <c r="G21" s="20">
        <f t="shared" ref="G21" si="594">+F21+G20</f>
        <v>-171009.03</v>
      </c>
      <c r="H21" s="20">
        <f t="shared" ref="H21" si="595">+G21+H20</f>
        <v>-228012.04</v>
      </c>
      <c r="I21" s="20">
        <f t="shared" ref="I21" si="596">+H21+I20</f>
        <v>-285015.05</v>
      </c>
      <c r="J21" s="20">
        <f t="shared" ref="J21" si="597">+I21+J20</f>
        <v>-342018.06</v>
      </c>
      <c r="K21" s="20">
        <f t="shared" ref="K21" si="598">+J21+K20</f>
        <v>-399021.07</v>
      </c>
      <c r="L21" s="20">
        <f t="shared" ref="L21" si="599">+K21+L20</f>
        <v>-456024.08</v>
      </c>
      <c r="M21" s="20">
        <f t="shared" ref="M21" si="600">+L21+M20</f>
        <v>-513027.09</v>
      </c>
      <c r="N21" s="20">
        <f t="shared" ref="N21" si="601">+M21+N20</f>
        <v>-570030.1</v>
      </c>
      <c r="O21" s="20">
        <f t="shared" ref="O21" si="602">+N21+O20</f>
        <v>-627033.11</v>
      </c>
      <c r="P21" s="21">
        <f t="shared" ref="P21" si="603">+O21+P20</f>
        <v>-493128.23</v>
      </c>
      <c r="Q21" s="19">
        <f t="shared" ref="Q21" si="604">+P21+Q20</f>
        <v>-542646.06333333335</v>
      </c>
      <c r="R21" s="20">
        <f t="shared" ref="R21" si="605">+Q21+R20</f>
        <v>-592163.89666666673</v>
      </c>
      <c r="S21" s="20">
        <f t="shared" ref="S21" si="606">+R21+S20</f>
        <v>-641681.7300000001</v>
      </c>
      <c r="T21" s="20">
        <f t="shared" ref="T21" si="607">+S21+T20</f>
        <v>-691199.56333333347</v>
      </c>
      <c r="U21" s="20">
        <f t="shared" ref="U21" si="608">+T21+U20</f>
        <v>-740717.39666666684</v>
      </c>
      <c r="V21" s="20">
        <f t="shared" ref="V21" si="609">+U21+V20</f>
        <v>-790235.23000000021</v>
      </c>
      <c r="W21" s="20">
        <f t="shared" ref="W21" si="610">+V21+W20</f>
        <v>-839753.06333333359</v>
      </c>
      <c r="X21" s="20">
        <f t="shared" ref="X21" si="611">+W21+X20</f>
        <v>-889270.89666666696</v>
      </c>
      <c r="Y21" s="20">
        <f t="shared" ref="Y21" si="612">+X21+Y20</f>
        <v>-938788.73000000033</v>
      </c>
      <c r="Z21" s="20">
        <f t="shared" ref="Z21" si="613">+Y21+Z20</f>
        <v>-988306.5633333337</v>
      </c>
      <c r="AA21" s="20">
        <f t="shared" ref="AA21" si="614">+Z21+AA20</f>
        <v>-1037824.3966666671</v>
      </c>
      <c r="AB21" s="21">
        <f t="shared" ref="AB21" si="615">+AA21+AB20</f>
        <v>-907069.0500000004</v>
      </c>
      <c r="AC21" s="19">
        <f t="shared" ref="AC21" si="616">+AB21+AC20</f>
        <v>-934550.63333333377</v>
      </c>
      <c r="AD21" s="20">
        <f t="shared" ref="AD21" si="617">+AC21+AD20</f>
        <v>-962032.21666666714</v>
      </c>
      <c r="AE21" s="20">
        <f t="shared" ref="AE21" si="618">+AD21+AE20</f>
        <v>-989513.80000000051</v>
      </c>
      <c r="AF21" s="20">
        <f t="shared" ref="AF21" si="619">+AE21+AF20</f>
        <v>-1016995.3833333339</v>
      </c>
      <c r="AG21" s="20">
        <f t="shared" ref="AG21" si="620">+AF21+AG20</f>
        <v>-1044476.9666666673</v>
      </c>
      <c r="AH21" s="20">
        <f t="shared" ref="AH21" si="621">+AG21+AH20</f>
        <v>-1071958.5500000005</v>
      </c>
      <c r="AI21" s="20">
        <f t="shared" ref="AI21" si="622">+AH21+AI20</f>
        <v>-1099440.1333333338</v>
      </c>
      <c r="AJ21" s="20">
        <f t="shared" ref="AJ21" si="623">+AI21+AJ20</f>
        <v>-1126921.716666667</v>
      </c>
      <c r="AK21" s="20">
        <f t="shared" ref="AK21" si="624">+AJ21+AK20</f>
        <v>-1154403.3000000003</v>
      </c>
      <c r="AL21" s="20">
        <f t="shared" ref="AL21" si="625">+AK21+AL20</f>
        <v>-1181884.8833333335</v>
      </c>
      <c r="AM21" s="20">
        <f t="shared" ref="AM21" si="626">+AL21+AM20</f>
        <v>-1209366.4666666668</v>
      </c>
      <c r="AN21" s="21">
        <f t="shared" ref="AN21" si="627">+AM21+AN20</f>
        <v>-1290019.2440000002</v>
      </c>
      <c r="AO21" s="19">
        <f t="shared" ref="AO21" si="628">+AN21+AO20</f>
        <v>-1309918.5773333334</v>
      </c>
      <c r="AP21" s="20">
        <f t="shared" ref="AP21" si="629">+AO21+AP20</f>
        <v>-1329817.9106666667</v>
      </c>
      <c r="AQ21" s="20">
        <f t="shared" ref="AQ21" si="630">+AP21+AQ20</f>
        <v>-1349717.2439999999</v>
      </c>
      <c r="AR21" s="20">
        <f t="shared" ref="AR21" si="631">+AQ21+AR20</f>
        <v>-1369616.5773333332</v>
      </c>
      <c r="AS21" s="20">
        <f t="shared" ref="AS21" si="632">+AR21+AS20</f>
        <v>-1389515.9106666665</v>
      </c>
      <c r="AT21" s="20">
        <f t="shared" ref="AT21" si="633">+AS21+AT20</f>
        <v>-1409415.2439999997</v>
      </c>
      <c r="AU21" s="20">
        <f t="shared" ref="AU21" si="634">+AT21+AU20</f>
        <v>-1429314.577333333</v>
      </c>
      <c r="AV21" s="20">
        <f t="shared" ref="AV21" si="635">+AU21+AV20</f>
        <v>-1449213.9106666662</v>
      </c>
      <c r="AW21" s="20">
        <f t="shared" ref="AW21" si="636">+AV21+AW20</f>
        <v>-1469113.2439999995</v>
      </c>
      <c r="AX21" s="20">
        <f t="shared" ref="AX21" si="637">+AW21+AX20</f>
        <v>-1489012.5773333327</v>
      </c>
      <c r="AY21" s="20">
        <f t="shared" ref="AY21" si="638">+AX21+AY20</f>
        <v>-1508911.910666666</v>
      </c>
      <c r="AZ21" s="21">
        <f t="shared" ref="AZ21" si="639">+AY21+AZ20</f>
        <v>-1692017.7239999992</v>
      </c>
      <c r="BA21" s="19">
        <f t="shared" ref="BA21" si="640">+AZ21+BA20</f>
        <v>-1704471.4739999992</v>
      </c>
      <c r="BB21" s="20">
        <f t="shared" ref="BB21" si="641">+BA21+BB20</f>
        <v>-1716925.2239999992</v>
      </c>
      <c r="BC21" s="20">
        <f t="shared" ref="BC21" si="642">+BB21+BC20</f>
        <v>-1729378.9739999992</v>
      </c>
      <c r="BD21" s="20">
        <f t="shared" ref="BD21" si="643">+BC21+BD20</f>
        <v>-1741832.7239999992</v>
      </c>
      <c r="BE21" s="20">
        <f t="shared" ref="BE21" si="644">+BD21+BE20</f>
        <v>-1754286.4739999992</v>
      </c>
      <c r="BF21" s="20">
        <f t="shared" ref="BF21" si="645">+BE21+BF20</f>
        <v>-1766740.2239999992</v>
      </c>
      <c r="BG21" s="20">
        <f t="shared" ref="BG21" si="646">+BF21+BG20</f>
        <v>-1779193.9739999992</v>
      </c>
      <c r="BH21" s="20">
        <f t="shared" ref="BH21" si="647">+BG21+BH20</f>
        <v>-1791647.7239999992</v>
      </c>
      <c r="BI21" s="20">
        <f t="shared" ref="BI21" si="648">+BH21+BI20</f>
        <v>-1804101.4739999992</v>
      </c>
      <c r="BJ21" s="20">
        <f t="shared" ref="BJ21" si="649">+BI21+BJ20</f>
        <v>-1816555.2239999992</v>
      </c>
      <c r="BK21" s="20">
        <f t="shared" ref="BK21" si="650">+BJ21+BK20</f>
        <v>-1829008.9739999992</v>
      </c>
      <c r="BL21" s="21">
        <f t="shared" ref="BL21" si="651">+BK21+BL20</f>
        <v>-2021290.0439999993</v>
      </c>
      <c r="BM21" s="19">
        <f t="shared" ref="BM21" si="652">+BL21+BM20</f>
        <v>-2028578.6273333326</v>
      </c>
      <c r="BN21" s="20">
        <f t="shared" ref="BN21" si="653">+BM21+BN20</f>
        <v>-2035867.2106666658</v>
      </c>
      <c r="BO21" s="20">
        <f t="shared" ref="BO21" si="654">+BN21+BO20</f>
        <v>-2043155.7939999991</v>
      </c>
      <c r="BP21" s="20">
        <f t="shared" ref="BP21" si="655">+BO21+BP20</f>
        <v>-2050444.3773333323</v>
      </c>
      <c r="BQ21" s="20">
        <f t="shared" ref="BQ21" si="656">+BP21+BQ20</f>
        <v>-2057732.9606666656</v>
      </c>
      <c r="BR21" s="20">
        <f t="shared" ref="BR21" si="657">+BQ21+BR20</f>
        <v>-2065021.5439999988</v>
      </c>
      <c r="BS21" s="20">
        <f t="shared" ref="BS21" si="658">+BR21+BS20</f>
        <v>-2072310.1273333321</v>
      </c>
      <c r="BT21" s="20">
        <f t="shared" ref="BT21" si="659">+BS21+BT20</f>
        <v>-2079598.7106666653</v>
      </c>
      <c r="BU21" s="20">
        <f t="shared" ref="BU21" si="660">+BT21+BU20</f>
        <v>-2086887.2939999986</v>
      </c>
      <c r="BV21" s="20">
        <f t="shared" ref="BV21" si="661">+BU21+BV20</f>
        <v>-2094175.8773333319</v>
      </c>
      <c r="BW21" s="20">
        <f t="shared" ref="BW21" si="662">+BV21+BW20</f>
        <v>-2101464.4606666653</v>
      </c>
      <c r="BX21" s="21">
        <f t="shared" ref="BX21" si="663">+BW21+BX20</f>
        <v>-2317444.5659999987</v>
      </c>
      <c r="BY21" s="19">
        <f t="shared" ref="BY21" si="664">+BX21+BY20</f>
        <v>-2319981.0659999987</v>
      </c>
      <c r="BZ21" s="20">
        <f t="shared" ref="BZ21" si="665">+BY21+BZ20</f>
        <v>-2322517.5659999987</v>
      </c>
      <c r="CA21" s="20">
        <f t="shared" ref="CA21" si="666">+BZ21+CA20</f>
        <v>-2325054.0659999987</v>
      </c>
      <c r="CB21" s="20">
        <f t="shared" ref="CB21" si="667">+CA21+CB20</f>
        <v>-2327590.5659999987</v>
      </c>
      <c r="CC21" s="20">
        <f t="shared" ref="CC21" si="668">+CB21+CC20</f>
        <v>-2330127.0659999987</v>
      </c>
      <c r="CD21" s="20">
        <f t="shared" ref="CD21" si="669">+CC21+CD20</f>
        <v>-2332663.5659999987</v>
      </c>
      <c r="CE21" s="20">
        <f t="shared" ref="CE21" si="670">+CD21+CE20</f>
        <v>-2335200.0659999987</v>
      </c>
      <c r="CF21" s="20">
        <f t="shared" ref="CF21" si="671">+CE21+CF20</f>
        <v>-2337736.5659999987</v>
      </c>
      <c r="CG21" s="20">
        <f t="shared" ref="CG21" si="672">+CF21+CG20</f>
        <v>-2340273.0659999987</v>
      </c>
      <c r="CH21" s="20">
        <f t="shared" ref="CH21" si="673">+CG21+CH20</f>
        <v>-2342809.5659999987</v>
      </c>
      <c r="CI21" s="20">
        <f t="shared" ref="CI21" si="674">+CH21+CI20</f>
        <v>-2345346.0659999987</v>
      </c>
      <c r="CJ21" s="21">
        <f t="shared" ref="CJ21" si="675">+CI21+CJ20</f>
        <v>-2498602.7639999986</v>
      </c>
      <c r="CK21" s="19">
        <f t="shared" ref="CK21" si="676">+CJ21+CK20</f>
        <v>-2499619.8473333321</v>
      </c>
      <c r="CL21" s="20">
        <f t="shared" ref="CL21" si="677">+CK21+CL20</f>
        <v>-2500636.9306666655</v>
      </c>
      <c r="CM21" s="20">
        <f t="shared" ref="CM21" si="678">+CL21+CM20</f>
        <v>-2501654.013999999</v>
      </c>
      <c r="CN21" s="20">
        <f t="shared" ref="CN21" si="679">+CM21+CN20</f>
        <v>-2502671.0973333325</v>
      </c>
      <c r="CO21" s="20">
        <f t="shared" ref="CO21" si="680">+CN21+CO20</f>
        <v>-2503688.180666666</v>
      </c>
      <c r="CP21" s="20">
        <f t="shared" ref="CP21" si="681">+CO21+CP20</f>
        <v>-2504705.2639999995</v>
      </c>
      <c r="CQ21" s="20">
        <f t="shared" ref="CQ21" si="682">+CP21+CQ20</f>
        <v>-2505722.347333333</v>
      </c>
      <c r="CR21" s="20">
        <f t="shared" ref="CR21" si="683">+CQ21+CR20</f>
        <v>-2506739.4306666665</v>
      </c>
      <c r="CS21" s="20">
        <f t="shared" ref="CS21" si="684">+CR21+CS20</f>
        <v>-2507756.514</v>
      </c>
      <c r="CT21" s="20">
        <f t="shared" ref="CT21" si="685">+CS21+CT20</f>
        <v>-2508773.5973333335</v>
      </c>
      <c r="CU21" s="20">
        <f t="shared" ref="CU21" si="686">+CT21+CU20</f>
        <v>-2509790.6806666669</v>
      </c>
      <c r="CV21" s="21">
        <f t="shared" ref="CV21" si="687">+CU21+CV20</f>
        <v>-2741197.3640000005</v>
      </c>
      <c r="CW21" s="21">
        <f>+CV21+CW20</f>
        <v>-2981166.4706666674</v>
      </c>
    </row>
    <row r="22" spans="2:123" ht="15" x14ac:dyDescent="0.25">
      <c r="B22" s="29"/>
      <c r="C22" s="9" t="s">
        <v>6</v>
      </c>
      <c r="D22" s="19"/>
      <c r="E22" s="19">
        <f>+D21*E$33/365*DAY(E5)</f>
        <v>0</v>
      </c>
      <c r="F22" s="20">
        <f t="shared" ref="F22:P22" si="688">+E21*F$33/365*DAY(F5)</f>
        <v>-130.74772595068495</v>
      </c>
      <c r="G22" s="20">
        <f t="shared" si="688"/>
        <v>-289.51282174794522</v>
      </c>
      <c r="H22" s="20">
        <f t="shared" si="688"/>
        <v>-470.86047986301372</v>
      </c>
      <c r="I22" s="20">
        <f t="shared" si="688"/>
        <v>-648.74110558904124</v>
      </c>
      <c r="J22" s="20">
        <f t="shared" si="688"/>
        <v>-784.76746643835622</v>
      </c>
      <c r="K22" s="20">
        <f t="shared" si="688"/>
        <v>-973.11165838356169</v>
      </c>
      <c r="L22" s="20">
        <f t="shared" si="688"/>
        <v>-1135.2969347808221</v>
      </c>
      <c r="M22" s="20">
        <f t="shared" si="688"/>
        <v>-1255.62794630137</v>
      </c>
      <c r="N22" s="20">
        <f t="shared" si="688"/>
        <v>-1459.6674875753426</v>
      </c>
      <c r="O22" s="20">
        <f t="shared" si="688"/>
        <v>-1569.5349328767124</v>
      </c>
      <c r="P22" s="21">
        <f t="shared" si="688"/>
        <v>-1784.0380403698632</v>
      </c>
      <c r="Q22" s="19">
        <f>+P21*Q$33/365*DAY(Q5)</f>
        <v>-1599.8971231945204</v>
      </c>
      <c r="R22" s="20">
        <f t="shared" ref="R22:AB22" si="689">+Q21*R$33/365*DAY(R5)</f>
        <v>-1590.1759707981735</v>
      </c>
      <c r="S22" s="20">
        <f t="shared" si="689"/>
        <v>-1921.2068121442924</v>
      </c>
      <c r="T22" s="20">
        <f t="shared" si="689"/>
        <v>-1787.9186833150686</v>
      </c>
      <c r="U22" s="20">
        <f t="shared" si="689"/>
        <v>-1990.0866331698633</v>
      </c>
      <c r="V22" s="20">
        <f t="shared" si="689"/>
        <v>-2063.861897013699</v>
      </c>
      <c r="W22" s="20">
        <f t="shared" si="689"/>
        <v>-1932.9370228602743</v>
      </c>
      <c r="X22" s="20">
        <f t="shared" si="689"/>
        <v>-2054.0589998465757</v>
      </c>
      <c r="Y22" s="20">
        <f t="shared" si="689"/>
        <v>-2105.0138485479456</v>
      </c>
      <c r="Z22" s="20">
        <f t="shared" si="689"/>
        <v>-2296.302953819179</v>
      </c>
      <c r="AA22" s="20">
        <f t="shared" si="689"/>
        <v>-2339.4434814246583</v>
      </c>
      <c r="AB22" s="21">
        <f t="shared" si="689"/>
        <v>-2538.5469077917819</v>
      </c>
      <c r="AC22" s="19">
        <f>+AB21*AC$33/12</f>
        <v>-2176.9657200000006</v>
      </c>
      <c r="AD22" s="20">
        <f t="shared" ref="AD22:CJ22" si="690">+AC21*AD$33/12</f>
        <v>-2242.9215200000012</v>
      </c>
      <c r="AE22" s="20">
        <f t="shared" si="690"/>
        <v>-2308.877320000001</v>
      </c>
      <c r="AF22" s="20">
        <f t="shared" si="690"/>
        <v>-2044.9951866666677</v>
      </c>
      <c r="AG22" s="20">
        <f t="shared" si="690"/>
        <v>-2101.79045888889</v>
      </c>
      <c r="AH22" s="20">
        <f t="shared" si="690"/>
        <v>-2158.5857311111122</v>
      </c>
      <c r="AI22" s="20">
        <f t="shared" si="690"/>
        <v>-2215.3810033333343</v>
      </c>
      <c r="AJ22" s="20">
        <f t="shared" si="690"/>
        <v>-2272.1762755555565</v>
      </c>
      <c r="AK22" s="20">
        <f t="shared" si="690"/>
        <v>-2328.9715477777786</v>
      </c>
      <c r="AL22" s="20">
        <f t="shared" si="690"/>
        <v>-1952.8655825000003</v>
      </c>
      <c r="AM22" s="20">
        <f t="shared" si="690"/>
        <v>-1999.3552609722226</v>
      </c>
      <c r="AN22" s="21">
        <f t="shared" si="690"/>
        <v>-2045.8449394444444</v>
      </c>
      <c r="AO22" s="19">
        <f t="shared" si="690"/>
        <v>-2182.2825544333332</v>
      </c>
      <c r="AP22" s="20">
        <f t="shared" si="690"/>
        <v>-2215.9455933222221</v>
      </c>
      <c r="AQ22" s="20">
        <f t="shared" si="690"/>
        <v>-2249.6086322111109</v>
      </c>
      <c r="AR22" s="20">
        <f t="shared" si="690"/>
        <v>-2575.7104073</v>
      </c>
      <c r="AS22" s="20">
        <f t="shared" si="690"/>
        <v>-2613.6849684111107</v>
      </c>
      <c r="AT22" s="20">
        <f t="shared" si="690"/>
        <v>-2651.6595295222219</v>
      </c>
      <c r="AU22" s="20">
        <f t="shared" si="690"/>
        <v>-2689.634090633333</v>
      </c>
      <c r="AV22" s="20">
        <f t="shared" si="690"/>
        <v>-2727.6086517444437</v>
      </c>
      <c r="AW22" s="20">
        <f t="shared" si="690"/>
        <v>-2765.5832128555544</v>
      </c>
      <c r="AX22" s="20">
        <f t="shared" si="690"/>
        <v>-2803.557773966666</v>
      </c>
      <c r="AY22" s="20">
        <f t="shared" si="690"/>
        <v>-2841.5323350777767</v>
      </c>
      <c r="AZ22" s="21">
        <f t="shared" si="690"/>
        <v>-2879.5068961888878</v>
      </c>
      <c r="BA22" s="19">
        <f t="shared" si="690"/>
        <v>-3835.2401743999985</v>
      </c>
      <c r="BB22" s="20">
        <f t="shared" si="690"/>
        <v>-3863.4686743999987</v>
      </c>
      <c r="BC22" s="20">
        <f t="shared" si="690"/>
        <v>-3891.6971743999984</v>
      </c>
      <c r="BD22" s="20">
        <f t="shared" si="690"/>
        <v>-4770.2036699499977</v>
      </c>
      <c r="BE22" s="20">
        <f t="shared" si="690"/>
        <v>-4804.5552636999973</v>
      </c>
      <c r="BF22" s="20">
        <f t="shared" si="690"/>
        <v>-4838.906857449997</v>
      </c>
      <c r="BG22" s="20">
        <f t="shared" si="690"/>
        <v>-6860.8412031999978</v>
      </c>
      <c r="BH22" s="20">
        <f t="shared" si="690"/>
        <v>-6909.2032656999972</v>
      </c>
      <c r="BI22" s="20">
        <f t="shared" si="690"/>
        <v>-6957.5653281999976</v>
      </c>
      <c r="BJ22" s="20">
        <f t="shared" si="690"/>
        <v>-7532.123653949996</v>
      </c>
      <c r="BK22" s="20">
        <f t="shared" si="690"/>
        <v>-7584.1180601999959</v>
      </c>
      <c r="BL22" s="21">
        <f t="shared" si="690"/>
        <v>-7636.1124664499957</v>
      </c>
      <c r="BM22" s="19">
        <f t="shared" si="690"/>
        <v>-8438.8859336999976</v>
      </c>
      <c r="BN22" s="20">
        <f t="shared" si="690"/>
        <v>-8469.3157691166634</v>
      </c>
      <c r="BO22" s="20">
        <f t="shared" si="690"/>
        <v>-8499.7456045333292</v>
      </c>
      <c r="BP22" s="20">
        <f t="shared" si="690"/>
        <v>-8530.1754399499969</v>
      </c>
      <c r="BQ22" s="20">
        <f t="shared" si="690"/>
        <v>-8560.6052753666627</v>
      </c>
      <c r="BR22" s="20">
        <f t="shared" si="690"/>
        <v>-8591.0351107833285</v>
      </c>
      <c r="BS22" s="20">
        <f t="shared" si="690"/>
        <v>-8621.4649461999943</v>
      </c>
      <c r="BT22" s="20">
        <f t="shared" si="690"/>
        <v>-8651.8947816166601</v>
      </c>
      <c r="BU22" s="20">
        <f t="shared" si="690"/>
        <v>-8682.3246170333277</v>
      </c>
      <c r="BV22" s="20">
        <f t="shared" si="690"/>
        <v>-9530.1186425999931</v>
      </c>
      <c r="BW22" s="20">
        <f t="shared" si="690"/>
        <v>-9563.4031731555497</v>
      </c>
      <c r="BX22" s="21">
        <f t="shared" si="690"/>
        <v>-9596.6877037111062</v>
      </c>
      <c r="BY22" s="19">
        <f t="shared" si="690"/>
        <v>-10582.996851399994</v>
      </c>
      <c r="BZ22" s="20">
        <f t="shared" si="690"/>
        <v>-10594.580201399995</v>
      </c>
      <c r="CA22" s="20">
        <f t="shared" si="690"/>
        <v>-10606.163551399995</v>
      </c>
      <c r="CB22" s="20">
        <f t="shared" si="690"/>
        <v>-9648.974373899995</v>
      </c>
      <c r="CC22" s="20">
        <f t="shared" si="690"/>
        <v>-9659.5008488999956</v>
      </c>
      <c r="CD22" s="20">
        <f t="shared" si="690"/>
        <v>-9670.0273238999962</v>
      </c>
      <c r="CE22" s="20">
        <f t="shared" si="690"/>
        <v>-9680.5537988999949</v>
      </c>
      <c r="CF22" s="20">
        <f t="shared" si="690"/>
        <v>-9691.0802738999955</v>
      </c>
      <c r="CG22" s="20">
        <f t="shared" si="690"/>
        <v>-9701.6067488999961</v>
      </c>
      <c r="CH22" s="20">
        <f t="shared" si="690"/>
        <v>-8873.5353752499959</v>
      </c>
      <c r="CI22" s="20">
        <f t="shared" si="690"/>
        <v>-8883.1529377499955</v>
      </c>
      <c r="CJ22" s="21">
        <f t="shared" si="690"/>
        <v>-8892.7705002499952</v>
      </c>
      <c r="CK22" s="19">
        <f t="shared" ref="CK22" si="691">+CJ21*CK$33/12</f>
        <v>-8807.5747430999963</v>
      </c>
      <c r="CL22" s="20">
        <f t="shared" ref="CL22" si="692">+CK21*CL$33/12</f>
        <v>-8811.1599618499968</v>
      </c>
      <c r="CM22" s="20">
        <f t="shared" ref="CM22" si="693">+CL21*CM$33/12</f>
        <v>-8814.7451805999972</v>
      </c>
      <c r="CN22" s="20">
        <f t="shared" ref="CN22" si="694">+CM21*CN$33/12</f>
        <v>-8818.3303993499976</v>
      </c>
      <c r="CO22" s="20">
        <f t="shared" ref="CO22" si="695">+CN21*CO$33/12</f>
        <v>-8821.915618099998</v>
      </c>
      <c r="CP22" s="20">
        <f t="shared" ref="CP22" si="696">+CO21*CP$33/12</f>
        <v>-8825.5008368499984</v>
      </c>
      <c r="CQ22" s="20">
        <f t="shared" ref="CQ22" si="697">+CP21*CQ$33/12</f>
        <v>-8829.0860555999989</v>
      </c>
      <c r="CR22" s="20">
        <f t="shared" ref="CR22" si="698">+CQ21*CR$33/12</f>
        <v>-8832.6712743499993</v>
      </c>
      <c r="CS22" s="20">
        <f t="shared" ref="CS22" si="699">+CR21*CS$33/12</f>
        <v>-8836.2564930999997</v>
      </c>
      <c r="CT22" s="20">
        <f t="shared" ref="CT22" si="700">+CS21*CT$33/12</f>
        <v>-8839.841711850002</v>
      </c>
      <c r="CU22" s="20">
        <f t="shared" ref="CU22" si="701">+CT21*CU$33/12</f>
        <v>-8843.4269306000006</v>
      </c>
      <c r="CV22" s="21">
        <f t="shared" ref="CV22" si="702">+CU21*CV$33/12</f>
        <v>-8847.0121493500028</v>
      </c>
      <c r="CW22" s="21">
        <f>+CW21*CW$33</f>
        <v>-126103.34170920005</v>
      </c>
      <c r="CX22" s="20"/>
    </row>
    <row r="23" spans="2:123" ht="15" x14ac:dyDescent="0.25">
      <c r="B23" s="29"/>
      <c r="C23" s="22" t="s">
        <v>7</v>
      </c>
      <c r="D23" s="23">
        <v>0</v>
      </c>
      <c r="E23" s="23">
        <f>+D23+E22</f>
        <v>0</v>
      </c>
      <c r="F23" s="24">
        <f t="shared" ref="F23" si="703">+E23+F22</f>
        <v>-130.74772595068495</v>
      </c>
      <c r="G23" s="24">
        <f t="shared" ref="G23" si="704">+F23+G22</f>
        <v>-420.26054769863015</v>
      </c>
      <c r="H23" s="24">
        <f t="shared" ref="H23" si="705">+G23+H22</f>
        <v>-891.12102756164381</v>
      </c>
      <c r="I23" s="24">
        <f t="shared" ref="I23" si="706">+H23+I22</f>
        <v>-1539.8621331506852</v>
      </c>
      <c r="J23" s="24">
        <f t="shared" ref="J23" si="707">+I23+J22</f>
        <v>-2324.6295995890414</v>
      </c>
      <c r="K23" s="24">
        <f t="shared" ref="K23" si="708">+J23+K22</f>
        <v>-3297.7412579726033</v>
      </c>
      <c r="L23" s="24">
        <f t="shared" ref="L23" si="709">+K23+L22</f>
        <v>-4433.0381927534254</v>
      </c>
      <c r="M23" s="24">
        <f t="shared" ref="M23" si="710">+L23+M22</f>
        <v>-5688.6661390547952</v>
      </c>
      <c r="N23" s="24">
        <f t="shared" ref="N23" si="711">+M23+N22</f>
        <v>-7148.3336266301376</v>
      </c>
      <c r="O23" s="24">
        <f t="shared" ref="O23" si="712">+N23+O22</f>
        <v>-8717.8685595068491</v>
      </c>
      <c r="P23" s="25">
        <f t="shared" ref="P23" si="713">+O23+P22</f>
        <v>-10501.906599876713</v>
      </c>
      <c r="Q23" s="23">
        <f>+P23+Q22</f>
        <v>-12101.803723071233</v>
      </c>
      <c r="R23" s="24">
        <f t="shared" ref="R23" si="714">+Q23+R22</f>
        <v>-13691.979693869405</v>
      </c>
      <c r="S23" s="24">
        <f t="shared" ref="S23" si="715">+R23+S22</f>
        <v>-15613.186506013697</v>
      </c>
      <c r="T23" s="24">
        <f t="shared" ref="T23" si="716">+S23+T22</f>
        <v>-17401.105189328766</v>
      </c>
      <c r="U23" s="24">
        <f t="shared" ref="U23" si="717">+T23+U22</f>
        <v>-19391.191822498629</v>
      </c>
      <c r="V23" s="24">
        <f t="shared" ref="V23" si="718">+U23+V22</f>
        <v>-21455.053719512329</v>
      </c>
      <c r="W23" s="24">
        <f t="shared" ref="W23" si="719">+V23+W22</f>
        <v>-23387.990742372604</v>
      </c>
      <c r="X23" s="24">
        <f t="shared" ref="X23" si="720">+W23+X22</f>
        <v>-25442.04974221918</v>
      </c>
      <c r="Y23" s="24">
        <f t="shared" ref="Y23" si="721">+X23+Y22</f>
        <v>-27547.063590767124</v>
      </c>
      <c r="Z23" s="24">
        <f t="shared" ref="Z23" si="722">+Y23+Z22</f>
        <v>-29843.366544586304</v>
      </c>
      <c r="AA23" s="24">
        <f t="shared" ref="AA23" si="723">+Z23+AA22</f>
        <v>-32182.810026010964</v>
      </c>
      <c r="AB23" s="25">
        <f t="shared" ref="AB23" si="724">+AA23+AB22</f>
        <v>-34721.356933802745</v>
      </c>
      <c r="AC23" s="23">
        <f>+AB23+AC22</f>
        <v>-36898.322653802745</v>
      </c>
      <c r="AD23" s="24">
        <f t="shared" ref="AD23" si="725">+AC23+AD22</f>
        <v>-39141.244173802748</v>
      </c>
      <c r="AE23" s="24">
        <f t="shared" ref="AE23" si="726">+AD23+AE22</f>
        <v>-41450.121493802748</v>
      </c>
      <c r="AF23" s="24">
        <f t="shared" ref="AF23" si="727">+AE23+AF22</f>
        <v>-43495.116680469415</v>
      </c>
      <c r="AG23" s="24">
        <f t="shared" ref="AG23" si="728">+AF23+AG22</f>
        <v>-45596.907139358307</v>
      </c>
      <c r="AH23" s="24">
        <f t="shared" ref="AH23" si="729">+AG23+AH22</f>
        <v>-47755.492870469418</v>
      </c>
      <c r="AI23" s="24">
        <f t="shared" ref="AI23" si="730">+AH23+AI22</f>
        <v>-49970.873873802753</v>
      </c>
      <c r="AJ23" s="24">
        <f t="shared" ref="AJ23" si="731">+AI23+AJ22</f>
        <v>-52243.050149358307</v>
      </c>
      <c r="AK23" s="24">
        <f t="shared" ref="AK23" si="732">+AJ23+AK22</f>
        <v>-54572.021697136086</v>
      </c>
      <c r="AL23" s="24">
        <f t="shared" ref="AL23" si="733">+AK23+AL22</f>
        <v>-56524.887279636088</v>
      </c>
      <c r="AM23" s="24">
        <f t="shared" ref="AM23" si="734">+AL23+AM22</f>
        <v>-58524.242540608313</v>
      </c>
      <c r="AN23" s="25">
        <f t="shared" ref="AN23" si="735">+AM23+AN22</f>
        <v>-60570.08748005276</v>
      </c>
      <c r="AO23" s="23">
        <f>+AN23+AO22</f>
        <v>-62752.370034486092</v>
      </c>
      <c r="AP23" s="24">
        <f t="shared" ref="AP23" si="736">+AO23+AP22</f>
        <v>-64968.315627808312</v>
      </c>
      <c r="AQ23" s="24">
        <f t="shared" ref="AQ23" si="737">+AP23+AQ22</f>
        <v>-67217.924260019427</v>
      </c>
      <c r="AR23" s="24">
        <f t="shared" ref="AR23" si="738">+AQ23+AR22</f>
        <v>-69793.63466731942</v>
      </c>
      <c r="AS23" s="24">
        <f t="shared" ref="AS23" si="739">+AR23+AS22</f>
        <v>-72407.319635730528</v>
      </c>
      <c r="AT23" s="24">
        <f t="shared" ref="AT23" si="740">+AS23+AT22</f>
        <v>-75058.979165252749</v>
      </c>
      <c r="AU23" s="24">
        <f t="shared" ref="AU23" si="741">+AT23+AU22</f>
        <v>-77748.613255886085</v>
      </c>
      <c r="AV23" s="24">
        <f t="shared" ref="AV23" si="742">+AU23+AV22</f>
        <v>-80476.221907630534</v>
      </c>
      <c r="AW23" s="24">
        <f t="shared" ref="AW23" si="743">+AV23+AW22</f>
        <v>-83241.805120486082</v>
      </c>
      <c r="AX23" s="24">
        <f t="shared" ref="AX23" si="744">+AW23+AX22</f>
        <v>-86045.362894452745</v>
      </c>
      <c r="AY23" s="24">
        <f t="shared" ref="AY23" si="745">+AX23+AY22</f>
        <v>-88886.895229530521</v>
      </c>
      <c r="AZ23" s="25">
        <f t="shared" ref="AZ23" si="746">+AY23+AZ22</f>
        <v>-91766.402125719411</v>
      </c>
      <c r="BA23" s="23">
        <f>+AZ23+BA22</f>
        <v>-95601.642300119405</v>
      </c>
      <c r="BB23" s="24">
        <f t="shared" ref="BB23" si="747">+BA23+BB22</f>
        <v>-99465.110974519397</v>
      </c>
      <c r="BC23" s="24">
        <f t="shared" ref="BC23" si="748">+BB23+BC22</f>
        <v>-103356.8081489194</v>
      </c>
      <c r="BD23" s="24">
        <f t="shared" ref="BD23" si="749">+BC23+BD22</f>
        <v>-108127.0118188694</v>
      </c>
      <c r="BE23" s="24">
        <f t="shared" ref="BE23" si="750">+BD23+BE22</f>
        <v>-112931.5670825694</v>
      </c>
      <c r="BF23" s="24">
        <f t="shared" ref="BF23" si="751">+BE23+BF22</f>
        <v>-117770.47394001939</v>
      </c>
      <c r="BG23" s="24">
        <f t="shared" ref="BG23" si="752">+BF23+BG22</f>
        <v>-124631.3151432194</v>
      </c>
      <c r="BH23" s="24">
        <f t="shared" ref="BH23" si="753">+BG23+BH22</f>
        <v>-131540.51840891939</v>
      </c>
      <c r="BI23" s="24">
        <f t="shared" ref="BI23" si="754">+BH23+BI22</f>
        <v>-138498.08373711939</v>
      </c>
      <c r="BJ23" s="24">
        <f t="shared" ref="BJ23" si="755">+BI23+BJ22</f>
        <v>-146030.20739106939</v>
      </c>
      <c r="BK23" s="24">
        <f t="shared" ref="BK23" si="756">+BJ23+BK22</f>
        <v>-153614.3254512694</v>
      </c>
      <c r="BL23" s="25">
        <f t="shared" ref="BL23" si="757">+BK23+BL22</f>
        <v>-161250.43791771939</v>
      </c>
      <c r="BM23" s="23">
        <f>+BL23+BM22</f>
        <v>-169689.32385141938</v>
      </c>
      <c r="BN23" s="24">
        <f t="shared" ref="BN23" si="758">+BM23+BN22</f>
        <v>-178158.63962053604</v>
      </c>
      <c r="BO23" s="24">
        <f t="shared" ref="BO23" si="759">+BN23+BO22</f>
        <v>-186658.38522506936</v>
      </c>
      <c r="BP23" s="24">
        <f t="shared" ref="BP23" si="760">+BO23+BP22</f>
        <v>-195188.56066501935</v>
      </c>
      <c r="BQ23" s="24">
        <f t="shared" ref="BQ23" si="761">+BP23+BQ22</f>
        <v>-203749.16594038601</v>
      </c>
      <c r="BR23" s="24">
        <f t="shared" ref="BR23" si="762">+BQ23+BR22</f>
        <v>-212340.20105116934</v>
      </c>
      <c r="BS23" s="24">
        <f t="shared" ref="BS23" si="763">+BR23+BS22</f>
        <v>-220961.66599736933</v>
      </c>
      <c r="BT23" s="24">
        <f t="shared" ref="BT23" si="764">+BS23+BT22</f>
        <v>-229613.56077898599</v>
      </c>
      <c r="BU23" s="24">
        <f t="shared" ref="BU23" si="765">+BT23+BU22</f>
        <v>-238295.88539601932</v>
      </c>
      <c r="BV23" s="24">
        <f t="shared" ref="BV23" si="766">+BU23+BV22</f>
        <v>-247826.00403861931</v>
      </c>
      <c r="BW23" s="24">
        <f t="shared" ref="BW23" si="767">+BV23+BW22</f>
        <v>-257389.40721177487</v>
      </c>
      <c r="BX23" s="25">
        <f t="shared" ref="BX23" si="768">+BW23+BX22</f>
        <v>-266986.094915486</v>
      </c>
      <c r="BY23" s="23">
        <f t="shared" ref="BY23" si="769">+BX23+BY22</f>
        <v>-277569.09176688601</v>
      </c>
      <c r="BZ23" s="24">
        <f t="shared" ref="BZ23" si="770">+BY23+BZ22</f>
        <v>-288163.67196828598</v>
      </c>
      <c r="CA23" s="24">
        <f t="shared" ref="CA23" si="771">+BZ23+CA22</f>
        <v>-298769.83551968599</v>
      </c>
      <c r="CB23" s="24">
        <f t="shared" ref="CB23" si="772">+CA23+CB22</f>
        <v>-308418.80989358597</v>
      </c>
      <c r="CC23" s="24">
        <f t="shared" ref="CC23" si="773">+CB23+CC22</f>
        <v>-318078.31074248598</v>
      </c>
      <c r="CD23" s="24">
        <f t="shared" ref="CD23" si="774">+CC23+CD22</f>
        <v>-327748.338066386</v>
      </c>
      <c r="CE23" s="24">
        <f t="shared" ref="CE23" si="775">+CD23+CE22</f>
        <v>-337428.89186528599</v>
      </c>
      <c r="CF23" s="24">
        <f t="shared" ref="CF23" si="776">+CE23+CF22</f>
        <v>-347119.97213918599</v>
      </c>
      <c r="CG23" s="24">
        <f t="shared" ref="CG23" si="777">+CF23+CG22</f>
        <v>-356821.57888808596</v>
      </c>
      <c r="CH23" s="24">
        <f t="shared" ref="CH23" si="778">+CG23+CH22</f>
        <v>-365695.11426333594</v>
      </c>
      <c r="CI23" s="24">
        <f t="shared" ref="CI23" si="779">+CH23+CI22</f>
        <v>-374578.26720108592</v>
      </c>
      <c r="CJ23" s="25">
        <f t="shared" ref="CJ23" si="780">+CI23+CJ22</f>
        <v>-383471.03770133591</v>
      </c>
      <c r="CK23" s="23">
        <f t="shared" ref="CK23" si="781">+CJ23+CK22</f>
        <v>-392278.61244443589</v>
      </c>
      <c r="CL23" s="24">
        <f t="shared" ref="CL23" si="782">+CK23+CL22</f>
        <v>-401089.77240628586</v>
      </c>
      <c r="CM23" s="24">
        <f t="shared" ref="CM23" si="783">+CL23+CM22</f>
        <v>-409904.51758688584</v>
      </c>
      <c r="CN23" s="24">
        <f t="shared" ref="CN23" si="784">+CM23+CN22</f>
        <v>-418722.84798623581</v>
      </c>
      <c r="CO23" s="24">
        <f t="shared" ref="CO23" si="785">+CN23+CO22</f>
        <v>-427544.76360433578</v>
      </c>
      <c r="CP23" s="24">
        <f t="shared" ref="CP23" si="786">+CO23+CP22</f>
        <v>-436370.26444118575</v>
      </c>
      <c r="CQ23" s="24">
        <f t="shared" ref="CQ23" si="787">+CP23+CQ22</f>
        <v>-445199.35049678577</v>
      </c>
      <c r="CR23" s="24">
        <f t="shared" ref="CR23" si="788">+CQ23+CR22</f>
        <v>-454032.0217711358</v>
      </c>
      <c r="CS23" s="24">
        <f t="shared" ref="CS23" si="789">+CR23+CS22</f>
        <v>-462868.27826423582</v>
      </c>
      <c r="CT23" s="24">
        <f t="shared" ref="CT23" si="790">+CS23+CT22</f>
        <v>-471708.11997608584</v>
      </c>
      <c r="CU23" s="24">
        <f t="shared" ref="CU23" si="791">+CT23+CU22</f>
        <v>-480551.54690668586</v>
      </c>
      <c r="CV23" s="25">
        <f t="shared" ref="CV23" si="792">+CU23+CV22</f>
        <v>-489398.55905603588</v>
      </c>
      <c r="CW23" s="25">
        <f>+CV23+CW22</f>
        <v>-615501.90076523589</v>
      </c>
    </row>
    <row r="24" spans="2:123" ht="15" x14ac:dyDescent="0.25">
      <c r="B24" s="29" t="s">
        <v>10</v>
      </c>
      <c r="C24" s="9" t="s">
        <v>2</v>
      </c>
      <c r="D24" s="19"/>
      <c r="E24" s="19">
        <f>520000/12</f>
        <v>43333.333333333336</v>
      </c>
      <c r="F24" s="20">
        <f t="shared" ref="F24:BQ24" si="793">520000/12</f>
        <v>43333.333333333336</v>
      </c>
      <c r="G24" s="20">
        <f t="shared" si="793"/>
        <v>43333.333333333336</v>
      </c>
      <c r="H24" s="20">
        <f t="shared" si="793"/>
        <v>43333.333333333336</v>
      </c>
      <c r="I24" s="20">
        <f t="shared" si="793"/>
        <v>43333.333333333336</v>
      </c>
      <c r="J24" s="20">
        <f t="shared" si="793"/>
        <v>43333.333333333336</v>
      </c>
      <c r="K24" s="20">
        <f t="shared" si="793"/>
        <v>43333.333333333336</v>
      </c>
      <c r="L24" s="20">
        <f t="shared" si="793"/>
        <v>43333.333333333336</v>
      </c>
      <c r="M24" s="20">
        <f t="shared" si="793"/>
        <v>43333.333333333336</v>
      </c>
      <c r="N24" s="20">
        <f t="shared" si="793"/>
        <v>43333.333333333336</v>
      </c>
      <c r="O24" s="20">
        <f t="shared" si="793"/>
        <v>43333.333333333336</v>
      </c>
      <c r="P24" s="21">
        <f t="shared" si="793"/>
        <v>43333.333333333336</v>
      </c>
      <c r="Q24" s="19">
        <f t="shared" si="793"/>
        <v>43333.333333333336</v>
      </c>
      <c r="R24" s="20">
        <f t="shared" si="793"/>
        <v>43333.333333333336</v>
      </c>
      <c r="S24" s="20">
        <f t="shared" si="793"/>
        <v>43333.333333333336</v>
      </c>
      <c r="T24" s="20">
        <f t="shared" si="793"/>
        <v>43333.333333333336</v>
      </c>
      <c r="U24" s="20">
        <f t="shared" si="793"/>
        <v>43333.333333333336</v>
      </c>
      <c r="V24" s="20">
        <f t="shared" si="793"/>
        <v>43333.333333333336</v>
      </c>
      <c r="W24" s="20">
        <f t="shared" si="793"/>
        <v>43333.333333333336</v>
      </c>
      <c r="X24" s="20">
        <f t="shared" si="793"/>
        <v>43333.333333333336</v>
      </c>
      <c r="Y24" s="20">
        <f t="shared" si="793"/>
        <v>43333.333333333336</v>
      </c>
      <c r="Z24" s="20">
        <f t="shared" si="793"/>
        <v>43333.333333333336</v>
      </c>
      <c r="AA24" s="20">
        <f t="shared" si="793"/>
        <v>43333.333333333336</v>
      </c>
      <c r="AB24" s="21">
        <f t="shared" si="793"/>
        <v>43333.333333333336</v>
      </c>
      <c r="AC24" s="19">
        <f t="shared" si="793"/>
        <v>43333.333333333336</v>
      </c>
      <c r="AD24" s="20">
        <f t="shared" si="793"/>
        <v>43333.333333333336</v>
      </c>
      <c r="AE24" s="20">
        <f t="shared" si="793"/>
        <v>43333.333333333336</v>
      </c>
      <c r="AF24" s="20">
        <f t="shared" si="793"/>
        <v>43333.333333333336</v>
      </c>
      <c r="AG24" s="20">
        <f t="shared" si="793"/>
        <v>43333.333333333336</v>
      </c>
      <c r="AH24" s="20">
        <f t="shared" si="793"/>
        <v>43333.333333333336</v>
      </c>
      <c r="AI24" s="20">
        <f t="shared" si="793"/>
        <v>43333.333333333336</v>
      </c>
      <c r="AJ24" s="20">
        <f t="shared" si="793"/>
        <v>43333.333333333336</v>
      </c>
      <c r="AK24" s="20">
        <f t="shared" si="793"/>
        <v>43333.333333333336</v>
      </c>
      <c r="AL24" s="20">
        <f t="shared" si="793"/>
        <v>43333.333333333336</v>
      </c>
      <c r="AM24" s="20">
        <f t="shared" si="793"/>
        <v>43333.333333333336</v>
      </c>
      <c r="AN24" s="21">
        <f t="shared" si="793"/>
        <v>43333.333333333336</v>
      </c>
      <c r="AO24" s="19">
        <f t="shared" si="793"/>
        <v>43333.333333333336</v>
      </c>
      <c r="AP24" s="20">
        <f t="shared" si="793"/>
        <v>43333.333333333336</v>
      </c>
      <c r="AQ24" s="20">
        <f t="shared" si="793"/>
        <v>43333.333333333336</v>
      </c>
      <c r="AR24" s="20">
        <f t="shared" si="793"/>
        <v>43333.333333333336</v>
      </c>
      <c r="AS24" s="20">
        <f t="shared" si="793"/>
        <v>43333.333333333336</v>
      </c>
      <c r="AT24" s="20">
        <f t="shared" si="793"/>
        <v>43333.333333333336</v>
      </c>
      <c r="AU24" s="20">
        <f t="shared" si="793"/>
        <v>43333.333333333336</v>
      </c>
      <c r="AV24" s="20">
        <f t="shared" si="793"/>
        <v>43333.333333333336</v>
      </c>
      <c r="AW24" s="20">
        <f t="shared" si="793"/>
        <v>43333.333333333336</v>
      </c>
      <c r="AX24" s="20">
        <f t="shared" si="793"/>
        <v>43333.333333333336</v>
      </c>
      <c r="AY24" s="20">
        <f t="shared" si="793"/>
        <v>43333.333333333336</v>
      </c>
      <c r="AZ24" s="21">
        <f t="shared" si="793"/>
        <v>43333.333333333336</v>
      </c>
      <c r="BA24" s="19">
        <f t="shared" si="793"/>
        <v>43333.333333333336</v>
      </c>
      <c r="BB24" s="20">
        <f t="shared" si="793"/>
        <v>43333.333333333336</v>
      </c>
      <c r="BC24" s="20">
        <f t="shared" si="793"/>
        <v>43333.333333333336</v>
      </c>
      <c r="BD24" s="20">
        <f t="shared" si="793"/>
        <v>43333.333333333336</v>
      </c>
      <c r="BE24" s="20">
        <f t="shared" si="793"/>
        <v>43333.333333333336</v>
      </c>
      <c r="BF24" s="20">
        <f t="shared" si="793"/>
        <v>43333.333333333336</v>
      </c>
      <c r="BG24" s="20">
        <f t="shared" si="793"/>
        <v>43333.333333333336</v>
      </c>
      <c r="BH24" s="20">
        <f t="shared" si="793"/>
        <v>43333.333333333336</v>
      </c>
      <c r="BI24" s="20">
        <f t="shared" si="793"/>
        <v>43333.333333333336</v>
      </c>
      <c r="BJ24" s="20">
        <f t="shared" si="793"/>
        <v>43333.333333333336</v>
      </c>
      <c r="BK24" s="20">
        <f t="shared" si="793"/>
        <v>43333.333333333336</v>
      </c>
      <c r="BL24" s="21">
        <f t="shared" si="793"/>
        <v>43333.333333333336</v>
      </c>
      <c r="BM24" s="19">
        <f t="shared" si="793"/>
        <v>43333.333333333336</v>
      </c>
      <c r="BN24" s="20">
        <f t="shared" si="793"/>
        <v>43333.333333333336</v>
      </c>
      <c r="BO24" s="20">
        <f t="shared" si="793"/>
        <v>43333.333333333336</v>
      </c>
      <c r="BP24" s="20">
        <f t="shared" si="793"/>
        <v>43333.333333333336</v>
      </c>
      <c r="BQ24" s="20">
        <f t="shared" si="793"/>
        <v>43333.333333333336</v>
      </c>
      <c r="BR24" s="20">
        <f t="shared" ref="BR24:CV24" si="794">520000/12</f>
        <v>43333.333333333336</v>
      </c>
      <c r="BS24" s="20">
        <f t="shared" si="794"/>
        <v>43333.333333333336</v>
      </c>
      <c r="BT24" s="20">
        <f t="shared" si="794"/>
        <v>43333.333333333336</v>
      </c>
      <c r="BU24" s="20">
        <f t="shared" si="794"/>
        <v>43333.333333333336</v>
      </c>
      <c r="BV24" s="20">
        <f t="shared" si="794"/>
        <v>43333.333333333336</v>
      </c>
      <c r="BW24" s="20">
        <f t="shared" si="794"/>
        <v>43333.333333333336</v>
      </c>
      <c r="BX24" s="21">
        <f t="shared" si="794"/>
        <v>43333.333333333336</v>
      </c>
      <c r="BY24" s="19">
        <f t="shared" si="794"/>
        <v>43333.333333333336</v>
      </c>
      <c r="BZ24" s="20">
        <f t="shared" si="794"/>
        <v>43333.333333333336</v>
      </c>
      <c r="CA24" s="20">
        <f t="shared" si="794"/>
        <v>43333.333333333336</v>
      </c>
      <c r="CB24" s="20">
        <f t="shared" si="794"/>
        <v>43333.333333333336</v>
      </c>
      <c r="CC24" s="20">
        <f t="shared" si="794"/>
        <v>43333.333333333336</v>
      </c>
      <c r="CD24" s="20">
        <f t="shared" si="794"/>
        <v>43333.333333333336</v>
      </c>
      <c r="CE24" s="20">
        <f t="shared" si="794"/>
        <v>43333.333333333336</v>
      </c>
      <c r="CF24" s="20">
        <f t="shared" si="794"/>
        <v>43333.333333333336</v>
      </c>
      <c r="CG24" s="20">
        <f t="shared" si="794"/>
        <v>43333.333333333336</v>
      </c>
      <c r="CH24" s="20">
        <f t="shared" si="794"/>
        <v>43333.333333333336</v>
      </c>
      <c r="CI24" s="20">
        <f t="shared" si="794"/>
        <v>43333.333333333336</v>
      </c>
      <c r="CJ24" s="21">
        <f t="shared" si="794"/>
        <v>43333.333333333336</v>
      </c>
      <c r="CK24" s="19">
        <f t="shared" si="794"/>
        <v>43333.333333333336</v>
      </c>
      <c r="CL24" s="20">
        <f t="shared" si="794"/>
        <v>43333.333333333336</v>
      </c>
      <c r="CM24" s="20">
        <f t="shared" si="794"/>
        <v>43333.333333333336</v>
      </c>
      <c r="CN24" s="20">
        <f t="shared" si="794"/>
        <v>43333.333333333336</v>
      </c>
      <c r="CO24" s="20">
        <f t="shared" si="794"/>
        <v>43333.333333333336</v>
      </c>
      <c r="CP24" s="20">
        <f t="shared" si="794"/>
        <v>43333.333333333336</v>
      </c>
      <c r="CQ24" s="20">
        <f t="shared" si="794"/>
        <v>43333.333333333336</v>
      </c>
      <c r="CR24" s="20">
        <f t="shared" si="794"/>
        <v>43333.333333333336</v>
      </c>
      <c r="CS24" s="20">
        <f t="shared" si="794"/>
        <v>43333.333333333336</v>
      </c>
      <c r="CT24" s="20">
        <f t="shared" si="794"/>
        <v>43333.333333333336</v>
      </c>
      <c r="CU24" s="20">
        <f t="shared" si="794"/>
        <v>43333.333333333336</v>
      </c>
      <c r="CV24" s="21">
        <f t="shared" si="794"/>
        <v>43333.333333333336</v>
      </c>
      <c r="CW24" s="21">
        <f>520000</f>
        <v>520000</v>
      </c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</row>
    <row r="25" spans="2:123" ht="15" x14ac:dyDescent="0.25">
      <c r="B25" s="29"/>
      <c r="C25" s="9" t="s">
        <v>3</v>
      </c>
      <c r="D25" s="14"/>
      <c r="E25" s="14">
        <f>299147/12</f>
        <v>24928.916666666668</v>
      </c>
      <c r="F25" s="15">
        <f t="shared" ref="F25:O25" si="795">299147/12</f>
        <v>24928.916666666668</v>
      </c>
      <c r="G25" s="15">
        <f t="shared" si="795"/>
        <v>24928.916666666668</v>
      </c>
      <c r="H25" s="15">
        <f t="shared" si="795"/>
        <v>24928.916666666668</v>
      </c>
      <c r="I25" s="15">
        <f t="shared" si="795"/>
        <v>24928.916666666668</v>
      </c>
      <c r="J25" s="15">
        <f t="shared" si="795"/>
        <v>24928.916666666668</v>
      </c>
      <c r="K25" s="15">
        <f t="shared" si="795"/>
        <v>24928.916666666668</v>
      </c>
      <c r="L25" s="15">
        <f t="shared" si="795"/>
        <v>24928.916666666668</v>
      </c>
      <c r="M25" s="15">
        <f t="shared" si="795"/>
        <v>24928.916666666668</v>
      </c>
      <c r="N25" s="15">
        <f t="shared" si="795"/>
        <v>24928.916666666668</v>
      </c>
      <c r="O25" s="15">
        <f t="shared" si="795"/>
        <v>24928.916666666668</v>
      </c>
      <c r="P25" s="16">
        <f>299147/12+(427877.02-299147)</f>
        <v>153658.93666666668</v>
      </c>
      <c r="Q25" s="14">
        <f>332185/12</f>
        <v>27682.083333333332</v>
      </c>
      <c r="R25" s="15">
        <f t="shared" ref="R25:AA25" si="796">332185/12</f>
        <v>27682.083333333332</v>
      </c>
      <c r="S25" s="15">
        <f t="shared" si="796"/>
        <v>27682.083333333332</v>
      </c>
      <c r="T25" s="15">
        <f t="shared" si="796"/>
        <v>27682.083333333332</v>
      </c>
      <c r="U25" s="15">
        <f t="shared" si="796"/>
        <v>27682.083333333332</v>
      </c>
      <c r="V25" s="15">
        <f t="shared" si="796"/>
        <v>27682.083333333332</v>
      </c>
      <c r="W25" s="15">
        <f t="shared" si="796"/>
        <v>27682.083333333332</v>
      </c>
      <c r="X25" s="15">
        <f t="shared" si="796"/>
        <v>27682.083333333332</v>
      </c>
      <c r="Y25" s="15">
        <f t="shared" si="796"/>
        <v>27682.083333333332</v>
      </c>
      <c r="Z25" s="15">
        <f t="shared" si="796"/>
        <v>27682.083333333332</v>
      </c>
      <c r="AA25" s="15">
        <f t="shared" si="796"/>
        <v>27682.083333333332</v>
      </c>
      <c r="AB25" s="16">
        <f>332185/12+(409576.45+255709.78-332185)</f>
        <v>360783.3133333333</v>
      </c>
      <c r="AC25" s="14">
        <f>356417/12-255709.78</f>
        <v>-226008.36333333334</v>
      </c>
      <c r="AD25" s="15">
        <f t="shared" ref="AD25:AM25" si="797">356417/12</f>
        <v>29701.416666666668</v>
      </c>
      <c r="AE25" s="15">
        <f t="shared" si="797"/>
        <v>29701.416666666668</v>
      </c>
      <c r="AF25" s="15">
        <f t="shared" si="797"/>
        <v>29701.416666666668</v>
      </c>
      <c r="AG25" s="15">
        <f t="shared" si="797"/>
        <v>29701.416666666668</v>
      </c>
      <c r="AH25" s="15">
        <f t="shared" si="797"/>
        <v>29701.416666666668</v>
      </c>
      <c r="AI25" s="15">
        <f t="shared" si="797"/>
        <v>29701.416666666668</v>
      </c>
      <c r="AJ25" s="15">
        <f t="shared" si="797"/>
        <v>29701.416666666668</v>
      </c>
      <c r="AK25" s="15">
        <f t="shared" si="797"/>
        <v>29701.416666666668</v>
      </c>
      <c r="AL25" s="15">
        <f t="shared" si="797"/>
        <v>29701.416666666668</v>
      </c>
      <c r="AM25" s="15">
        <f t="shared" si="797"/>
        <v>29701.416666666668</v>
      </c>
      <c r="AN25" s="16">
        <f>356417/12+(349696.15-356417)</f>
        <v>22980.566666666691</v>
      </c>
      <c r="AO25" s="14">
        <f>378895/12</f>
        <v>31574.583333333332</v>
      </c>
      <c r="AP25" s="15">
        <f t="shared" ref="AP25:AY25" si="798">378895/12</f>
        <v>31574.583333333332</v>
      </c>
      <c r="AQ25" s="15">
        <f t="shared" si="798"/>
        <v>31574.583333333332</v>
      </c>
      <c r="AR25" s="15">
        <f t="shared" si="798"/>
        <v>31574.583333333332</v>
      </c>
      <c r="AS25" s="15">
        <f t="shared" si="798"/>
        <v>31574.583333333332</v>
      </c>
      <c r="AT25" s="15">
        <f t="shared" si="798"/>
        <v>31574.583333333332</v>
      </c>
      <c r="AU25" s="15">
        <f t="shared" si="798"/>
        <v>31574.583333333332</v>
      </c>
      <c r="AV25" s="15">
        <f t="shared" si="798"/>
        <v>31574.583333333332</v>
      </c>
      <c r="AW25" s="15">
        <f t="shared" si="798"/>
        <v>31574.583333333332</v>
      </c>
      <c r="AX25" s="15">
        <f t="shared" si="798"/>
        <v>31574.583333333332</v>
      </c>
      <c r="AY25" s="15">
        <f t="shared" si="798"/>
        <v>31574.583333333332</v>
      </c>
      <c r="AZ25" s="16">
        <f>378895/12+(229266.96-378895)</f>
        <v>-118053.45666666668</v>
      </c>
      <c r="BA25" s="14">
        <f>372984/12</f>
        <v>31082</v>
      </c>
      <c r="BB25" s="15">
        <f t="shared" ref="BB25:BK25" si="799">372984/12</f>
        <v>31082</v>
      </c>
      <c r="BC25" s="15">
        <f t="shared" si="799"/>
        <v>31082</v>
      </c>
      <c r="BD25" s="15">
        <f t="shared" si="799"/>
        <v>31082</v>
      </c>
      <c r="BE25" s="15">
        <f t="shared" si="799"/>
        <v>31082</v>
      </c>
      <c r="BF25" s="15">
        <f t="shared" si="799"/>
        <v>31082</v>
      </c>
      <c r="BG25" s="15">
        <f t="shared" si="799"/>
        <v>31082</v>
      </c>
      <c r="BH25" s="15">
        <f t="shared" si="799"/>
        <v>31082</v>
      </c>
      <c r="BI25" s="15">
        <f t="shared" si="799"/>
        <v>31082</v>
      </c>
      <c r="BJ25" s="15">
        <f t="shared" si="799"/>
        <v>31082</v>
      </c>
      <c r="BK25" s="15">
        <f t="shared" si="799"/>
        <v>31082</v>
      </c>
      <c r="BL25" s="16">
        <f>372984/12+(242087.02-372984)</f>
        <v>-99814.98000000001</v>
      </c>
      <c r="BM25" s="14">
        <f>348878/12</f>
        <v>29073.166666666668</v>
      </c>
      <c r="BN25" s="15">
        <f t="shared" ref="BN25:BW25" si="800">348878/12</f>
        <v>29073.166666666668</v>
      </c>
      <c r="BO25" s="15">
        <f t="shared" si="800"/>
        <v>29073.166666666668</v>
      </c>
      <c r="BP25" s="15">
        <f t="shared" si="800"/>
        <v>29073.166666666668</v>
      </c>
      <c r="BQ25" s="15">
        <f t="shared" si="800"/>
        <v>29073.166666666668</v>
      </c>
      <c r="BR25" s="15">
        <f t="shared" si="800"/>
        <v>29073.166666666668</v>
      </c>
      <c r="BS25" s="15">
        <f t="shared" si="800"/>
        <v>29073.166666666668</v>
      </c>
      <c r="BT25" s="15">
        <f t="shared" si="800"/>
        <v>29073.166666666668</v>
      </c>
      <c r="BU25" s="15">
        <f t="shared" si="800"/>
        <v>29073.166666666668</v>
      </c>
      <c r="BV25" s="15">
        <f t="shared" si="800"/>
        <v>29073.166666666668</v>
      </c>
      <c r="BW25" s="15">
        <f t="shared" si="800"/>
        <v>29073.166666666668</v>
      </c>
      <c r="BX25" s="16">
        <f>348878/12+(235304.267-348878)</f>
        <v>-84500.566333333336</v>
      </c>
      <c r="BY25" s="14">
        <f>268134/12</f>
        <v>22344.5</v>
      </c>
      <c r="BZ25" s="15">
        <f t="shared" ref="BZ25:CI25" si="801">268134/12</f>
        <v>22344.5</v>
      </c>
      <c r="CA25" s="15">
        <f t="shared" si="801"/>
        <v>22344.5</v>
      </c>
      <c r="CB25" s="15">
        <f t="shared" si="801"/>
        <v>22344.5</v>
      </c>
      <c r="CC25" s="15">
        <f t="shared" si="801"/>
        <v>22344.5</v>
      </c>
      <c r="CD25" s="15">
        <f t="shared" si="801"/>
        <v>22344.5</v>
      </c>
      <c r="CE25" s="15">
        <f t="shared" si="801"/>
        <v>22344.5</v>
      </c>
      <c r="CF25" s="15">
        <f t="shared" si="801"/>
        <v>22344.5</v>
      </c>
      <c r="CG25" s="15">
        <f t="shared" si="801"/>
        <v>22344.5</v>
      </c>
      <c r="CH25" s="15">
        <f t="shared" si="801"/>
        <v>22344.5</v>
      </c>
      <c r="CI25" s="15">
        <f t="shared" si="801"/>
        <v>22344.5</v>
      </c>
      <c r="CJ25" s="16">
        <f>268134/12+(258617.538425-268134)</f>
        <v>12828.038425000006</v>
      </c>
      <c r="CK25" s="14">
        <f>282654/12</f>
        <v>23554.5</v>
      </c>
      <c r="CL25" s="15">
        <f t="shared" ref="CL25:CU25" si="802">282654/12</f>
        <v>23554.5</v>
      </c>
      <c r="CM25" s="15">
        <f t="shared" si="802"/>
        <v>23554.5</v>
      </c>
      <c r="CN25" s="15">
        <f t="shared" si="802"/>
        <v>23554.5</v>
      </c>
      <c r="CO25" s="15">
        <f t="shared" si="802"/>
        <v>23554.5</v>
      </c>
      <c r="CP25" s="15">
        <f t="shared" si="802"/>
        <v>23554.5</v>
      </c>
      <c r="CQ25" s="15">
        <f t="shared" si="802"/>
        <v>23554.5</v>
      </c>
      <c r="CR25" s="15">
        <f t="shared" si="802"/>
        <v>23554.5</v>
      </c>
      <c r="CS25" s="15">
        <f t="shared" si="802"/>
        <v>23554.5</v>
      </c>
      <c r="CT25" s="15">
        <f t="shared" si="802"/>
        <v>23554.5</v>
      </c>
      <c r="CU25" s="15">
        <f t="shared" si="802"/>
        <v>23554.5</v>
      </c>
      <c r="CV25" s="16">
        <f>282654/12+(251462.88-282654)</f>
        <v>-7636.6199999999953</v>
      </c>
      <c r="CW25" s="16">
        <f>SUM(BM25:CV25)/3</f>
        <v>248461.56180833335</v>
      </c>
    </row>
    <row r="26" spans="2:123" ht="15" x14ac:dyDescent="0.25">
      <c r="B26" s="29"/>
      <c r="C26" s="9" t="s">
        <v>4</v>
      </c>
      <c r="D26" s="19"/>
      <c r="E26" s="19">
        <f>+E25-E24</f>
        <v>-18404.416666666668</v>
      </c>
      <c r="F26" s="20">
        <f t="shared" ref="F26:Q26" si="803">+F25-F24</f>
        <v>-18404.416666666668</v>
      </c>
      <c r="G26" s="20">
        <f t="shared" si="803"/>
        <v>-18404.416666666668</v>
      </c>
      <c r="H26" s="20">
        <f t="shared" si="803"/>
        <v>-18404.416666666668</v>
      </c>
      <c r="I26" s="20">
        <f t="shared" si="803"/>
        <v>-18404.416666666668</v>
      </c>
      <c r="J26" s="20">
        <f t="shared" si="803"/>
        <v>-18404.416666666668</v>
      </c>
      <c r="K26" s="20">
        <f t="shared" si="803"/>
        <v>-18404.416666666668</v>
      </c>
      <c r="L26" s="20">
        <f t="shared" si="803"/>
        <v>-18404.416666666668</v>
      </c>
      <c r="M26" s="20">
        <f t="shared" si="803"/>
        <v>-18404.416666666668</v>
      </c>
      <c r="N26" s="20">
        <f t="shared" si="803"/>
        <v>-18404.416666666668</v>
      </c>
      <c r="O26" s="20">
        <f t="shared" si="803"/>
        <v>-18404.416666666668</v>
      </c>
      <c r="P26" s="21">
        <f t="shared" si="803"/>
        <v>110325.60333333333</v>
      </c>
      <c r="Q26" s="19">
        <f t="shared" si="803"/>
        <v>-15651.250000000004</v>
      </c>
      <c r="R26" s="20">
        <f t="shared" ref="R26" si="804">+R25-R24</f>
        <v>-15651.250000000004</v>
      </c>
      <c r="S26" s="20">
        <f t="shared" ref="S26" si="805">+S25-S24</f>
        <v>-15651.250000000004</v>
      </c>
      <c r="T26" s="20">
        <f t="shared" ref="T26" si="806">+T25-T24</f>
        <v>-15651.250000000004</v>
      </c>
      <c r="U26" s="20">
        <f t="shared" ref="U26" si="807">+U25-U24</f>
        <v>-15651.250000000004</v>
      </c>
      <c r="V26" s="20">
        <f t="shared" ref="V26" si="808">+V25-V24</f>
        <v>-15651.250000000004</v>
      </c>
      <c r="W26" s="20">
        <f t="shared" ref="W26" si="809">+W25-W24</f>
        <v>-15651.250000000004</v>
      </c>
      <c r="X26" s="20">
        <f t="shared" ref="X26" si="810">+X25-X24</f>
        <v>-15651.250000000004</v>
      </c>
      <c r="Y26" s="20">
        <f t="shared" ref="Y26" si="811">+Y25-Y24</f>
        <v>-15651.250000000004</v>
      </c>
      <c r="Z26" s="20">
        <f t="shared" ref="Z26" si="812">+Z25-Z24</f>
        <v>-15651.250000000004</v>
      </c>
      <c r="AA26" s="20">
        <f t="shared" ref="AA26:AB26" si="813">+AA25-AA24</f>
        <v>-15651.250000000004</v>
      </c>
      <c r="AB26" s="21">
        <f t="shared" si="813"/>
        <v>317449.98</v>
      </c>
      <c r="AC26" s="19">
        <f t="shared" ref="AC26" si="814">+AC25-AC24</f>
        <v>-269341.69666666666</v>
      </c>
      <c r="AD26" s="20">
        <f t="shared" ref="AD26" si="815">+AD25-AD24</f>
        <v>-13631.916666666668</v>
      </c>
      <c r="AE26" s="20">
        <f t="shared" ref="AE26" si="816">+AE25-AE24</f>
        <v>-13631.916666666668</v>
      </c>
      <c r="AF26" s="20">
        <f t="shared" ref="AF26" si="817">+AF25-AF24</f>
        <v>-13631.916666666668</v>
      </c>
      <c r="AG26" s="20">
        <f t="shared" ref="AG26" si="818">+AG25-AG24</f>
        <v>-13631.916666666668</v>
      </c>
      <c r="AH26" s="20">
        <f t="shared" ref="AH26" si="819">+AH25-AH24</f>
        <v>-13631.916666666668</v>
      </c>
      <c r="AI26" s="20">
        <f t="shared" ref="AI26" si="820">+AI25-AI24</f>
        <v>-13631.916666666668</v>
      </c>
      <c r="AJ26" s="20">
        <f t="shared" ref="AJ26" si="821">+AJ25-AJ24</f>
        <v>-13631.916666666668</v>
      </c>
      <c r="AK26" s="20">
        <f t="shared" ref="AK26" si="822">+AK25-AK24</f>
        <v>-13631.916666666668</v>
      </c>
      <c r="AL26" s="20">
        <f t="shared" ref="AL26" si="823">+AL25-AL24</f>
        <v>-13631.916666666668</v>
      </c>
      <c r="AM26" s="20">
        <f t="shared" ref="AM26" si="824">+AM25-AM24</f>
        <v>-13631.916666666668</v>
      </c>
      <c r="AN26" s="21">
        <f t="shared" ref="AN26" si="825">+AN25-AN24</f>
        <v>-20352.766666666645</v>
      </c>
      <c r="AO26" s="19">
        <f t="shared" ref="AO26" si="826">+AO25-AO24</f>
        <v>-11758.750000000004</v>
      </c>
      <c r="AP26" s="20">
        <f t="shared" ref="AP26" si="827">+AP25-AP24</f>
        <v>-11758.750000000004</v>
      </c>
      <c r="AQ26" s="20">
        <f t="shared" ref="AQ26" si="828">+AQ25-AQ24</f>
        <v>-11758.750000000004</v>
      </c>
      <c r="AR26" s="20">
        <f t="shared" ref="AR26" si="829">+AR25-AR24</f>
        <v>-11758.750000000004</v>
      </c>
      <c r="AS26" s="20">
        <f t="shared" ref="AS26" si="830">+AS25-AS24</f>
        <v>-11758.750000000004</v>
      </c>
      <c r="AT26" s="20">
        <f t="shared" ref="AT26" si="831">+AT25-AT24</f>
        <v>-11758.750000000004</v>
      </c>
      <c r="AU26" s="20">
        <f t="shared" ref="AU26" si="832">+AU25-AU24</f>
        <v>-11758.750000000004</v>
      </c>
      <c r="AV26" s="20">
        <f t="shared" ref="AV26" si="833">+AV25-AV24</f>
        <v>-11758.750000000004</v>
      </c>
      <c r="AW26" s="20">
        <f t="shared" ref="AW26" si="834">+AW25-AW24</f>
        <v>-11758.750000000004</v>
      </c>
      <c r="AX26" s="20">
        <f t="shared" ref="AX26" si="835">+AX25-AX24</f>
        <v>-11758.750000000004</v>
      </c>
      <c r="AY26" s="20">
        <f t="shared" ref="AY26" si="836">+AY25-AY24</f>
        <v>-11758.750000000004</v>
      </c>
      <c r="AZ26" s="21">
        <f t="shared" ref="AZ26" si="837">+AZ25-AZ24</f>
        <v>-161386.79</v>
      </c>
      <c r="BA26" s="19">
        <f t="shared" ref="BA26" si="838">+BA25-BA24</f>
        <v>-12251.333333333336</v>
      </c>
      <c r="BB26" s="20">
        <f t="shared" ref="BB26" si="839">+BB25-BB24</f>
        <v>-12251.333333333336</v>
      </c>
      <c r="BC26" s="20">
        <f t="shared" ref="BC26" si="840">+BC25-BC24</f>
        <v>-12251.333333333336</v>
      </c>
      <c r="BD26" s="20">
        <f t="shared" ref="BD26" si="841">+BD25-BD24</f>
        <v>-12251.333333333336</v>
      </c>
      <c r="BE26" s="20">
        <f t="shared" ref="BE26" si="842">+BE25-BE24</f>
        <v>-12251.333333333336</v>
      </c>
      <c r="BF26" s="20">
        <f t="shared" ref="BF26" si="843">+BF25-BF24</f>
        <v>-12251.333333333336</v>
      </c>
      <c r="BG26" s="20">
        <f t="shared" ref="BG26" si="844">+BG25-BG24</f>
        <v>-12251.333333333336</v>
      </c>
      <c r="BH26" s="20">
        <f t="shared" ref="BH26" si="845">+BH25-BH24</f>
        <v>-12251.333333333336</v>
      </c>
      <c r="BI26" s="20">
        <f t="shared" ref="BI26" si="846">+BI25-BI24</f>
        <v>-12251.333333333336</v>
      </c>
      <c r="BJ26" s="20">
        <f t="shared" ref="BJ26" si="847">+BJ25-BJ24</f>
        <v>-12251.333333333336</v>
      </c>
      <c r="BK26" s="20">
        <f t="shared" ref="BK26" si="848">+BK25-BK24</f>
        <v>-12251.333333333336</v>
      </c>
      <c r="BL26" s="21">
        <f t="shared" ref="BL26" si="849">+BL25-BL24</f>
        <v>-143148.31333333335</v>
      </c>
      <c r="BM26" s="19">
        <f t="shared" ref="BM26" si="850">+BM25-BM24</f>
        <v>-14260.166666666668</v>
      </c>
      <c r="BN26" s="20">
        <f t="shared" ref="BN26" si="851">+BN25-BN24</f>
        <v>-14260.166666666668</v>
      </c>
      <c r="BO26" s="20">
        <f t="shared" ref="BO26" si="852">+BO25-BO24</f>
        <v>-14260.166666666668</v>
      </c>
      <c r="BP26" s="20">
        <f t="shared" ref="BP26" si="853">+BP25-BP24</f>
        <v>-14260.166666666668</v>
      </c>
      <c r="BQ26" s="20">
        <f t="shared" ref="BQ26" si="854">+BQ25-BQ24</f>
        <v>-14260.166666666668</v>
      </c>
      <c r="BR26" s="20">
        <f t="shared" ref="BR26" si="855">+BR25-BR24</f>
        <v>-14260.166666666668</v>
      </c>
      <c r="BS26" s="20">
        <f t="shared" ref="BS26" si="856">+BS25-BS24</f>
        <v>-14260.166666666668</v>
      </c>
      <c r="BT26" s="20">
        <f t="shared" ref="BT26" si="857">+BT25-BT24</f>
        <v>-14260.166666666668</v>
      </c>
      <c r="BU26" s="20">
        <f t="shared" ref="BU26" si="858">+BU25-BU24</f>
        <v>-14260.166666666668</v>
      </c>
      <c r="BV26" s="20">
        <f t="shared" ref="BV26" si="859">+BV25-BV24</f>
        <v>-14260.166666666668</v>
      </c>
      <c r="BW26" s="20">
        <f t="shared" ref="BW26" si="860">+BW25-BW24</f>
        <v>-14260.166666666668</v>
      </c>
      <c r="BX26" s="21">
        <f t="shared" ref="BX26" si="861">+BX25-BX24</f>
        <v>-127833.89966666666</v>
      </c>
      <c r="BY26" s="19">
        <f t="shared" ref="BY26" si="862">+BY25-BY24</f>
        <v>-20988.833333333336</v>
      </c>
      <c r="BZ26" s="20">
        <f t="shared" ref="BZ26" si="863">+BZ25-BZ24</f>
        <v>-20988.833333333336</v>
      </c>
      <c r="CA26" s="20">
        <f t="shared" ref="CA26" si="864">+CA25-CA24</f>
        <v>-20988.833333333336</v>
      </c>
      <c r="CB26" s="20">
        <f t="shared" ref="CB26" si="865">+CB25-CB24</f>
        <v>-20988.833333333336</v>
      </c>
      <c r="CC26" s="20">
        <f t="shared" ref="CC26" si="866">+CC25-CC24</f>
        <v>-20988.833333333336</v>
      </c>
      <c r="CD26" s="20">
        <f t="shared" ref="CD26" si="867">+CD25-CD24</f>
        <v>-20988.833333333336</v>
      </c>
      <c r="CE26" s="20">
        <f t="shared" ref="CE26" si="868">+CE25-CE24</f>
        <v>-20988.833333333336</v>
      </c>
      <c r="CF26" s="20">
        <f t="shared" ref="CF26" si="869">+CF25-CF24</f>
        <v>-20988.833333333336</v>
      </c>
      <c r="CG26" s="20">
        <f t="shared" ref="CG26" si="870">+CG25-CG24</f>
        <v>-20988.833333333336</v>
      </c>
      <c r="CH26" s="20">
        <f t="shared" ref="CH26" si="871">+CH25-CH24</f>
        <v>-20988.833333333336</v>
      </c>
      <c r="CI26" s="20">
        <f t="shared" ref="CI26" si="872">+CI25-CI24</f>
        <v>-20988.833333333336</v>
      </c>
      <c r="CJ26" s="21">
        <f t="shared" ref="CJ26:CW26" si="873">+CJ25-CJ24</f>
        <v>-30505.29490833333</v>
      </c>
      <c r="CK26" s="19">
        <f t="shared" si="873"/>
        <v>-19778.833333333336</v>
      </c>
      <c r="CL26" s="20">
        <f t="shared" si="873"/>
        <v>-19778.833333333336</v>
      </c>
      <c r="CM26" s="20">
        <f t="shared" si="873"/>
        <v>-19778.833333333336</v>
      </c>
      <c r="CN26" s="20">
        <f t="shared" si="873"/>
        <v>-19778.833333333336</v>
      </c>
      <c r="CO26" s="20">
        <f t="shared" si="873"/>
        <v>-19778.833333333336</v>
      </c>
      <c r="CP26" s="20">
        <f t="shared" si="873"/>
        <v>-19778.833333333336</v>
      </c>
      <c r="CQ26" s="20">
        <f t="shared" si="873"/>
        <v>-19778.833333333336</v>
      </c>
      <c r="CR26" s="20">
        <f t="shared" si="873"/>
        <v>-19778.833333333336</v>
      </c>
      <c r="CS26" s="20">
        <f t="shared" si="873"/>
        <v>-19778.833333333336</v>
      </c>
      <c r="CT26" s="20">
        <f t="shared" si="873"/>
        <v>-19778.833333333336</v>
      </c>
      <c r="CU26" s="20">
        <f t="shared" si="873"/>
        <v>-19778.833333333336</v>
      </c>
      <c r="CV26" s="21">
        <f t="shared" ref="CV26" si="874">+CV25-CV24</f>
        <v>-50969.953333333331</v>
      </c>
      <c r="CW26" s="21">
        <f t="shared" si="873"/>
        <v>-271538.43819166662</v>
      </c>
    </row>
    <row r="27" spans="2:123" ht="15" x14ac:dyDescent="0.25">
      <c r="B27" s="29"/>
      <c r="C27" s="9" t="s">
        <v>5</v>
      </c>
      <c r="D27" s="19">
        <v>0</v>
      </c>
      <c r="E27" s="19">
        <f>+D27+E26</f>
        <v>-18404.416666666668</v>
      </c>
      <c r="F27" s="20">
        <f t="shared" ref="F27:P27" si="875">+E27+F26</f>
        <v>-36808.833333333336</v>
      </c>
      <c r="G27" s="20">
        <f t="shared" si="875"/>
        <v>-55213.25</v>
      </c>
      <c r="H27" s="20">
        <f t="shared" si="875"/>
        <v>-73617.666666666672</v>
      </c>
      <c r="I27" s="20">
        <f t="shared" si="875"/>
        <v>-92022.083333333343</v>
      </c>
      <c r="J27" s="20">
        <f t="shared" si="875"/>
        <v>-110426.50000000001</v>
      </c>
      <c r="K27" s="20">
        <f t="shared" si="875"/>
        <v>-128830.91666666669</v>
      </c>
      <c r="L27" s="20">
        <f t="shared" si="875"/>
        <v>-147235.33333333334</v>
      </c>
      <c r="M27" s="20">
        <f t="shared" si="875"/>
        <v>-165639.75</v>
      </c>
      <c r="N27" s="20">
        <f t="shared" si="875"/>
        <v>-184044.16666666666</v>
      </c>
      <c r="O27" s="20">
        <f t="shared" si="875"/>
        <v>-202448.58333333331</v>
      </c>
      <c r="P27" s="21">
        <f t="shared" si="875"/>
        <v>-92122.979999999981</v>
      </c>
      <c r="Q27" s="19">
        <f t="shared" ref="Q27" si="876">+P27+Q26</f>
        <v>-107774.22999999998</v>
      </c>
      <c r="R27" s="20">
        <f t="shared" ref="R27" si="877">+Q27+R26</f>
        <v>-123425.47999999998</v>
      </c>
      <c r="S27" s="20">
        <f t="shared" ref="S27" si="878">+R27+S26</f>
        <v>-139076.72999999998</v>
      </c>
      <c r="T27" s="20">
        <f t="shared" ref="T27" si="879">+S27+T26</f>
        <v>-154727.97999999998</v>
      </c>
      <c r="U27" s="20">
        <f t="shared" ref="U27" si="880">+T27+U26</f>
        <v>-170379.22999999998</v>
      </c>
      <c r="V27" s="20">
        <f t="shared" ref="V27" si="881">+U27+V26</f>
        <v>-186030.47999999998</v>
      </c>
      <c r="W27" s="20">
        <f t="shared" ref="W27" si="882">+V27+W26</f>
        <v>-201681.72999999998</v>
      </c>
      <c r="X27" s="20">
        <f t="shared" ref="X27" si="883">+W27+X26</f>
        <v>-217332.97999999998</v>
      </c>
      <c r="Y27" s="20">
        <f t="shared" ref="Y27" si="884">+X27+Y26</f>
        <v>-232984.22999999998</v>
      </c>
      <c r="Z27" s="20">
        <f t="shared" ref="Z27" si="885">+Y27+Z26</f>
        <v>-248635.47999999998</v>
      </c>
      <c r="AA27" s="20">
        <f t="shared" ref="AA27" si="886">+Z27+AA26</f>
        <v>-264286.73</v>
      </c>
      <c r="AB27" s="21">
        <f t="shared" ref="AB27" si="887">+AA27+AB26</f>
        <v>53163.25</v>
      </c>
      <c r="AC27" s="19">
        <f t="shared" ref="AC27" si="888">+AB27+AC26</f>
        <v>-216178.44666666666</v>
      </c>
      <c r="AD27" s="20">
        <f t="shared" ref="AD27" si="889">+AC27+AD26</f>
        <v>-229810.36333333331</v>
      </c>
      <c r="AE27" s="20">
        <f t="shared" ref="AE27" si="890">+AD27+AE26</f>
        <v>-243442.27999999997</v>
      </c>
      <c r="AF27" s="20">
        <f t="shared" ref="AF27" si="891">+AE27+AF26</f>
        <v>-257074.19666666663</v>
      </c>
      <c r="AG27" s="20">
        <f t="shared" ref="AG27" si="892">+AF27+AG26</f>
        <v>-270706.11333333328</v>
      </c>
      <c r="AH27" s="20">
        <f t="shared" ref="AH27" si="893">+AG27+AH26</f>
        <v>-284338.02999999997</v>
      </c>
      <c r="AI27" s="20">
        <f t="shared" ref="AI27" si="894">+AH27+AI26</f>
        <v>-297969.94666666666</v>
      </c>
      <c r="AJ27" s="20">
        <f t="shared" ref="AJ27" si="895">+AI27+AJ26</f>
        <v>-311601.86333333334</v>
      </c>
      <c r="AK27" s="20">
        <f t="shared" ref="AK27" si="896">+AJ27+AK26</f>
        <v>-325233.78000000003</v>
      </c>
      <c r="AL27" s="20">
        <f t="shared" ref="AL27" si="897">+AK27+AL26</f>
        <v>-338865.69666666671</v>
      </c>
      <c r="AM27" s="20">
        <f t="shared" ref="AM27" si="898">+AL27+AM26</f>
        <v>-352497.6133333334</v>
      </c>
      <c r="AN27" s="21">
        <f t="shared" ref="AN27" si="899">+AM27+AN26</f>
        <v>-372850.38000000006</v>
      </c>
      <c r="AO27" s="19">
        <f t="shared" ref="AO27" si="900">+AN27+AO26</f>
        <v>-384609.13000000006</v>
      </c>
      <c r="AP27" s="20">
        <f t="shared" ref="AP27" si="901">+AO27+AP26</f>
        <v>-396367.88000000006</v>
      </c>
      <c r="AQ27" s="20">
        <f t="shared" ref="AQ27" si="902">+AP27+AQ26</f>
        <v>-408126.63000000006</v>
      </c>
      <c r="AR27" s="20">
        <f t="shared" ref="AR27" si="903">+AQ27+AR26</f>
        <v>-419885.38000000006</v>
      </c>
      <c r="AS27" s="20">
        <f t="shared" ref="AS27" si="904">+AR27+AS26</f>
        <v>-431644.13000000006</v>
      </c>
      <c r="AT27" s="20">
        <f t="shared" ref="AT27" si="905">+AS27+AT26</f>
        <v>-443402.88000000006</v>
      </c>
      <c r="AU27" s="20">
        <f t="shared" ref="AU27" si="906">+AT27+AU26</f>
        <v>-455161.63000000006</v>
      </c>
      <c r="AV27" s="20">
        <f t="shared" ref="AV27" si="907">+AU27+AV26</f>
        <v>-466920.38000000006</v>
      </c>
      <c r="AW27" s="20">
        <f t="shared" ref="AW27" si="908">+AV27+AW26</f>
        <v>-478679.13000000006</v>
      </c>
      <c r="AX27" s="20">
        <f t="shared" ref="AX27" si="909">+AW27+AX26</f>
        <v>-490437.88000000006</v>
      </c>
      <c r="AY27" s="20">
        <f t="shared" ref="AY27" si="910">+AX27+AY26</f>
        <v>-502196.63000000006</v>
      </c>
      <c r="AZ27" s="21">
        <f t="shared" ref="AZ27" si="911">+AY27+AZ26</f>
        <v>-663583.42000000004</v>
      </c>
      <c r="BA27" s="19">
        <f t="shared" ref="BA27" si="912">+AZ27+BA26</f>
        <v>-675834.75333333341</v>
      </c>
      <c r="BB27" s="20">
        <f t="shared" ref="BB27" si="913">+BA27+BB26</f>
        <v>-688086.08666666679</v>
      </c>
      <c r="BC27" s="20">
        <f t="shared" ref="BC27" si="914">+BB27+BC26</f>
        <v>-700337.42000000016</v>
      </c>
      <c r="BD27" s="20">
        <f t="shared" ref="BD27" si="915">+BC27+BD26</f>
        <v>-712588.75333333353</v>
      </c>
      <c r="BE27" s="20">
        <f t="shared" ref="BE27" si="916">+BD27+BE26</f>
        <v>-724840.0866666669</v>
      </c>
      <c r="BF27" s="20">
        <f t="shared" ref="BF27" si="917">+BE27+BF26</f>
        <v>-737091.42000000027</v>
      </c>
      <c r="BG27" s="20">
        <f t="shared" ref="BG27" si="918">+BF27+BG26</f>
        <v>-749342.75333333365</v>
      </c>
      <c r="BH27" s="20">
        <f t="shared" ref="BH27" si="919">+BG27+BH26</f>
        <v>-761594.08666666702</v>
      </c>
      <c r="BI27" s="20">
        <f t="shared" ref="BI27" si="920">+BH27+BI26</f>
        <v>-773845.42000000039</v>
      </c>
      <c r="BJ27" s="20">
        <f t="shared" ref="BJ27" si="921">+BI27+BJ26</f>
        <v>-786096.75333333376</v>
      </c>
      <c r="BK27" s="20">
        <f t="shared" ref="BK27" si="922">+BJ27+BK26</f>
        <v>-798348.08666666714</v>
      </c>
      <c r="BL27" s="21">
        <f t="shared" ref="BL27" si="923">+BK27+BL26</f>
        <v>-941496.40000000049</v>
      </c>
      <c r="BM27" s="19">
        <f t="shared" ref="BM27" si="924">+BL27+BM26</f>
        <v>-955756.56666666712</v>
      </c>
      <c r="BN27" s="20">
        <f t="shared" ref="BN27" si="925">+BM27+BN26</f>
        <v>-970016.73333333374</v>
      </c>
      <c r="BO27" s="20">
        <f t="shared" ref="BO27" si="926">+BN27+BO26</f>
        <v>-984276.90000000037</v>
      </c>
      <c r="BP27" s="20">
        <f t="shared" ref="BP27" si="927">+BO27+BP26</f>
        <v>-998537.066666667</v>
      </c>
      <c r="BQ27" s="20">
        <f t="shared" ref="BQ27" si="928">+BP27+BQ26</f>
        <v>-1012797.2333333336</v>
      </c>
      <c r="BR27" s="20">
        <f t="shared" ref="BR27" si="929">+BQ27+BR26</f>
        <v>-1027057.4000000003</v>
      </c>
      <c r="BS27" s="20">
        <f t="shared" ref="BS27" si="930">+BR27+BS26</f>
        <v>-1041317.5666666669</v>
      </c>
      <c r="BT27" s="20">
        <f t="shared" ref="BT27" si="931">+BS27+BT26</f>
        <v>-1055577.7333333336</v>
      </c>
      <c r="BU27" s="20">
        <f t="shared" ref="BU27" si="932">+BT27+BU26</f>
        <v>-1069837.9000000004</v>
      </c>
      <c r="BV27" s="20">
        <f t="shared" ref="BV27" si="933">+BU27+BV26</f>
        <v>-1084098.0666666671</v>
      </c>
      <c r="BW27" s="20">
        <f t="shared" ref="BW27" si="934">+BV27+BW26</f>
        <v>-1098358.2333333339</v>
      </c>
      <c r="BX27" s="21">
        <f t="shared" ref="BX27" si="935">+BW27+BX26</f>
        <v>-1226192.1330000006</v>
      </c>
      <c r="BY27" s="19">
        <f t="shared" ref="BY27" si="936">+BX27+BY26</f>
        <v>-1247180.9663333339</v>
      </c>
      <c r="BZ27" s="20">
        <f t="shared" ref="BZ27" si="937">+BY27+BZ26</f>
        <v>-1268169.7996666671</v>
      </c>
      <c r="CA27" s="20">
        <f t="shared" ref="CA27" si="938">+BZ27+CA26</f>
        <v>-1289158.6330000004</v>
      </c>
      <c r="CB27" s="20">
        <f t="shared" ref="CB27" si="939">+CA27+CB26</f>
        <v>-1310147.4663333336</v>
      </c>
      <c r="CC27" s="20">
        <f t="shared" ref="CC27" si="940">+CB27+CC26</f>
        <v>-1331136.2996666669</v>
      </c>
      <c r="CD27" s="20">
        <f t="shared" ref="CD27" si="941">+CC27+CD26</f>
        <v>-1352125.1330000001</v>
      </c>
      <c r="CE27" s="20">
        <f t="shared" ref="CE27" si="942">+CD27+CE26</f>
        <v>-1373113.9663333334</v>
      </c>
      <c r="CF27" s="20">
        <f t="shared" ref="CF27" si="943">+CE27+CF26</f>
        <v>-1394102.7996666667</v>
      </c>
      <c r="CG27" s="20">
        <f t="shared" ref="CG27" si="944">+CF27+CG26</f>
        <v>-1415091.6329999999</v>
      </c>
      <c r="CH27" s="20">
        <f t="shared" ref="CH27" si="945">+CG27+CH26</f>
        <v>-1436080.4663333332</v>
      </c>
      <c r="CI27" s="20">
        <f t="shared" ref="CI27" si="946">+CH27+CI26</f>
        <v>-1457069.2996666664</v>
      </c>
      <c r="CJ27" s="21">
        <f t="shared" ref="CJ27" si="947">+CI27+CJ26</f>
        <v>-1487574.5945749998</v>
      </c>
      <c r="CK27" s="19">
        <f t="shared" ref="CK27" si="948">+CJ27+CK26</f>
        <v>-1507353.427908333</v>
      </c>
      <c r="CL27" s="20">
        <f t="shared" ref="CL27" si="949">+CK27+CL26</f>
        <v>-1527132.2612416663</v>
      </c>
      <c r="CM27" s="20">
        <f t="shared" ref="CM27" si="950">+CL27+CM26</f>
        <v>-1546911.0945749995</v>
      </c>
      <c r="CN27" s="20">
        <f t="shared" ref="CN27" si="951">+CM27+CN26</f>
        <v>-1566689.9279083328</v>
      </c>
      <c r="CO27" s="20">
        <f t="shared" ref="CO27" si="952">+CN27+CO26</f>
        <v>-1586468.761241666</v>
      </c>
      <c r="CP27" s="20">
        <f t="shared" ref="CP27" si="953">+CO27+CP26</f>
        <v>-1606247.5945749993</v>
      </c>
      <c r="CQ27" s="20">
        <f t="shared" ref="CQ27" si="954">+CP27+CQ26</f>
        <v>-1626026.4279083326</v>
      </c>
      <c r="CR27" s="20">
        <f t="shared" ref="CR27" si="955">+CQ27+CR26</f>
        <v>-1645805.2612416658</v>
      </c>
      <c r="CS27" s="20">
        <f t="shared" ref="CS27" si="956">+CR27+CS26</f>
        <v>-1665584.0945749991</v>
      </c>
      <c r="CT27" s="20">
        <f t="shared" ref="CT27" si="957">+CS27+CT26</f>
        <v>-1685362.9279083323</v>
      </c>
      <c r="CU27" s="20">
        <f t="shared" ref="CU27" si="958">+CT27+CU26</f>
        <v>-1705141.7612416656</v>
      </c>
      <c r="CV27" s="21">
        <f t="shared" ref="CV27" si="959">+CU27+CV26</f>
        <v>-1756111.7145749989</v>
      </c>
      <c r="CW27" s="21">
        <f>+CV27+CW26</f>
        <v>-2027650.1527666654</v>
      </c>
    </row>
    <row r="28" spans="2:123" ht="15" x14ac:dyDescent="0.25">
      <c r="B28" s="29"/>
      <c r="C28" s="9" t="s">
        <v>6</v>
      </c>
      <c r="D28" s="19"/>
      <c r="E28" s="19">
        <f t="shared" ref="E28:AJ28" si="960">+D27*E$33/12</f>
        <v>0</v>
      </c>
      <c r="F28" s="20">
        <f t="shared" si="960"/>
        <v>-45.857671527777789</v>
      </c>
      <c r="G28" s="20">
        <f t="shared" si="960"/>
        <v>-91.715343055555579</v>
      </c>
      <c r="H28" s="20">
        <f t="shared" si="960"/>
        <v>-154.13698958333336</v>
      </c>
      <c r="I28" s="20">
        <f t="shared" si="960"/>
        <v>-205.51598611111115</v>
      </c>
      <c r="J28" s="20">
        <f t="shared" si="960"/>
        <v>-256.89498263888896</v>
      </c>
      <c r="K28" s="20">
        <f t="shared" si="960"/>
        <v>-308.27397916666672</v>
      </c>
      <c r="L28" s="20">
        <f t="shared" si="960"/>
        <v>-359.65297569444448</v>
      </c>
      <c r="M28" s="20">
        <f t="shared" si="960"/>
        <v>-411.03197222222229</v>
      </c>
      <c r="N28" s="20">
        <f t="shared" si="960"/>
        <v>-462.41096874999999</v>
      </c>
      <c r="O28" s="20">
        <f t="shared" si="960"/>
        <v>-513.78996527777781</v>
      </c>
      <c r="P28" s="21">
        <f t="shared" si="960"/>
        <v>-565.16896180555557</v>
      </c>
      <c r="Q28" s="19">
        <f t="shared" si="960"/>
        <v>-293.25815299999994</v>
      </c>
      <c r="R28" s="20">
        <f t="shared" si="960"/>
        <v>-343.08129883333322</v>
      </c>
      <c r="S28" s="20">
        <f t="shared" si="960"/>
        <v>-392.90444466666662</v>
      </c>
      <c r="T28" s="20">
        <f t="shared" si="960"/>
        <v>-392.89176225</v>
      </c>
      <c r="U28" s="20">
        <f t="shared" si="960"/>
        <v>-437.10654349999999</v>
      </c>
      <c r="V28" s="20">
        <f t="shared" si="960"/>
        <v>-481.32132474999997</v>
      </c>
      <c r="W28" s="20">
        <f t="shared" si="960"/>
        <v>-446.47315199999997</v>
      </c>
      <c r="X28" s="20">
        <f t="shared" si="960"/>
        <v>-484.03615199999996</v>
      </c>
      <c r="Y28" s="20">
        <f t="shared" si="960"/>
        <v>-521.59915199999989</v>
      </c>
      <c r="Z28" s="20">
        <f t="shared" si="960"/>
        <v>-559.16215199999999</v>
      </c>
      <c r="AA28" s="20">
        <f t="shared" si="960"/>
        <v>-596.72515199999987</v>
      </c>
      <c r="AB28" s="21">
        <f t="shared" si="960"/>
        <v>-634.28815199999997</v>
      </c>
      <c r="AC28" s="19">
        <f t="shared" si="960"/>
        <v>127.59179999999999</v>
      </c>
      <c r="AD28" s="20">
        <f t="shared" si="960"/>
        <v>-518.82827199999997</v>
      </c>
      <c r="AE28" s="20">
        <f t="shared" si="960"/>
        <v>-551.54487199999994</v>
      </c>
      <c r="AF28" s="20">
        <f t="shared" si="960"/>
        <v>-503.11404533333325</v>
      </c>
      <c r="AG28" s="20">
        <f t="shared" si="960"/>
        <v>-531.28667311111099</v>
      </c>
      <c r="AH28" s="20">
        <f t="shared" si="960"/>
        <v>-559.45930088888883</v>
      </c>
      <c r="AI28" s="20">
        <f t="shared" si="960"/>
        <v>-587.63192866666657</v>
      </c>
      <c r="AJ28" s="20">
        <f t="shared" si="960"/>
        <v>-615.80455644444442</v>
      </c>
      <c r="AK28" s="20">
        <f t="shared" ref="AK28:BP28" si="961">+AJ27*AK$33/12</f>
        <v>-643.97718422222226</v>
      </c>
      <c r="AL28" s="20">
        <f t="shared" si="961"/>
        <v>-550.18714450000004</v>
      </c>
      <c r="AM28" s="20">
        <f t="shared" si="961"/>
        <v>-573.24780352777782</v>
      </c>
      <c r="AN28" s="21">
        <f t="shared" si="961"/>
        <v>-596.30846255555559</v>
      </c>
      <c r="AO28" s="19">
        <f t="shared" si="961"/>
        <v>-630.73855950000006</v>
      </c>
      <c r="AP28" s="20">
        <f t="shared" si="961"/>
        <v>-650.63044491666676</v>
      </c>
      <c r="AQ28" s="20">
        <f t="shared" si="961"/>
        <v>-670.52233033333334</v>
      </c>
      <c r="AR28" s="20">
        <f t="shared" si="961"/>
        <v>-778.84165225000015</v>
      </c>
      <c r="AS28" s="20">
        <f t="shared" si="961"/>
        <v>-801.28126683333346</v>
      </c>
      <c r="AT28" s="20">
        <f t="shared" si="961"/>
        <v>-823.72088141666688</v>
      </c>
      <c r="AU28" s="20">
        <f t="shared" si="961"/>
        <v>-846.16049600000008</v>
      </c>
      <c r="AV28" s="20">
        <f t="shared" si="961"/>
        <v>-868.60011058333339</v>
      </c>
      <c r="AW28" s="20">
        <f t="shared" si="961"/>
        <v>-891.03972516666681</v>
      </c>
      <c r="AX28" s="20">
        <f t="shared" si="961"/>
        <v>-913.47933975000012</v>
      </c>
      <c r="AY28" s="20">
        <f t="shared" si="961"/>
        <v>-935.91895433333355</v>
      </c>
      <c r="AZ28" s="21">
        <f t="shared" si="961"/>
        <v>-958.35856891666674</v>
      </c>
      <c r="BA28" s="19">
        <f t="shared" si="961"/>
        <v>-1504.1224186666668</v>
      </c>
      <c r="BB28" s="20">
        <f t="shared" si="961"/>
        <v>-1531.8921075555556</v>
      </c>
      <c r="BC28" s="20">
        <f t="shared" si="961"/>
        <v>-1559.6617964444449</v>
      </c>
      <c r="BD28" s="20">
        <f t="shared" si="961"/>
        <v>-1931.7640501666672</v>
      </c>
      <c r="BE28" s="20">
        <f t="shared" si="961"/>
        <v>-1965.5573112777781</v>
      </c>
      <c r="BF28" s="20">
        <f t="shared" si="961"/>
        <v>-1999.3505723888893</v>
      </c>
      <c r="BG28" s="20">
        <f t="shared" si="961"/>
        <v>-2862.371681000001</v>
      </c>
      <c r="BH28" s="20">
        <f t="shared" si="961"/>
        <v>-2909.9476921111127</v>
      </c>
      <c r="BI28" s="20">
        <f t="shared" si="961"/>
        <v>-2957.5237032222235</v>
      </c>
      <c r="BJ28" s="20">
        <f t="shared" si="961"/>
        <v>-3230.8046285000014</v>
      </c>
      <c r="BK28" s="20">
        <f t="shared" si="961"/>
        <v>-3281.9539451666683</v>
      </c>
      <c r="BL28" s="21">
        <f t="shared" si="961"/>
        <v>-3333.1032618333352</v>
      </c>
      <c r="BM28" s="19">
        <f t="shared" si="961"/>
        <v>-3930.7474700000021</v>
      </c>
      <c r="BN28" s="20">
        <f t="shared" si="961"/>
        <v>-3990.2836658333349</v>
      </c>
      <c r="BO28" s="20">
        <f t="shared" si="961"/>
        <v>-4049.8198616666682</v>
      </c>
      <c r="BP28" s="20">
        <f t="shared" si="961"/>
        <v>-4109.356057500002</v>
      </c>
      <c r="BQ28" s="20">
        <f t="shared" ref="BQ28:CJ28" si="962">+BP27*BQ$33/12</f>
        <v>-4168.8922533333343</v>
      </c>
      <c r="BR28" s="20">
        <f t="shared" si="962"/>
        <v>-4228.4284491666676</v>
      </c>
      <c r="BS28" s="20">
        <f t="shared" si="962"/>
        <v>-4287.9646450000009</v>
      </c>
      <c r="BT28" s="20">
        <f t="shared" si="962"/>
        <v>-4347.5008408333342</v>
      </c>
      <c r="BU28" s="20">
        <f t="shared" si="962"/>
        <v>-4407.0370366666675</v>
      </c>
      <c r="BV28" s="20">
        <f t="shared" si="962"/>
        <v>-4885.5930766666688</v>
      </c>
      <c r="BW28" s="20">
        <f t="shared" si="962"/>
        <v>-4950.7145044444469</v>
      </c>
      <c r="BX28" s="21">
        <f t="shared" si="962"/>
        <v>-5015.835932222225</v>
      </c>
      <c r="BY28" s="19">
        <f t="shared" si="962"/>
        <v>-5599.6107407000027</v>
      </c>
      <c r="BZ28" s="20">
        <f t="shared" si="962"/>
        <v>-5695.4597462555585</v>
      </c>
      <c r="CA28" s="20">
        <f t="shared" si="962"/>
        <v>-5791.3087518111133</v>
      </c>
      <c r="CB28" s="20">
        <f t="shared" si="962"/>
        <v>-5350.0083269500019</v>
      </c>
      <c r="CC28" s="20">
        <f t="shared" si="962"/>
        <v>-5437.1119852833353</v>
      </c>
      <c r="CD28" s="20">
        <f t="shared" si="962"/>
        <v>-5524.2156436166688</v>
      </c>
      <c r="CE28" s="20">
        <f t="shared" si="962"/>
        <v>-5611.3193019500004</v>
      </c>
      <c r="CF28" s="20">
        <f t="shared" si="962"/>
        <v>-5698.4229602833339</v>
      </c>
      <c r="CG28" s="20">
        <f t="shared" si="962"/>
        <v>-5785.5266186166673</v>
      </c>
      <c r="CH28" s="20">
        <f t="shared" si="962"/>
        <v>-5365.5557751249989</v>
      </c>
      <c r="CI28" s="20">
        <f t="shared" si="962"/>
        <v>-5445.1384348472211</v>
      </c>
      <c r="CJ28" s="21">
        <f t="shared" si="962"/>
        <v>-5524.7210945694433</v>
      </c>
      <c r="CK28" s="19">
        <f t="shared" ref="CK28" si="963">+CJ27*CK$33/12</f>
        <v>-5243.7004458768743</v>
      </c>
      <c r="CL28" s="20">
        <f t="shared" ref="CL28" si="964">+CK27*CL$33/12</f>
        <v>-5313.4208333768747</v>
      </c>
      <c r="CM28" s="20">
        <f t="shared" ref="CM28" si="965">+CL27*CM$33/12</f>
        <v>-5383.1412208768743</v>
      </c>
      <c r="CN28" s="20">
        <f t="shared" ref="CN28" si="966">+CM27*CN$33/12</f>
        <v>-5452.8616083768738</v>
      </c>
      <c r="CO28" s="20">
        <f t="shared" ref="CO28" si="967">+CN27*CO$33/12</f>
        <v>-5522.5819958768734</v>
      </c>
      <c r="CP28" s="20">
        <f t="shared" ref="CP28" si="968">+CO27*CP$33/12</f>
        <v>-5592.3023833768739</v>
      </c>
      <c r="CQ28" s="20">
        <f t="shared" ref="CQ28" si="969">+CP27*CQ$33/12</f>
        <v>-5662.0227708768725</v>
      </c>
      <c r="CR28" s="20">
        <f t="shared" ref="CR28" si="970">+CQ27*CR$33/12</f>
        <v>-5731.743158376873</v>
      </c>
      <c r="CS28" s="20">
        <f t="shared" ref="CS28" si="971">+CR27*CS$33/12</f>
        <v>-5801.4635458768726</v>
      </c>
      <c r="CT28" s="20">
        <f t="shared" ref="CT28" si="972">+CS27*CT$33/12</f>
        <v>-5871.1839333768721</v>
      </c>
      <c r="CU28" s="20">
        <f t="shared" ref="CU28" si="973">+CT27*CU$33/12</f>
        <v>-5940.9043208768717</v>
      </c>
      <c r="CV28" s="21">
        <f t="shared" ref="CV28" si="974">+CU27*CV$33/12</f>
        <v>-6010.6247083768721</v>
      </c>
      <c r="CW28" s="21">
        <f>+CW27*CW$33</f>
        <v>-85769.601462029954</v>
      </c>
      <c r="CX28" s="20"/>
    </row>
    <row r="29" spans="2:123" ht="15" x14ac:dyDescent="0.25">
      <c r="B29" s="29"/>
      <c r="C29" s="22" t="s">
        <v>7</v>
      </c>
      <c r="D29" s="23">
        <v>0</v>
      </c>
      <c r="E29" s="23">
        <f>+D29+E28</f>
        <v>0</v>
      </c>
      <c r="F29" s="24">
        <f t="shared" ref="F29:P29" si="975">+E29+F28</f>
        <v>-45.857671527777789</v>
      </c>
      <c r="G29" s="24">
        <f t="shared" si="975"/>
        <v>-137.57301458333336</v>
      </c>
      <c r="H29" s="24">
        <f t="shared" si="975"/>
        <v>-291.71000416666675</v>
      </c>
      <c r="I29" s="24">
        <f t="shared" si="975"/>
        <v>-497.2259902777779</v>
      </c>
      <c r="J29" s="24">
        <f t="shared" si="975"/>
        <v>-754.12097291666691</v>
      </c>
      <c r="K29" s="24">
        <f t="shared" si="975"/>
        <v>-1062.3949520833337</v>
      </c>
      <c r="L29" s="24">
        <f t="shared" si="975"/>
        <v>-1422.0479277777781</v>
      </c>
      <c r="M29" s="24">
        <f t="shared" si="975"/>
        <v>-1833.0799000000004</v>
      </c>
      <c r="N29" s="24">
        <f t="shared" si="975"/>
        <v>-2295.4908687500006</v>
      </c>
      <c r="O29" s="24">
        <f t="shared" si="975"/>
        <v>-2809.2808340277784</v>
      </c>
      <c r="P29" s="25">
        <f t="shared" si="975"/>
        <v>-3374.4497958333341</v>
      </c>
      <c r="Q29" s="23">
        <f t="shared" ref="Q29" si="976">+P29+Q28</f>
        <v>-3667.7079488333338</v>
      </c>
      <c r="R29" s="24">
        <f t="shared" ref="R29" si="977">+Q29+R28</f>
        <v>-4010.7892476666671</v>
      </c>
      <c r="S29" s="24">
        <f t="shared" ref="S29" si="978">+R29+S28</f>
        <v>-4403.6936923333333</v>
      </c>
      <c r="T29" s="24">
        <f t="shared" ref="T29" si="979">+S29+T28</f>
        <v>-4796.5854545833336</v>
      </c>
      <c r="U29" s="24">
        <f t="shared" ref="U29" si="980">+T29+U28</f>
        <v>-5233.6919980833336</v>
      </c>
      <c r="V29" s="24">
        <f t="shared" ref="V29" si="981">+U29+V28</f>
        <v>-5715.0133228333334</v>
      </c>
      <c r="W29" s="24">
        <f t="shared" ref="W29" si="982">+V29+W28</f>
        <v>-6161.486474833333</v>
      </c>
      <c r="X29" s="24">
        <f t="shared" ref="X29" si="983">+W29+X28</f>
        <v>-6645.5226268333327</v>
      </c>
      <c r="Y29" s="24">
        <f t="shared" ref="Y29" si="984">+X29+Y28</f>
        <v>-7167.1217788333324</v>
      </c>
      <c r="Z29" s="24">
        <f t="shared" ref="Z29" si="985">+Y29+Z28</f>
        <v>-7726.2839308333323</v>
      </c>
      <c r="AA29" s="24">
        <f t="shared" ref="AA29" si="986">+Z29+AA28</f>
        <v>-8323.0090828333323</v>
      </c>
      <c r="AB29" s="25">
        <f t="shared" ref="AB29" si="987">+AA29+AB28</f>
        <v>-8957.2972348333315</v>
      </c>
      <c r="AC29" s="23">
        <f t="shared" ref="AC29" si="988">+AB29+AC28</f>
        <v>-8829.7054348333313</v>
      </c>
      <c r="AD29" s="24">
        <f t="shared" ref="AD29" si="989">+AC29+AD28</f>
        <v>-9348.533706833332</v>
      </c>
      <c r="AE29" s="24">
        <f t="shared" ref="AE29" si="990">+AD29+AE28</f>
        <v>-9900.0785788333324</v>
      </c>
      <c r="AF29" s="24">
        <f t="shared" ref="AF29" si="991">+AE29+AF28</f>
        <v>-10403.192624166666</v>
      </c>
      <c r="AG29" s="24">
        <f t="shared" ref="AG29" si="992">+AF29+AG28</f>
        <v>-10934.479297277778</v>
      </c>
      <c r="AH29" s="24">
        <f t="shared" ref="AH29" si="993">+AG29+AH28</f>
        <v>-11493.938598166667</v>
      </c>
      <c r="AI29" s="24">
        <f t="shared" ref="AI29" si="994">+AH29+AI28</f>
        <v>-12081.570526833333</v>
      </c>
      <c r="AJ29" s="24">
        <f t="shared" ref="AJ29" si="995">+AI29+AJ28</f>
        <v>-12697.375083277777</v>
      </c>
      <c r="AK29" s="24">
        <f t="shared" ref="AK29" si="996">+AJ29+AK28</f>
        <v>-13341.352267499999</v>
      </c>
      <c r="AL29" s="24">
        <f t="shared" ref="AL29" si="997">+AK29+AL28</f>
        <v>-13891.539411999998</v>
      </c>
      <c r="AM29" s="24">
        <f t="shared" ref="AM29" si="998">+AL29+AM28</f>
        <v>-14464.787215527776</v>
      </c>
      <c r="AN29" s="25">
        <f t="shared" ref="AN29" si="999">+AM29+AN28</f>
        <v>-15061.095678083331</v>
      </c>
      <c r="AO29" s="23">
        <f t="shared" ref="AO29" si="1000">+AN29+AO28</f>
        <v>-15691.834237583331</v>
      </c>
      <c r="AP29" s="24">
        <f t="shared" ref="AP29" si="1001">+AO29+AP28</f>
        <v>-16342.464682499998</v>
      </c>
      <c r="AQ29" s="24">
        <f t="shared" ref="AQ29" si="1002">+AP29+AQ28</f>
        <v>-17012.987012833331</v>
      </c>
      <c r="AR29" s="24">
        <f t="shared" ref="AR29" si="1003">+AQ29+AR28</f>
        <v>-17791.828665083332</v>
      </c>
      <c r="AS29" s="24">
        <f t="shared" ref="AS29" si="1004">+AR29+AS28</f>
        <v>-18593.109931916664</v>
      </c>
      <c r="AT29" s="24">
        <f t="shared" ref="AT29" si="1005">+AS29+AT28</f>
        <v>-19416.83081333333</v>
      </c>
      <c r="AU29" s="24">
        <f t="shared" ref="AU29" si="1006">+AT29+AU28</f>
        <v>-20262.991309333331</v>
      </c>
      <c r="AV29" s="24">
        <f t="shared" ref="AV29" si="1007">+AU29+AV28</f>
        <v>-21131.591419916665</v>
      </c>
      <c r="AW29" s="24">
        <f t="shared" ref="AW29" si="1008">+AV29+AW28</f>
        <v>-22022.631145083331</v>
      </c>
      <c r="AX29" s="24">
        <f t="shared" ref="AX29" si="1009">+AW29+AX28</f>
        <v>-22936.110484833331</v>
      </c>
      <c r="AY29" s="24">
        <f t="shared" ref="AY29" si="1010">+AX29+AY28</f>
        <v>-23872.029439166665</v>
      </c>
      <c r="AZ29" s="25">
        <f t="shared" ref="AZ29" si="1011">+AY29+AZ28</f>
        <v>-24830.388008083333</v>
      </c>
      <c r="BA29" s="23">
        <f t="shared" ref="BA29" si="1012">+AZ29+BA28</f>
        <v>-26334.510426749999</v>
      </c>
      <c r="BB29" s="24">
        <f t="shared" ref="BB29" si="1013">+BA29+BB28</f>
        <v>-27866.402534305555</v>
      </c>
      <c r="BC29" s="24">
        <f t="shared" ref="BC29" si="1014">+BB29+BC28</f>
        <v>-29426.064330749999</v>
      </c>
      <c r="BD29" s="24">
        <f t="shared" ref="BD29" si="1015">+BC29+BD28</f>
        <v>-31357.828380916668</v>
      </c>
      <c r="BE29" s="24">
        <f t="shared" ref="BE29" si="1016">+BD29+BE28</f>
        <v>-33323.385692194446</v>
      </c>
      <c r="BF29" s="24">
        <f t="shared" ref="BF29" si="1017">+BE29+BF28</f>
        <v>-35322.736264583335</v>
      </c>
      <c r="BG29" s="24">
        <f t="shared" ref="BG29" si="1018">+BF29+BG28</f>
        <v>-38185.107945583339</v>
      </c>
      <c r="BH29" s="24">
        <f t="shared" ref="BH29" si="1019">+BG29+BH28</f>
        <v>-41095.055637694451</v>
      </c>
      <c r="BI29" s="24">
        <f t="shared" ref="BI29" si="1020">+BH29+BI28</f>
        <v>-44052.579340916673</v>
      </c>
      <c r="BJ29" s="24">
        <f t="shared" ref="BJ29" si="1021">+BI29+BJ28</f>
        <v>-47283.383969416675</v>
      </c>
      <c r="BK29" s="24">
        <f t="shared" ref="BK29" si="1022">+BJ29+BK28</f>
        <v>-50565.337914583346</v>
      </c>
      <c r="BL29" s="25">
        <f t="shared" ref="BL29" si="1023">+BK29+BL28</f>
        <v>-53898.44117641668</v>
      </c>
      <c r="BM29" s="23">
        <f t="shared" ref="BM29" si="1024">+BL29+BM28</f>
        <v>-57829.188646416682</v>
      </c>
      <c r="BN29" s="24">
        <f t="shared" ref="BN29" si="1025">+BM29+BN28</f>
        <v>-61819.472312250015</v>
      </c>
      <c r="BO29" s="24">
        <f t="shared" ref="BO29" si="1026">+BN29+BO28</f>
        <v>-65869.292173916678</v>
      </c>
      <c r="BP29" s="24">
        <f t="shared" ref="BP29" si="1027">+BO29+BP28</f>
        <v>-69978.648231416679</v>
      </c>
      <c r="BQ29" s="24">
        <f t="shared" ref="BQ29" si="1028">+BP29+BQ28</f>
        <v>-74147.540484750018</v>
      </c>
      <c r="BR29" s="24">
        <f t="shared" ref="BR29" si="1029">+BQ29+BR28</f>
        <v>-78375.96893391668</v>
      </c>
      <c r="BS29" s="24">
        <f t="shared" ref="BS29" si="1030">+BR29+BS28</f>
        <v>-82663.93357891668</v>
      </c>
      <c r="BT29" s="24">
        <f t="shared" ref="BT29" si="1031">+BS29+BT28</f>
        <v>-87011.434419750018</v>
      </c>
      <c r="BU29" s="24">
        <f t="shared" ref="BU29" si="1032">+BT29+BU28</f>
        <v>-91418.471456416679</v>
      </c>
      <c r="BV29" s="24">
        <f t="shared" ref="BV29" si="1033">+BU29+BV28</f>
        <v>-96304.06453308335</v>
      </c>
      <c r="BW29" s="24">
        <f t="shared" ref="BW29" si="1034">+BV29+BW28</f>
        <v>-101254.7790375278</v>
      </c>
      <c r="BX29" s="25">
        <f t="shared" ref="BX29" si="1035">+BW29+BX28</f>
        <v>-106270.61496975002</v>
      </c>
      <c r="BY29" s="23">
        <f t="shared" ref="BY29" si="1036">+BX29+BY28</f>
        <v>-111870.22571045003</v>
      </c>
      <c r="BZ29" s="24">
        <f t="shared" ref="BZ29" si="1037">+BY29+BZ28</f>
        <v>-117565.68545670559</v>
      </c>
      <c r="CA29" s="24">
        <f t="shared" ref="CA29" si="1038">+BZ29+CA28</f>
        <v>-123356.9942085167</v>
      </c>
      <c r="CB29" s="24">
        <f t="shared" ref="CB29" si="1039">+CA29+CB28</f>
        <v>-128707.0025354667</v>
      </c>
      <c r="CC29" s="24">
        <f t="shared" ref="CC29" si="1040">+CB29+CC28</f>
        <v>-134144.11452075004</v>
      </c>
      <c r="CD29" s="24">
        <f t="shared" ref="CD29" si="1041">+CC29+CD28</f>
        <v>-139668.33016436669</v>
      </c>
      <c r="CE29" s="24">
        <f t="shared" ref="CE29" si="1042">+CD29+CE28</f>
        <v>-145279.64946631668</v>
      </c>
      <c r="CF29" s="24">
        <f t="shared" ref="CF29" si="1043">+CE29+CF28</f>
        <v>-150978.0724266</v>
      </c>
      <c r="CG29" s="24">
        <f t="shared" ref="CG29" si="1044">+CF29+CG28</f>
        <v>-156763.59904521666</v>
      </c>
      <c r="CH29" s="24">
        <f t="shared" ref="CH29" si="1045">+CG29+CH28</f>
        <v>-162129.15482034165</v>
      </c>
      <c r="CI29" s="24">
        <f t="shared" ref="CI29" si="1046">+CH29+CI28</f>
        <v>-167574.29325518888</v>
      </c>
      <c r="CJ29" s="25">
        <f t="shared" ref="CJ29" si="1047">+CI29+CJ28</f>
        <v>-173099.01434975833</v>
      </c>
      <c r="CK29" s="23">
        <f t="shared" ref="CK29" si="1048">+CJ29+CK28</f>
        <v>-178342.7147956352</v>
      </c>
      <c r="CL29" s="24">
        <f t="shared" ref="CL29" si="1049">+CK29+CL28</f>
        <v>-183656.13562901207</v>
      </c>
      <c r="CM29" s="24">
        <f t="shared" ref="CM29" si="1050">+CL29+CM28</f>
        <v>-189039.27684988896</v>
      </c>
      <c r="CN29" s="24">
        <f t="shared" ref="CN29" si="1051">+CM29+CN28</f>
        <v>-194492.13845826584</v>
      </c>
      <c r="CO29" s="24">
        <f t="shared" ref="CO29" si="1052">+CN29+CO28</f>
        <v>-200014.72045414272</v>
      </c>
      <c r="CP29" s="24">
        <f t="shared" ref="CP29" si="1053">+CO29+CP28</f>
        <v>-205607.02283751959</v>
      </c>
      <c r="CQ29" s="24">
        <f t="shared" ref="CQ29" si="1054">+CP29+CQ28</f>
        <v>-211269.04560839647</v>
      </c>
      <c r="CR29" s="24">
        <f t="shared" ref="CR29" si="1055">+CQ29+CR28</f>
        <v>-217000.78876677333</v>
      </c>
      <c r="CS29" s="24">
        <f t="shared" ref="CS29" si="1056">+CR29+CS28</f>
        <v>-222802.25231265021</v>
      </c>
      <c r="CT29" s="24">
        <f t="shared" ref="CT29" si="1057">+CS29+CT28</f>
        <v>-228673.43624602706</v>
      </c>
      <c r="CU29" s="24">
        <f t="shared" ref="CU29" si="1058">+CT29+CU28</f>
        <v>-234614.34056690393</v>
      </c>
      <c r="CV29" s="25">
        <f t="shared" ref="CV29" si="1059">+CU29+CV28</f>
        <v>-240624.96527528082</v>
      </c>
      <c r="CW29" s="25">
        <f>+CV29+CW28</f>
        <v>-326394.56673731079</v>
      </c>
    </row>
    <row r="30" spans="2:123" x14ac:dyDescent="0.2">
      <c r="E30" s="17"/>
      <c r="F30" s="20"/>
      <c r="G30" s="20"/>
      <c r="H30" s="20"/>
      <c r="I30" s="20"/>
      <c r="J30" s="20"/>
      <c r="K30" s="20"/>
      <c r="L30" s="20"/>
      <c r="M30" s="20"/>
    </row>
    <row r="31" spans="2:123" x14ac:dyDescent="0.2">
      <c r="E31" s="17"/>
      <c r="F31" s="17"/>
      <c r="G31" s="17"/>
      <c r="H31" s="17"/>
      <c r="I31" s="17"/>
      <c r="J31" s="17"/>
      <c r="K31" s="17"/>
      <c r="L31" s="17"/>
      <c r="M31" s="17"/>
    </row>
    <row r="32" spans="2:123" s="26" customFormat="1" x14ac:dyDescent="0.2">
      <c r="C32" s="26" t="s">
        <v>54</v>
      </c>
      <c r="E32" s="26" t="s">
        <v>45</v>
      </c>
      <c r="F32" s="26" t="s">
        <v>45</v>
      </c>
      <c r="G32" s="26" t="s">
        <v>45</v>
      </c>
      <c r="H32" s="26" t="s">
        <v>44</v>
      </c>
      <c r="I32" s="26" t="s">
        <v>44</v>
      </c>
      <c r="J32" s="26" t="s">
        <v>44</v>
      </c>
      <c r="K32" s="26" t="s">
        <v>43</v>
      </c>
      <c r="L32" s="26" t="s">
        <v>43</v>
      </c>
      <c r="M32" s="26" t="s">
        <v>43</v>
      </c>
      <c r="N32" s="26" t="s">
        <v>42</v>
      </c>
      <c r="O32" s="26" t="s">
        <v>42</v>
      </c>
      <c r="P32" s="26" t="s">
        <v>42</v>
      </c>
      <c r="Q32" s="26" t="s">
        <v>41</v>
      </c>
      <c r="R32" s="26" t="s">
        <v>41</v>
      </c>
      <c r="S32" s="26" t="s">
        <v>41</v>
      </c>
      <c r="T32" s="26" t="s">
        <v>40</v>
      </c>
      <c r="U32" s="26" t="s">
        <v>40</v>
      </c>
      <c r="V32" s="26" t="s">
        <v>40</v>
      </c>
      <c r="W32" s="26" t="s">
        <v>39</v>
      </c>
      <c r="X32" s="26" t="s">
        <v>39</v>
      </c>
      <c r="Y32" s="26" t="s">
        <v>39</v>
      </c>
      <c r="Z32" s="26" t="s">
        <v>38</v>
      </c>
      <c r="AA32" s="26" t="s">
        <v>38</v>
      </c>
      <c r="AB32" s="26" t="s">
        <v>38</v>
      </c>
      <c r="AC32" s="26" t="s">
        <v>37</v>
      </c>
      <c r="AD32" s="26" t="s">
        <v>37</v>
      </c>
      <c r="AE32" s="26" t="s">
        <v>37</v>
      </c>
      <c r="AF32" s="26" t="s">
        <v>36</v>
      </c>
      <c r="AG32" s="26" t="s">
        <v>36</v>
      </c>
      <c r="AH32" s="26" t="s">
        <v>36</v>
      </c>
      <c r="AI32" s="26" t="s">
        <v>35</v>
      </c>
      <c r="AJ32" s="26" t="s">
        <v>35</v>
      </c>
      <c r="AK32" s="26" t="s">
        <v>35</v>
      </c>
      <c r="AL32" s="26" t="s">
        <v>34</v>
      </c>
      <c r="AM32" s="26" t="s">
        <v>34</v>
      </c>
      <c r="AN32" s="26" t="s">
        <v>34</v>
      </c>
      <c r="AO32" s="26" t="s">
        <v>33</v>
      </c>
      <c r="AP32" s="26" t="s">
        <v>33</v>
      </c>
      <c r="AQ32" s="26" t="s">
        <v>33</v>
      </c>
      <c r="AR32" s="26" t="s">
        <v>32</v>
      </c>
      <c r="AS32" s="26" t="s">
        <v>32</v>
      </c>
      <c r="AT32" s="26" t="s">
        <v>32</v>
      </c>
      <c r="AU32" s="26" t="s">
        <v>31</v>
      </c>
      <c r="AV32" s="26" t="s">
        <v>31</v>
      </c>
      <c r="AW32" s="26" t="s">
        <v>31</v>
      </c>
      <c r="AX32" s="26" t="s">
        <v>30</v>
      </c>
      <c r="AY32" s="26" t="s">
        <v>30</v>
      </c>
      <c r="AZ32" s="26" t="s">
        <v>30</v>
      </c>
      <c r="BA32" s="26" t="s">
        <v>29</v>
      </c>
      <c r="BB32" s="26" t="s">
        <v>29</v>
      </c>
      <c r="BC32" s="26" t="s">
        <v>29</v>
      </c>
      <c r="BD32" s="26" t="s">
        <v>28</v>
      </c>
      <c r="BE32" s="26" t="s">
        <v>28</v>
      </c>
      <c r="BF32" s="26" t="s">
        <v>28</v>
      </c>
      <c r="BG32" s="26" t="s">
        <v>27</v>
      </c>
      <c r="BH32" s="26" t="s">
        <v>27</v>
      </c>
      <c r="BI32" s="26" t="s">
        <v>27</v>
      </c>
      <c r="BJ32" s="26" t="s">
        <v>26</v>
      </c>
      <c r="BK32" s="26" t="s">
        <v>26</v>
      </c>
      <c r="BL32" s="26" t="s">
        <v>26</v>
      </c>
      <c r="BM32" s="26" t="s">
        <v>25</v>
      </c>
      <c r="BN32" s="26" t="s">
        <v>25</v>
      </c>
      <c r="BO32" s="26" t="s">
        <v>25</v>
      </c>
      <c r="BP32" s="26" t="s">
        <v>24</v>
      </c>
      <c r="BQ32" s="26" t="s">
        <v>24</v>
      </c>
      <c r="BR32" s="26" t="s">
        <v>24</v>
      </c>
      <c r="BS32" s="26" t="s">
        <v>23</v>
      </c>
      <c r="BT32" s="26" t="s">
        <v>23</v>
      </c>
      <c r="BU32" s="26" t="s">
        <v>23</v>
      </c>
      <c r="BV32" s="26" t="s">
        <v>22</v>
      </c>
      <c r="BW32" s="26" t="s">
        <v>22</v>
      </c>
      <c r="BX32" s="26" t="s">
        <v>22</v>
      </c>
      <c r="BY32" s="26" t="s">
        <v>21</v>
      </c>
      <c r="BZ32" s="26" t="s">
        <v>21</v>
      </c>
      <c r="CA32" s="26" t="s">
        <v>21</v>
      </c>
      <c r="CB32" s="26" t="s">
        <v>20</v>
      </c>
      <c r="CC32" s="26" t="s">
        <v>20</v>
      </c>
      <c r="CD32" s="26" t="s">
        <v>20</v>
      </c>
      <c r="CE32" s="26" t="s">
        <v>19</v>
      </c>
      <c r="CF32" s="26" t="s">
        <v>19</v>
      </c>
      <c r="CG32" s="26" t="s">
        <v>19</v>
      </c>
      <c r="CH32" s="26" t="s">
        <v>18</v>
      </c>
      <c r="CI32" s="26" t="s">
        <v>18</v>
      </c>
      <c r="CJ32" s="26" t="s">
        <v>18</v>
      </c>
      <c r="CK32" s="26" t="s">
        <v>17</v>
      </c>
      <c r="CL32" s="26" t="s">
        <v>17</v>
      </c>
      <c r="CM32" s="26" t="s">
        <v>17</v>
      </c>
      <c r="CN32" s="26" t="s">
        <v>16</v>
      </c>
      <c r="CO32" s="26" t="s">
        <v>16</v>
      </c>
      <c r="CP32" s="26" t="s">
        <v>16</v>
      </c>
      <c r="CQ32" s="26" t="s">
        <v>15</v>
      </c>
      <c r="CR32" s="26" t="s">
        <v>15</v>
      </c>
      <c r="CS32" s="26" t="s">
        <v>15</v>
      </c>
      <c r="CT32" s="26" t="s">
        <v>14</v>
      </c>
      <c r="CU32" s="26" t="s">
        <v>14</v>
      </c>
      <c r="CV32" s="26" t="s">
        <v>14</v>
      </c>
      <c r="CW32" s="26" t="s">
        <v>50</v>
      </c>
    </row>
    <row r="33" spans="3:101" s="26" customFormat="1" x14ac:dyDescent="0.2">
      <c r="C33" s="26" t="s">
        <v>48</v>
      </c>
      <c r="E33" s="26">
        <f>VLOOKUP(E32,'Interest Rates'!$B:$D,3,FALSE)/100</f>
        <v>2.9900000000000003E-2</v>
      </c>
      <c r="F33" s="26">
        <f>VLOOKUP(F32,'Interest Rates'!$B:$D,3,FALSE)/100</f>
        <v>2.9900000000000003E-2</v>
      </c>
      <c r="G33" s="26">
        <f>VLOOKUP(G32,'Interest Rates'!$B:$D,3,FALSE)/100</f>
        <v>2.9900000000000003E-2</v>
      </c>
      <c r="H33" s="26">
        <f>VLOOKUP(H32,'Interest Rates'!$B:$D,3,FALSE)/100</f>
        <v>3.3500000000000002E-2</v>
      </c>
      <c r="I33" s="26">
        <f>VLOOKUP(I32,'Interest Rates'!$B:$D,3,FALSE)/100</f>
        <v>3.3500000000000002E-2</v>
      </c>
      <c r="J33" s="26">
        <f>VLOOKUP(J32,'Interest Rates'!$B:$D,3,FALSE)/100</f>
        <v>3.3500000000000002E-2</v>
      </c>
      <c r="K33" s="26">
        <f>VLOOKUP(K32,'Interest Rates'!$B:$D,3,FALSE)/100</f>
        <v>3.3500000000000002E-2</v>
      </c>
      <c r="L33" s="26">
        <f>VLOOKUP(L32,'Interest Rates'!$B:$D,3,FALSE)/100</f>
        <v>3.3500000000000002E-2</v>
      </c>
      <c r="M33" s="26">
        <f>VLOOKUP(M32,'Interest Rates'!$B:$D,3,FALSE)/100</f>
        <v>3.3500000000000002E-2</v>
      </c>
      <c r="N33" s="26">
        <f>VLOOKUP(N32,'Interest Rates'!$B:$D,3,FALSE)/100</f>
        <v>3.3500000000000002E-2</v>
      </c>
      <c r="O33" s="26">
        <f>VLOOKUP(O32,'Interest Rates'!$B:$D,3,FALSE)/100</f>
        <v>3.3500000000000002E-2</v>
      </c>
      <c r="P33" s="26">
        <f>VLOOKUP(P32,'Interest Rates'!$B:$D,3,FALSE)/100</f>
        <v>3.3500000000000002E-2</v>
      </c>
      <c r="Q33" s="26">
        <f>VLOOKUP(Q32,'Interest Rates'!$B:$D,3,FALSE)/100</f>
        <v>3.8199999999999998E-2</v>
      </c>
      <c r="R33" s="26">
        <f>VLOOKUP(R32,'Interest Rates'!$B:$D,3,FALSE)/100</f>
        <v>3.8199999999999998E-2</v>
      </c>
      <c r="S33" s="26">
        <f>VLOOKUP(S32,'Interest Rates'!$B:$D,3,FALSE)/100</f>
        <v>3.8199999999999998E-2</v>
      </c>
      <c r="T33" s="26">
        <f>VLOOKUP(T32,'Interest Rates'!$B:$D,3,FALSE)/100</f>
        <v>3.39E-2</v>
      </c>
      <c r="U33" s="26">
        <f>VLOOKUP(U32,'Interest Rates'!$B:$D,3,FALSE)/100</f>
        <v>3.39E-2</v>
      </c>
      <c r="V33" s="26">
        <f>VLOOKUP(V32,'Interest Rates'!$B:$D,3,FALSE)/100</f>
        <v>3.39E-2</v>
      </c>
      <c r="W33" s="26">
        <f>VLOOKUP(W32,'Interest Rates'!$B:$D,3,FALSE)/100</f>
        <v>2.8799999999999999E-2</v>
      </c>
      <c r="X33" s="26">
        <f>VLOOKUP(X32,'Interest Rates'!$B:$D,3,FALSE)/100</f>
        <v>2.8799999999999999E-2</v>
      </c>
      <c r="Y33" s="26">
        <f>VLOOKUP(Y32,'Interest Rates'!$B:$D,3,FALSE)/100</f>
        <v>2.8799999999999999E-2</v>
      </c>
      <c r="Z33" s="26">
        <f>VLOOKUP(Z32,'Interest Rates'!$B:$D,3,FALSE)/100</f>
        <v>2.8799999999999999E-2</v>
      </c>
      <c r="AA33" s="26">
        <f>VLOOKUP(AA32,'Interest Rates'!$B:$D,3,FALSE)/100</f>
        <v>2.8799999999999999E-2</v>
      </c>
      <c r="AB33" s="26">
        <f>VLOOKUP(AB32,'Interest Rates'!$B:$D,3,FALSE)/100</f>
        <v>2.8799999999999999E-2</v>
      </c>
      <c r="AC33" s="26">
        <f>VLOOKUP(AC32,'Interest Rates'!$B:$D,3,FALSE)/100</f>
        <v>2.8799999999999999E-2</v>
      </c>
      <c r="AD33" s="26">
        <f>VLOOKUP(AD32,'Interest Rates'!$B:$D,3,FALSE)/100</f>
        <v>2.8799999999999999E-2</v>
      </c>
      <c r="AE33" s="26">
        <f>VLOOKUP(AE32,'Interest Rates'!$B:$D,3,FALSE)/100</f>
        <v>2.8799999999999999E-2</v>
      </c>
      <c r="AF33" s="26">
        <f>VLOOKUP(AF32,'Interest Rates'!$B:$D,3,FALSE)/100</f>
        <v>2.4799999999999999E-2</v>
      </c>
      <c r="AG33" s="26">
        <f>VLOOKUP(AG32,'Interest Rates'!$B:$D,3,FALSE)/100</f>
        <v>2.4799999999999999E-2</v>
      </c>
      <c r="AH33" s="26">
        <f>VLOOKUP(AH32,'Interest Rates'!$B:$D,3,FALSE)/100</f>
        <v>2.4799999999999999E-2</v>
      </c>
      <c r="AI33" s="26">
        <f>VLOOKUP(AI32,'Interest Rates'!$B:$D,3,FALSE)/100</f>
        <v>2.4799999999999999E-2</v>
      </c>
      <c r="AJ33" s="26">
        <f>VLOOKUP(AJ32,'Interest Rates'!$B:$D,3,FALSE)/100</f>
        <v>2.4799999999999999E-2</v>
      </c>
      <c r="AK33" s="26">
        <f>VLOOKUP(AK32,'Interest Rates'!$B:$D,3,FALSE)/100</f>
        <v>2.4799999999999999E-2</v>
      </c>
      <c r="AL33" s="26">
        <f>VLOOKUP(AL32,'Interest Rates'!$B:$D,3,FALSE)/100</f>
        <v>2.0299999999999999E-2</v>
      </c>
      <c r="AM33" s="26">
        <f>VLOOKUP(AM32,'Interest Rates'!$B:$D,3,FALSE)/100</f>
        <v>2.0299999999999999E-2</v>
      </c>
      <c r="AN33" s="26">
        <f>VLOOKUP(AN32,'Interest Rates'!$B:$D,3,FALSE)/100</f>
        <v>2.0299999999999999E-2</v>
      </c>
      <c r="AO33" s="26">
        <f>VLOOKUP(AO32,'Interest Rates'!$B:$D,3,FALSE)/100</f>
        <v>2.0299999999999999E-2</v>
      </c>
      <c r="AP33" s="26">
        <f>VLOOKUP(AP32,'Interest Rates'!$B:$D,3,FALSE)/100</f>
        <v>2.0299999999999999E-2</v>
      </c>
      <c r="AQ33" s="26">
        <f>VLOOKUP(AQ32,'Interest Rates'!$B:$D,3,FALSE)/100</f>
        <v>2.0299999999999999E-2</v>
      </c>
      <c r="AR33" s="26">
        <f>VLOOKUP(AR32,'Interest Rates'!$B:$D,3,FALSE)/100</f>
        <v>2.29E-2</v>
      </c>
      <c r="AS33" s="26">
        <f>VLOOKUP(AS32,'Interest Rates'!$B:$D,3,FALSE)/100</f>
        <v>2.29E-2</v>
      </c>
      <c r="AT33" s="26">
        <f>VLOOKUP(AT32,'Interest Rates'!$B:$D,3,FALSE)/100</f>
        <v>2.29E-2</v>
      </c>
      <c r="AU33" s="26">
        <f>VLOOKUP(AU32,'Interest Rates'!$B:$D,3,FALSE)/100</f>
        <v>2.29E-2</v>
      </c>
      <c r="AV33" s="26">
        <f>VLOOKUP(AV32,'Interest Rates'!$B:$D,3,FALSE)/100</f>
        <v>2.29E-2</v>
      </c>
      <c r="AW33" s="26">
        <f>VLOOKUP(AW32,'Interest Rates'!$B:$D,3,FALSE)/100</f>
        <v>2.29E-2</v>
      </c>
      <c r="AX33" s="26">
        <f>VLOOKUP(AX32,'Interest Rates'!$B:$D,3,FALSE)/100</f>
        <v>2.29E-2</v>
      </c>
      <c r="AY33" s="26">
        <f>VLOOKUP(AY32,'Interest Rates'!$B:$D,3,FALSE)/100</f>
        <v>2.29E-2</v>
      </c>
      <c r="AZ33" s="26">
        <f>VLOOKUP(AZ32,'Interest Rates'!$B:$D,3,FALSE)/100</f>
        <v>2.29E-2</v>
      </c>
      <c r="BA33" s="26">
        <f>VLOOKUP(BA32,'Interest Rates'!$B:$D,3,FALSE)/100</f>
        <v>2.7200000000000002E-2</v>
      </c>
      <c r="BB33" s="26">
        <f>VLOOKUP(BB32,'Interest Rates'!$B:$D,3,FALSE)/100</f>
        <v>2.7200000000000002E-2</v>
      </c>
      <c r="BC33" s="26">
        <f>VLOOKUP(BC32,'Interest Rates'!$B:$D,3,FALSE)/100</f>
        <v>2.7200000000000002E-2</v>
      </c>
      <c r="BD33" s="26">
        <f>VLOOKUP(BD32,'Interest Rates'!$B:$D,3,FALSE)/100</f>
        <v>3.3099999999999997E-2</v>
      </c>
      <c r="BE33" s="26">
        <f>VLOOKUP(BE32,'Interest Rates'!$B:$D,3,FALSE)/100</f>
        <v>3.3099999999999997E-2</v>
      </c>
      <c r="BF33" s="26">
        <f>VLOOKUP(BF32,'Interest Rates'!$B:$D,3,FALSE)/100</f>
        <v>3.3099999999999997E-2</v>
      </c>
      <c r="BG33" s="26">
        <f>VLOOKUP(BG32,'Interest Rates'!$B:$D,3,FALSE)/100</f>
        <v>4.6600000000000003E-2</v>
      </c>
      <c r="BH33" s="26">
        <f>VLOOKUP(BH32,'Interest Rates'!$B:$D,3,FALSE)/100</f>
        <v>4.6600000000000003E-2</v>
      </c>
      <c r="BI33" s="26">
        <f>VLOOKUP(BI32,'Interest Rates'!$B:$D,3,FALSE)/100</f>
        <v>4.6600000000000003E-2</v>
      </c>
      <c r="BJ33" s="26">
        <f>VLOOKUP(BJ32,'Interest Rates'!$B:$D,3,FALSE)/100</f>
        <v>5.0099999999999999E-2</v>
      </c>
      <c r="BK33" s="26">
        <f>VLOOKUP(BK32,'Interest Rates'!$B:$D,3,FALSE)/100</f>
        <v>5.0099999999999999E-2</v>
      </c>
      <c r="BL33" s="26">
        <f>VLOOKUP(BL32,'Interest Rates'!$B:$D,3,FALSE)/100</f>
        <v>5.0099999999999999E-2</v>
      </c>
      <c r="BM33" s="26">
        <f>VLOOKUP(BM32,'Interest Rates'!$B:$D,3,FALSE)/100</f>
        <v>5.0099999999999999E-2</v>
      </c>
      <c r="BN33" s="26">
        <f>VLOOKUP(BN32,'Interest Rates'!$B:$D,3,FALSE)/100</f>
        <v>5.0099999999999999E-2</v>
      </c>
      <c r="BO33" s="26">
        <f>VLOOKUP(BO32,'Interest Rates'!$B:$D,3,FALSE)/100</f>
        <v>5.0099999999999999E-2</v>
      </c>
      <c r="BP33" s="26">
        <f>VLOOKUP(BP32,'Interest Rates'!$B:$D,3,FALSE)/100</f>
        <v>5.0099999999999999E-2</v>
      </c>
      <c r="BQ33" s="26">
        <f>VLOOKUP(BQ32,'Interest Rates'!$B:$D,3,FALSE)/100</f>
        <v>5.0099999999999999E-2</v>
      </c>
      <c r="BR33" s="26">
        <f>VLOOKUP(BR32,'Interest Rates'!$B:$D,3,FALSE)/100</f>
        <v>5.0099999999999999E-2</v>
      </c>
      <c r="BS33" s="26">
        <f>VLOOKUP(BS32,'Interest Rates'!$B:$D,3,FALSE)/100</f>
        <v>5.0099999999999999E-2</v>
      </c>
      <c r="BT33" s="26">
        <f>VLOOKUP(BT32,'Interest Rates'!$B:$D,3,FALSE)/100</f>
        <v>5.0099999999999999E-2</v>
      </c>
      <c r="BU33" s="26">
        <f>VLOOKUP(BU32,'Interest Rates'!$B:$D,3,FALSE)/100</f>
        <v>5.0099999999999999E-2</v>
      </c>
      <c r="BV33" s="26">
        <f>VLOOKUP(BV32,'Interest Rates'!$B:$D,3,FALSE)/100</f>
        <v>5.4800000000000001E-2</v>
      </c>
      <c r="BW33" s="26">
        <f>VLOOKUP(BW32,'Interest Rates'!$B:$D,3,FALSE)/100</f>
        <v>5.4800000000000001E-2</v>
      </c>
      <c r="BX33" s="26">
        <f>VLOOKUP(BX32,'Interest Rates'!$B:$D,3,FALSE)/100</f>
        <v>5.4800000000000001E-2</v>
      </c>
      <c r="BY33" s="26">
        <f>VLOOKUP(BY32,'Interest Rates'!$B:$D,3,FALSE)/100</f>
        <v>5.4800000000000001E-2</v>
      </c>
      <c r="BZ33" s="26">
        <f>VLOOKUP(BZ32,'Interest Rates'!$B:$D,3,FALSE)/100</f>
        <v>5.4800000000000001E-2</v>
      </c>
      <c r="CA33" s="26">
        <f>VLOOKUP(CA32,'Interest Rates'!$B:$D,3,FALSE)/100</f>
        <v>5.4800000000000001E-2</v>
      </c>
      <c r="CB33" s="26">
        <f>VLOOKUP(CB32,'Interest Rates'!$B:$D,3,FALSE)/100</f>
        <v>4.9800000000000004E-2</v>
      </c>
      <c r="CC33" s="26">
        <f>VLOOKUP(CC32,'Interest Rates'!$B:$D,3,FALSE)/100</f>
        <v>4.9800000000000004E-2</v>
      </c>
      <c r="CD33" s="26">
        <f>VLOOKUP(CD32,'Interest Rates'!$B:$D,3,FALSE)/100</f>
        <v>4.9800000000000004E-2</v>
      </c>
      <c r="CE33" s="26">
        <f>VLOOKUP(CE32,'Interest Rates'!$B:$D,3,FALSE)/100</f>
        <v>4.9800000000000004E-2</v>
      </c>
      <c r="CF33" s="26">
        <f>VLOOKUP(CF32,'Interest Rates'!$B:$D,3,FALSE)/100</f>
        <v>4.9800000000000004E-2</v>
      </c>
      <c r="CG33" s="26">
        <f>VLOOKUP(CG32,'Interest Rates'!$B:$D,3,FALSE)/100</f>
        <v>4.9800000000000004E-2</v>
      </c>
      <c r="CH33" s="26">
        <f>VLOOKUP(CH32,'Interest Rates'!$B:$D,3,FALSE)/100</f>
        <v>4.5499999999999999E-2</v>
      </c>
      <c r="CI33" s="26">
        <f>VLOOKUP(CI32,'Interest Rates'!$B:$D,3,FALSE)/100</f>
        <v>4.5499999999999999E-2</v>
      </c>
      <c r="CJ33" s="26">
        <f>VLOOKUP(CJ32,'Interest Rates'!$B:$D,3,FALSE)/100</f>
        <v>4.5499999999999999E-2</v>
      </c>
      <c r="CK33" s="26">
        <f>VLOOKUP(CK32,'Interest Rates'!$B:$D,3,FALSE)/100</f>
        <v>4.2300000000000004E-2</v>
      </c>
      <c r="CL33" s="26">
        <f>VLOOKUP(CL32,'Interest Rates'!$B:$D,3,FALSE)/100</f>
        <v>4.2300000000000004E-2</v>
      </c>
      <c r="CM33" s="26">
        <f>VLOOKUP(CM32,'Interest Rates'!$B:$D,3,FALSE)/100</f>
        <v>4.2300000000000004E-2</v>
      </c>
      <c r="CN33" s="26">
        <f>VLOOKUP(CN32,'Interest Rates'!$B:$D,3,FALSE)/100</f>
        <v>4.2300000000000004E-2</v>
      </c>
      <c r="CO33" s="26">
        <f>VLOOKUP(CO32,'Interest Rates'!$B:$D,3,FALSE)/100</f>
        <v>4.2300000000000004E-2</v>
      </c>
      <c r="CP33" s="26">
        <f>VLOOKUP(CP32,'Interest Rates'!$B:$D,3,FALSE)/100</f>
        <v>4.2300000000000004E-2</v>
      </c>
      <c r="CQ33" s="26">
        <f>VLOOKUP(CQ32,'Interest Rates'!$B:$D,3,FALSE)/100</f>
        <v>4.2300000000000004E-2</v>
      </c>
      <c r="CR33" s="26">
        <f>VLOOKUP(CR32,'Interest Rates'!$B:$D,3,FALSE)/100</f>
        <v>4.2300000000000004E-2</v>
      </c>
      <c r="CS33" s="26">
        <f>VLOOKUP(CS32,'Interest Rates'!$B:$D,3,FALSE)/100</f>
        <v>4.2300000000000004E-2</v>
      </c>
      <c r="CT33" s="26">
        <f>VLOOKUP(CT32,'Interest Rates'!$B:$D,3,FALSE)/100</f>
        <v>4.2300000000000004E-2</v>
      </c>
      <c r="CU33" s="26">
        <f>VLOOKUP(CU32,'Interest Rates'!$B:$D,3,FALSE)/100</f>
        <v>4.2300000000000004E-2</v>
      </c>
      <c r="CV33" s="26">
        <f>VLOOKUP(CV32,'Interest Rates'!$B:$D,3,FALSE)/100</f>
        <v>4.2300000000000004E-2</v>
      </c>
      <c r="CW33" s="26">
        <v>4.2300000000000004E-2</v>
      </c>
    </row>
    <row r="34" spans="3:101" x14ac:dyDescent="0.2">
      <c r="E34" s="20"/>
      <c r="F34" s="20"/>
      <c r="G34" s="20"/>
      <c r="H34" s="20"/>
      <c r="I34" s="20"/>
      <c r="J34" s="20"/>
      <c r="K34" s="20"/>
      <c r="L34" s="20"/>
      <c r="M34" s="20"/>
    </row>
  </sheetData>
  <mergeCells count="12">
    <mergeCell ref="CK4:CV4"/>
    <mergeCell ref="BY4:CJ4"/>
    <mergeCell ref="B6:B11"/>
    <mergeCell ref="B12:B17"/>
    <mergeCell ref="B18:B23"/>
    <mergeCell ref="BA4:BL4"/>
    <mergeCell ref="BM4:BX4"/>
    <mergeCell ref="B24:B29"/>
    <mergeCell ref="E4:P4"/>
    <mergeCell ref="Q4:AB4"/>
    <mergeCell ref="AC4:AN4"/>
    <mergeCell ref="AO4:AZ4"/>
  </mergeCells>
  <phoneticPr fontId="2" type="noConversion"/>
  <pageMargins left="0.7" right="0.7" top="0.75" bottom="0.75" header="0.3" footer="0.3"/>
  <pageSetup orientation="portrait" r:id="rId1"/>
  <ignoredErrors>
    <ignoredError sqref="E10:CW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76CE1-C896-48C0-A7C7-0CD314759498}">
  <dimension ref="B1:D36"/>
  <sheetViews>
    <sheetView topLeftCell="A9" workbookViewId="0">
      <selection activeCell="C33" sqref="C33"/>
    </sheetView>
  </sheetViews>
  <sheetFormatPr defaultColWidth="8.7109375" defaultRowHeight="14.25" x14ac:dyDescent="0.2"/>
  <cols>
    <col min="1" max="1" width="8.7109375" style="1"/>
    <col min="2" max="2" width="15.85546875" style="1" customWidth="1"/>
    <col min="3" max="3" width="21.42578125" style="1" customWidth="1"/>
    <col min="4" max="4" width="23.5703125" style="1" customWidth="1"/>
    <col min="5" max="5" width="8.85546875" style="1" customWidth="1"/>
    <col min="6" max="16384" width="8.7109375" style="1"/>
  </cols>
  <sheetData>
    <row r="1" spans="2:4" ht="15" x14ac:dyDescent="0.25">
      <c r="B1" s="28" t="s">
        <v>47</v>
      </c>
    </row>
    <row r="3" spans="2:4" ht="69.95" customHeight="1" x14ac:dyDescent="0.2">
      <c r="B3" s="1" t="s">
        <v>46</v>
      </c>
      <c r="C3" s="27" t="s">
        <v>11</v>
      </c>
      <c r="D3" s="27" t="s">
        <v>12</v>
      </c>
    </row>
    <row r="4" spans="2:4" x14ac:dyDescent="0.2">
      <c r="B4" s="1" t="s">
        <v>13</v>
      </c>
      <c r="C4" s="1">
        <v>2.5499999999999998</v>
      </c>
      <c r="D4" s="1">
        <v>4.2300000000000004</v>
      </c>
    </row>
    <row r="5" spans="2:4" x14ac:dyDescent="0.2">
      <c r="B5" s="1" t="s">
        <v>14</v>
      </c>
      <c r="C5" s="1">
        <v>2.91</v>
      </c>
      <c r="D5" s="1">
        <v>4.2300000000000004</v>
      </c>
    </row>
    <row r="6" spans="2:4" x14ac:dyDescent="0.2">
      <c r="B6" s="1" t="s">
        <v>15</v>
      </c>
      <c r="C6" s="1">
        <v>2.91</v>
      </c>
      <c r="D6" s="1">
        <v>4.2300000000000004</v>
      </c>
    </row>
    <row r="7" spans="2:4" x14ac:dyDescent="0.2">
      <c r="B7" s="1" t="s">
        <v>16</v>
      </c>
      <c r="C7" s="1">
        <v>3.165</v>
      </c>
      <c r="D7" s="1">
        <v>4.2300000000000004</v>
      </c>
    </row>
    <row r="8" spans="2:4" x14ac:dyDescent="0.2">
      <c r="B8" s="1" t="s">
        <v>17</v>
      </c>
      <c r="C8" s="1">
        <v>3.64</v>
      </c>
      <c r="D8" s="1">
        <v>4.2300000000000004</v>
      </c>
    </row>
    <row r="9" spans="2:4" x14ac:dyDescent="0.2">
      <c r="B9" s="1" t="s">
        <v>18</v>
      </c>
      <c r="C9" s="1">
        <v>4.4039999999999999</v>
      </c>
      <c r="D9" s="1">
        <v>4.55</v>
      </c>
    </row>
    <row r="10" spans="2:4" x14ac:dyDescent="0.2">
      <c r="B10" s="1" t="s">
        <v>19</v>
      </c>
      <c r="C10" s="1">
        <v>5.2</v>
      </c>
      <c r="D10" s="1">
        <v>4.9800000000000004</v>
      </c>
    </row>
    <row r="11" spans="2:4" x14ac:dyDescent="0.2">
      <c r="B11" s="1" t="s">
        <v>20</v>
      </c>
      <c r="C11" s="1">
        <v>5.49</v>
      </c>
      <c r="D11" s="1">
        <v>4.9800000000000004</v>
      </c>
    </row>
    <row r="12" spans="2:4" x14ac:dyDescent="0.2">
      <c r="B12" s="1" t="s">
        <v>21</v>
      </c>
      <c r="C12" s="1">
        <v>5.49</v>
      </c>
      <c r="D12" s="1">
        <v>5.48</v>
      </c>
    </row>
    <row r="13" spans="2:4" x14ac:dyDescent="0.2">
      <c r="B13" s="1" t="s">
        <v>22</v>
      </c>
      <c r="C13" s="1">
        <v>5.49</v>
      </c>
      <c r="D13" s="1">
        <v>5.48</v>
      </c>
    </row>
    <row r="14" spans="2:4" x14ac:dyDescent="0.2">
      <c r="B14" s="1" t="s">
        <v>23</v>
      </c>
      <c r="C14" s="1">
        <v>4.9800000000000004</v>
      </c>
      <c r="D14" s="1">
        <v>5.01</v>
      </c>
    </row>
    <row r="15" spans="2:4" x14ac:dyDescent="0.2">
      <c r="B15" s="1" t="s">
        <v>24</v>
      </c>
      <c r="C15" s="1">
        <v>4.9800000000000004</v>
      </c>
      <c r="D15" s="1">
        <v>5.01</v>
      </c>
    </row>
    <row r="16" spans="2:4" x14ac:dyDescent="0.2">
      <c r="B16" s="1" t="s">
        <v>25</v>
      </c>
      <c r="C16" s="1">
        <v>4.7300000000000004</v>
      </c>
      <c r="D16" s="1">
        <v>5.01</v>
      </c>
    </row>
    <row r="17" spans="2:4" x14ac:dyDescent="0.2">
      <c r="B17" s="1" t="s">
        <v>26</v>
      </c>
      <c r="C17" s="1">
        <v>3.87</v>
      </c>
      <c r="D17" s="1">
        <v>5.01</v>
      </c>
    </row>
    <row r="18" spans="2:4" x14ac:dyDescent="0.2">
      <c r="B18" s="1" t="s">
        <v>27</v>
      </c>
      <c r="C18" s="1">
        <v>2.2000000000000002</v>
      </c>
      <c r="D18" s="1">
        <v>4.66</v>
      </c>
    </row>
    <row r="19" spans="2:4" x14ac:dyDescent="0.2">
      <c r="B19" s="1" t="s">
        <v>28</v>
      </c>
      <c r="C19" s="1">
        <v>1.02</v>
      </c>
      <c r="D19" s="1">
        <v>3.31</v>
      </c>
    </row>
    <row r="20" spans="2:4" x14ac:dyDescent="0.2">
      <c r="B20" s="1" t="s">
        <v>29</v>
      </c>
      <c r="C20" s="1">
        <v>0.56999999999999995</v>
      </c>
      <c r="D20" s="1">
        <v>2.72</v>
      </c>
    </row>
    <row r="21" spans="2:4" x14ac:dyDescent="0.2">
      <c r="B21" s="1" t="s">
        <v>30</v>
      </c>
      <c r="C21" s="1">
        <v>0.56999999999999995</v>
      </c>
      <c r="D21" s="1">
        <v>2.29</v>
      </c>
    </row>
    <row r="22" spans="2:4" x14ac:dyDescent="0.2">
      <c r="B22" s="1" t="s">
        <v>31</v>
      </c>
      <c r="C22" s="1">
        <v>0.56999999999999995</v>
      </c>
      <c r="D22" s="1">
        <v>2.29</v>
      </c>
    </row>
    <row r="23" spans="2:4" x14ac:dyDescent="0.2">
      <c r="B23" s="1" t="s">
        <v>32</v>
      </c>
      <c r="C23" s="1">
        <v>0.56999999999999995</v>
      </c>
      <c r="D23" s="1">
        <v>2.29</v>
      </c>
    </row>
    <row r="24" spans="2:4" x14ac:dyDescent="0.2">
      <c r="B24" s="1" t="s">
        <v>33</v>
      </c>
      <c r="C24" s="1">
        <v>0.56999999999999995</v>
      </c>
      <c r="D24" s="1">
        <v>2.0299999999999998</v>
      </c>
    </row>
    <row r="25" spans="2:4" x14ac:dyDescent="0.2">
      <c r="B25" s="1" t="s">
        <v>34</v>
      </c>
      <c r="C25" s="1">
        <v>0.56999999999999995</v>
      </c>
      <c r="D25" s="1">
        <v>2.0299999999999998</v>
      </c>
    </row>
    <row r="26" spans="2:4" x14ac:dyDescent="0.2">
      <c r="B26" s="1" t="s">
        <v>35</v>
      </c>
      <c r="C26" s="1">
        <v>0.57299999999999995</v>
      </c>
      <c r="D26" s="1">
        <v>2.48</v>
      </c>
    </row>
    <row r="27" spans="2:4" x14ac:dyDescent="0.2">
      <c r="B27" s="1" t="s">
        <v>36</v>
      </c>
      <c r="C27" s="1">
        <v>2.1800000000000002</v>
      </c>
      <c r="D27" s="1">
        <v>2.48</v>
      </c>
    </row>
    <row r="28" spans="2:4" x14ac:dyDescent="0.2">
      <c r="B28" s="1" t="s">
        <v>37</v>
      </c>
      <c r="C28" s="1">
        <v>2.1800000000000002</v>
      </c>
      <c r="D28" s="1">
        <v>2.88</v>
      </c>
    </row>
    <row r="29" spans="2:4" x14ac:dyDescent="0.2">
      <c r="B29" s="1" t="s">
        <v>38</v>
      </c>
      <c r="C29" s="1">
        <v>2.1800000000000002</v>
      </c>
      <c r="D29" s="1">
        <v>2.88</v>
      </c>
    </row>
    <row r="30" spans="2:4" x14ac:dyDescent="0.2">
      <c r="B30" s="1" t="s">
        <v>39</v>
      </c>
      <c r="C30" s="1">
        <v>2.1800000000000002</v>
      </c>
      <c r="D30" s="1">
        <v>2.88</v>
      </c>
    </row>
    <row r="31" spans="2:4" x14ac:dyDescent="0.2">
      <c r="B31" s="1" t="s">
        <v>40</v>
      </c>
      <c r="C31" s="1">
        <v>2.1800000000000002</v>
      </c>
      <c r="D31" s="1">
        <v>3.39</v>
      </c>
    </row>
    <row r="32" spans="2:4" x14ac:dyDescent="0.2">
      <c r="B32" s="1" t="s">
        <v>41</v>
      </c>
      <c r="C32" s="1">
        <v>2.4500000000000002</v>
      </c>
      <c r="D32" s="1">
        <v>3.82</v>
      </c>
    </row>
    <row r="33" spans="2:4" x14ac:dyDescent="0.2">
      <c r="B33" s="1" t="s">
        <v>42</v>
      </c>
      <c r="C33" s="1">
        <v>2.17</v>
      </c>
      <c r="D33" s="1">
        <v>3.35</v>
      </c>
    </row>
    <row r="34" spans="2:4" x14ac:dyDescent="0.2">
      <c r="B34" s="1" t="s">
        <v>43</v>
      </c>
      <c r="C34" s="1">
        <v>1.89</v>
      </c>
      <c r="D34" s="1">
        <v>3.35</v>
      </c>
    </row>
    <row r="35" spans="2:4" x14ac:dyDescent="0.2">
      <c r="B35" s="1" t="s">
        <v>44</v>
      </c>
      <c r="C35" s="1">
        <v>1.89</v>
      </c>
      <c r="D35" s="1">
        <v>3.35</v>
      </c>
    </row>
    <row r="36" spans="2:4" x14ac:dyDescent="0.2">
      <c r="B36" s="1" t="s">
        <v>45</v>
      </c>
      <c r="C36" s="1">
        <v>1.5</v>
      </c>
      <c r="D36" s="1">
        <v>2.99</v>
      </c>
    </row>
  </sheetData>
  <hyperlinks>
    <hyperlink ref="B1" r:id="rId1" display="https://www.oeb.ca/regulatory-rules-and-documents/rules-codes-and-requirements/prescribed-interest-rates" xr:uid="{1A0A255D-BEC5-4CDD-B713-0093F42A010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B40F0DD4-953F-4FE5-A1AC-7B5FF2CA9CED}"/>
</file>

<file path=customXml/itemProps2.xml><?xml version="1.0" encoding="utf-8"?>
<ds:datastoreItem xmlns:ds="http://schemas.openxmlformats.org/officeDocument/2006/customXml" ds:itemID="{9F2FA471-8404-4518-9D58-E61EE8098D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45F01C-DD3A-4270-886C-84D815A5104D}">
  <ds:schemaRefs>
    <ds:schemaRef ds:uri="http://purl.org/dc/terms/"/>
    <ds:schemaRef ds:uri="http://www.w3.org/XML/1998/namespace"/>
    <ds:schemaRef ds:uri="8a46b197-c0a1-4f21-9a6b-51f5ee863a99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1e39310-30fa-442b-828a-d033d9a68cd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Reconciliation</vt:lpstr>
      <vt:lpstr>Calculation</vt:lpstr>
      <vt:lpstr>Interest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Cheng</dc:creator>
  <cp:lastModifiedBy>Flora Lin</cp:lastModifiedBy>
  <dcterms:created xsi:type="dcterms:W3CDTF">2026-01-28T15:49:56Z</dcterms:created>
  <dcterms:modified xsi:type="dcterms:W3CDTF">2026-02-24T20:45:30Z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