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33" documentId="13_ncr:1_{D3FF9CC7-20F2-4863-8AEB-0590B60FA6F7}" xr6:coauthVersionLast="47" xr6:coauthVersionMax="47" xr10:uidLastSave="{EF39F5D3-6D1E-41D0-A326-9A51A6E54042}"/>
  <bookViews>
    <workbookView xWindow="-108" yWindow="-108" windowWidth="23256" windowHeight="14016" tabRatio="901" firstSheet="2" activeTab="2" xr2:uid="{00000000-000D-0000-FFFF-FFFF00000000}"/>
  </bookViews>
  <sheets>
    <sheet name="In Base Rates" sheetId="41" state="hidden" r:id="rId1"/>
    <sheet name="details " sheetId="45" state="hidden" r:id="rId2"/>
    <sheet name="BRZ" sheetId="47" r:id="rId3"/>
    <sheet name="ERZ" sheetId="52" r:id="rId4"/>
    <sheet name="PRZ" sheetId="53" r:id="rId5"/>
    <sheet name="HRZ" sheetId="54" r:id="rId6"/>
    <sheet name="GRZ" sheetId="55" r:id="rId7"/>
  </sheets>
  <definedNames>
    <definedName name="____N4">#REF!</definedName>
    <definedName name="____N6">#REF!</definedName>
    <definedName name="____SUM1">#N/A</definedName>
    <definedName name="____SUM2">#REF!</definedName>
    <definedName name="____SUM3">#REF!</definedName>
    <definedName name="___INDEX_SHEET___ASAP_Utilities">#REF!</definedName>
    <definedName name="___N4">#REF!</definedName>
    <definedName name="___N6">#REF!</definedName>
    <definedName name="___SUM1">#N/A</definedName>
    <definedName name="___SUM2">#REF!</definedName>
    <definedName name="___SUM3">#REF!</definedName>
    <definedName name="__123Graph_D" hidden="1">#REF!</definedName>
    <definedName name="__123Graph_E" hidden="1">#REF!</definedName>
    <definedName name="__FDS_HYPERLINK_TOGGLE_STATE__" hidden="1">"ON"</definedName>
    <definedName name="__Key1" hidden="1">#REF!</definedName>
    <definedName name="__N4">#REF!</definedName>
    <definedName name="__N6">#REF!</definedName>
    <definedName name="__SUM1">#N/A</definedName>
    <definedName name="__SUM2">#REF!</definedName>
    <definedName name="__SUM3">#REF!</definedName>
    <definedName name="_Dist_Bin" hidden="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Key1" hidden="1">#REF!</definedName>
    <definedName name="_Key2" hidden="1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N4">#REF!</definedName>
    <definedName name="_N6">#REF!</definedName>
    <definedName name="_Order1" hidden="1">255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Sort" hidden="1">#REF!</definedName>
    <definedName name="_SUM1">#N/A</definedName>
    <definedName name="_SUM2">#REF!</definedName>
    <definedName name="_SUM3">#REF!</definedName>
    <definedName name="_Table1_In1" hidden="1">#REF!</definedName>
    <definedName name="ACCOUNT_LIST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#REF!,#REF!</definedName>
    <definedName name="AllPages">#REF!,#REF!,#REF!,#REF!,#REF!,#REF!,#REF!,#REF!,#REF!,#REF!,#REF!</definedName>
    <definedName name="AllSum98">#REF!,#REF!,#REF!</definedName>
    <definedName name="ARCPUBURL">""</definedName>
    <definedName name="area1">#REF!,#REF!,#REF!,#REF!,#REF!,#REF!</definedName>
    <definedName name="area2">#REF!,#REF!</definedName>
    <definedName name="AS2DocOpenMode" hidden="1">"AS2DocumentEdit"</definedName>
    <definedName name="asasd">#REF!,#REF!,#REF!</definedName>
    <definedName name="ASD">#REF!</definedName>
    <definedName name="ASOFDATE">#REF!</definedName>
    <definedName name="AssetNum">#REF!</definedName>
    <definedName name="Battery_maintenance">#REF!</definedName>
    <definedName name="Battery_shipping_install">#REF!</definedName>
    <definedName name="Battery_unit_materials_cost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illed">#REF!</definedName>
    <definedName name="Billing_system_enhancements">#REF!</definedName>
    <definedName name="BPAGE">"1"</definedName>
    <definedName name="budget">#REF!</definedName>
    <definedName name="Budget3">#REF!</definedName>
    <definedName name="Budget4">#REF!</definedName>
    <definedName name="Budget5">#REF!</definedName>
    <definedName name="BudgetBook">#REF!,#REF!,#REF!,#REF!</definedName>
    <definedName name="Building_permit">#REF!</definedName>
    <definedName name="BUV">#REF!</definedName>
    <definedName name="capcosttype">#REF!</definedName>
    <definedName name="CapOEB">#REF!</definedName>
    <definedName name="capsupplier">#REF!</definedName>
    <definedName name="Cash">#REF!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C_LIST">#REF!</definedName>
    <definedName name="CC_MASTER_LIST">#REF!</definedName>
    <definedName name="CC_OEB_LIST">#REF!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M_2007">#REF!</definedName>
    <definedName name="Cell_modem_materials">#REF!</definedName>
    <definedName name="Cell_modem_ongoing">#REF!</definedName>
    <definedName name="CG_FLEET_BURDEN">#REF!</definedName>
    <definedName name="CG_MAT_BURDEN">#REF!</definedName>
    <definedName name="CIQWBGuid" hidden="1">"2de395d8-5f10-4a3a-843c-d290bc7f8287"</definedName>
    <definedName name="ClientName">#REF!</definedName>
    <definedName name="CLUSTER">#REF!</definedName>
    <definedName name="CLUSTER_LIST">#REF!</definedName>
    <definedName name="CO_LIST">#REF!</definedName>
    <definedName name="Company">"Hydro One Brampton Networks"</definedName>
    <definedName name="Company10">#REF!</definedName>
    <definedName name="Company12">#REF!</definedName>
    <definedName name="contactf">#REF!</definedName>
    <definedName name="CONVALESCENCE_BEREAVEMENTS">#REF!</definedName>
    <definedName name="COP">#REF!</definedName>
    <definedName name="CostCenter">#REF!</definedName>
    <definedName name="costtype">#REF!</definedName>
    <definedName name="COVER">#REF!,#REF!</definedName>
    <definedName name="CPAGE">"37"</definedName>
    <definedName name="CPNMB">"1"</definedName>
    <definedName name="CTIM2">"120626"</definedName>
    <definedName name="Customer_support">#REF!</definedName>
    <definedName name="CustomerCount">#REF!</definedName>
    <definedName name="CYData">#REF!</definedName>
    <definedName name="d">#REF!</definedName>
    <definedName name="DASH">""</definedName>
    <definedName name="Data.Next">#REF!</definedName>
    <definedName name="DATE_LIST">#REF!</definedName>
    <definedName name="DateCell">#REF!</definedName>
    <definedName name="DaysInPreviousYear">#REF!</definedName>
    <definedName name="DaysInYear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>"26"</definedName>
    <definedName name="DeptID">#REF!</definedName>
    <definedName name="DirectLoad">#REF!</definedName>
    <definedName name="DirectRate">#REF!</definedName>
    <definedName name="DISABILITY_MANAGEMENT">#REF!</definedName>
    <definedName name="distribution">#REF!,#REF!,#REF!</definedName>
    <definedName name="DME_BeforeCloseCompleted" hidden="1">"False"</definedName>
    <definedName name="DollarFormat">#REF!</definedName>
    <definedName name="DollarFormat_Area">#REF!</definedName>
    <definedName name="DVNAM">"QSYSPRT2"</definedName>
    <definedName name="DVTYP">"PRINTER"</definedName>
    <definedName name="DXDepr99">#REF!</definedName>
    <definedName name="e" hidden="1">#REF!</definedName>
    <definedName name="E_DERMS_fixed">#REF!</definedName>
    <definedName name="E_DERMS_ongoing">#REF!</definedName>
    <definedName name="EARLY_RETIREMENTS">#REF!</definedName>
    <definedName name="EBNUMBER">#REF!</definedName>
    <definedName name="EDR_06_OthInfo">#REF!</definedName>
    <definedName name="EDR06Tariffs">#REF!</definedName>
    <definedName name="ee" hidden="1">#REF!</definedName>
    <definedName name="ELDCLoad">#REF!</definedName>
    <definedName name="ELDCRate">#REF!</definedName>
    <definedName name="EM_V_report">#REF!</definedName>
    <definedName name="EMP_LIST">#REF!</definedName>
    <definedName name="EPAGE">"2"</definedName>
    <definedName name="ERR_INDEX_ACCT">#REF!</definedName>
    <definedName name="exclude">#REF!</definedName>
    <definedName name="expense">#REF!</definedName>
    <definedName name="Explanation">#REF!</definedName>
    <definedName name="FA" hidden="1">{"datatable",#N/A,FALSE,"Cust.Adds_Volumes"}</definedName>
    <definedName name="FDHDF" hidden="1">#REF!</definedName>
    <definedName name="FebActRetail">#REF!</definedName>
    <definedName name="fill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rst_Page">#REF!</definedName>
    <definedName name="flags_mergeES">#REF!</definedName>
    <definedName name="flags_mergeHOB">#REF!</definedName>
    <definedName name="flags_mergeHZ">#REF!</definedName>
    <definedName name="flags_mergePS">#REF!</definedName>
    <definedName name="FMTYP">"SP1"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oter">#REF!</definedName>
    <definedName name="forecast97">#REF!,#REF!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g">#REF!</definedName>
    <definedName name="GA">#REF!</definedName>
    <definedName name="GFHDF" hidden="1">#REF!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HJ" hidden="1">#REF!</definedName>
    <definedName name="GLaccount">#REF!</definedName>
    <definedName name="GLlookup">#REF!</definedName>
    <definedName name="GLname">#REF!</definedName>
    <definedName name="Group1">#REF!,#REF!,#REF!,#REF!</definedName>
    <definedName name="Hardware_maintenance">#REF!</definedName>
    <definedName name="HEADER1">"WORK ORDER ANALYSIS DETAIL  GAAP"</definedName>
    <definedName name="HEADER2">"4082"</definedName>
    <definedName name="HEADER3">"START DATE: JAN 2012     END DATE: SEP 2012"</definedName>
    <definedName name="HEADER4">""</definedName>
    <definedName name="hello">#REF!</definedName>
    <definedName name="HH">"15"</definedName>
    <definedName name="histdate">#REF!</definedName>
    <definedName name="HJKL" hidden="1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ursAvail">#REF!</definedName>
    <definedName name="HTML_CodePage" hidden="1">1252</definedName>
    <definedName name="HTML_Control" hidden="1">{"'2003 05 15'!$W$11:$AI$18","'2003 05 15'!$A$1:$V$30"}</definedName>
    <definedName name="HTML_Control_BIT" hidden="1">{"'2003 05 15'!$W$11:$AI$18","'2003 05 15'!$A$1:$V$30"}</definedName>
    <definedName name="HTML_Description" hidden="1">""</definedName>
    <definedName name="HTML_Email" hidden="1">""</definedName>
    <definedName name="HTML_Header" hidden="1">"2003 05 15"</definedName>
    <definedName name="HTML_LastUpdate" hidden="1">"5/15/2003"</definedName>
    <definedName name="HTML_LineAfter" hidden="1">FALSE</definedName>
    <definedName name="HTML_LineBefore" hidden="1">FALSE</definedName>
    <definedName name="HTML_Name" hidden="1">"Dave Sloan"</definedName>
    <definedName name="HTML_OBDlg2" hidden="1">TRUE</definedName>
    <definedName name="HTML_OBDlg4" hidden="1">TRUE</definedName>
    <definedName name="HTML_OS" hidden="1">0</definedName>
    <definedName name="HTML_PathFile" hidden="1">"N:\Time _ Cost Allocation\2003 03 AM Time Allocation\Results\MyHTML.htm"</definedName>
    <definedName name="HTML_Title" hidden="1">"2003 05 15 to Ian"</definedName>
    <definedName name="Huh?" hidden="1">{"'2003 05 15'!$W$11:$AI$18","'2003 05 15'!$A$1:$V$30"}</definedName>
    <definedName name="Huh?_BIT" hidden="1">{"'2003 05 15'!$W$11:$AI$18","'2003 05 15'!$A$1:$V$30"}</definedName>
    <definedName name="impactdata">#REF!</definedName>
    <definedName name="IncludeProject">#REF!</definedName>
    <definedName name="Incr2000">#REF!</definedName>
    <definedName name="increase">#REF!</definedName>
    <definedName name="Input_FW">#REF!,#REF!,#REF!,#REF!</definedName>
    <definedName name="Input_HUC">#REF!,#REF!,#REF!,#REF!,#REF!,#REF!,#REF!,#REF!</definedName>
    <definedName name="InputCells">#REF!,#REF!</definedName>
    <definedName name="Insurance">#REF!</definedName>
    <definedName name="Internal_ongoing_rate__CAD_hour">#REF!</definedName>
    <definedName name="Internal_project_rate__CAD_hour">#REF!</definedName>
    <definedName name="IPATH">"I:\Compleo\Compleo IDF"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HIGH_EST" hidden="1">"c1739"</definedName>
    <definedName name="IQ_EPS_GW_LOW_EST" hidden="1">"c1740"</definedName>
    <definedName name="IQ_EPS_GW_MEDIAN_EST" hidden="1">"c1738"</definedName>
    <definedName name="IQ_EPS_GW_NUM_EST" hidden="1">"c1741"</definedName>
    <definedName name="IQ_EPS_GW_STDDEV_EST" hidden="1">"c1742"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HIGH_EST" hidden="1">"c2228"</definedName>
    <definedName name="IQ_EPS_NORM_LOW_EST" hidden="1">"c2229"</definedName>
    <definedName name="IQ_EPS_NORM_MEDIAN_EST" hidden="1">"c2227"</definedName>
    <definedName name="IQ_EPS_NORM_NUM_EST" hidden="1">"c2230"</definedName>
    <definedName name="IQ_EPS_NORM_STDDEV_EST" hidden="1">"c2231"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HIGH_EST" hidden="1">"c1746"</definedName>
    <definedName name="IQ_EPS_REPORTED_LOW_EST" hidden="1">"c1747"</definedName>
    <definedName name="IQ_EPS_REPORTED_MEDIAN_EST" hidden="1">"c1745"</definedName>
    <definedName name="IQ_EPS_REPORTED_NUM_EST" hidden="1">"c1748"</definedName>
    <definedName name="IQ_EPS_REPORTED_STDDEV_EST" hidden="1">"c1749"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NORM" hidden="1">"c2232"</definedName>
    <definedName name="IQ_EST_ACT_EPS_REPORTED" hidden="1">"c1750"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SURPRISE_PERCENT" hidden="1">"c1892"</definedName>
    <definedName name="IQ_EST_EPS_NORM_DIFF" hidden="1">"c2247"</definedName>
    <definedName name="IQ_EST_EPS_NORM_SURPRISE_PERCENT" hidden="1">"c2248"</definedName>
    <definedName name="IQ_EST_EPS_REPORT_DIFF" hidden="1">"c1893"</definedName>
    <definedName name="IQ_EST_EPS_REPORT_SURPRISE_PERCENT" hidden="1">"c1894"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OWNERS_WRITTEN" hidden="1">"c546"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AIR_OIL" hidden="1">"c547"</definedName>
    <definedName name="IQ_IMPAIRMENT_GW" hidden="1">"c548"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_CATEGORIES">#REF!</definedName>
    <definedName name="IT_OT">#REF!</definedName>
    <definedName name="Items1997">#REF!,#REF!,#REF!,#REF!,#REF!</definedName>
    <definedName name="Items98">#REF!,#REF!,#REF!,#REF!,#REF!,#REF!,#REF!,#REF!,#REF!,#REF!,#REF!</definedName>
    <definedName name="JBNAM">"QPADEV002T"</definedName>
    <definedName name="JBNMB">"184448"</definedName>
    <definedName name="jjj">#REF!</definedName>
    <definedName name="john">#REF!</definedName>
    <definedName name="L_DERMS_fixed">#REF!</definedName>
    <definedName name="L_DERMS_ongoing">#REF!</definedName>
    <definedName name="labourlist">#REF!</definedName>
    <definedName name="Language">#REF!</definedName>
    <definedName name="LastSheet" hidden="1">"Total Bill Impacts_All Customer"</definedName>
    <definedName name="lastyrcap">#REF!</definedName>
    <definedName name="lastyrop">#REF!</definedName>
    <definedName name="LDC">#REF!</definedName>
    <definedName name="LDC_LIST">#REF!</definedName>
    <definedName name="LDCkWh">#REF!</definedName>
    <definedName name="LDCkWh2">#REF!</definedName>
    <definedName name="LDCkWh3">#REF!</definedName>
    <definedName name="LDCLoads">#REF!</definedName>
    <definedName name="LDCNAMES">#REF!</definedName>
    <definedName name="LDCRates">#REF!</definedName>
    <definedName name="LDCRates2">#REF!</definedName>
    <definedName name="LIMIT">#REF!</definedName>
    <definedName name="list">#REF!,#REF!,#REF!,#REF!,#REF!,#REF!,#REF!,#REF!,#REF!,#REF!</definedName>
    <definedName name="List2001">#REF!,#REF!,#REF!,#REF!,#REF!,#REF!,#REF!,#REF!,#REF!,#REF!</definedName>
    <definedName name="LKASFDH" hidden="1">#REF!</definedName>
    <definedName name="LoadForecast">#REF!</definedName>
    <definedName name="Loads">#REF!</definedName>
    <definedName name="LYN">#REF!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rketing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_Mat">#REF!</definedName>
    <definedName name="MBUD">#REF!</definedName>
    <definedName name="MCYR">#REF!</definedName>
    <definedName name="Meter_capex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IN">"49"</definedName>
    <definedName name="MMM">"SEP"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ONTHS">#REF!</definedName>
    <definedName name="MPYR">#REF!</definedName>
    <definedName name="MULT">#REF!</definedName>
    <definedName name="NELDC_kWhs">#REF!</definedName>
    <definedName name="NNELDCkWhs">#REF!</definedName>
    <definedName name="NONBENF">#REF!</definedName>
    <definedName name="nonreg">#REF!</definedName>
    <definedName name="nonregf">#REF!</definedName>
    <definedName name="NorB">#REF!</definedName>
    <definedName name="note5d">#REF!</definedName>
    <definedName name="Number_of_units">#REF!</definedName>
    <definedName name="NumOfPCs">#REF!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Effdt">"V1901-01-01"</definedName>
    <definedName name="NvsPanelSetid">"V900"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OEB_LIST">#REF!</definedName>
    <definedName name="OEBcodes">#REF!</definedName>
    <definedName name="ok">#REF!</definedName>
    <definedName name="Old_Print_Area_A">#REF!</definedName>
    <definedName name="operating">#REF!</definedName>
    <definedName name="opsupplier">#REF!</definedName>
    <definedName name="OQLIB">"QUSRSYS"</definedName>
    <definedName name="OQNAM">"COMPLEO"</definedName>
    <definedName name="Order" hidden="1">255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">#REF!</definedName>
    <definedName name="other_costs">#REF!</definedName>
    <definedName name="OTHERBUD">#REF!</definedName>
    <definedName name="OtherRateCharges">#REF!</definedName>
    <definedName name="othNYbud">#REF!</definedName>
    <definedName name="othPYACT">#REF!</definedName>
    <definedName name="OTHSTART">#REF!</definedName>
    <definedName name="overhead">#REF!</definedName>
    <definedName name="Page_Count">#REF!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CDAT">"9/26/2012"</definedName>
    <definedName name="PCDAY">"26"</definedName>
    <definedName name="PCDT2">"20120926"</definedName>
    <definedName name="PCI">#REF!</definedName>
    <definedName name="PCMON">"09"</definedName>
    <definedName name="PCTIM">"12:08:21 PM"</definedName>
    <definedName name="PCYEA">"2012"</definedName>
    <definedName name="pemployee">#REF!</definedName>
    <definedName name="Percent_Area">#REF!,#REF!,#REF!,#REF!</definedName>
    <definedName name="PERIOD_CUTOFF">#REF!</definedName>
    <definedName name="PGM">"GL150"</definedName>
    <definedName name="PorW">#REF!</definedName>
    <definedName name="PreparedBy">#REF!</definedName>
    <definedName name="PriceCapParams">#REF!</definedName>
    <definedName name="primary">#REF!,#REF!,#REF!</definedName>
    <definedName name="Print">#REF!</definedName>
    <definedName name="_xlnm.Print_Area">#REF!</definedName>
    <definedName name="print_end">#REF!</definedName>
    <definedName name="Print_List">#REF!</definedName>
    <definedName name="PRINT_OPTIONS">#REF!</definedName>
    <definedName name="Print_Preview">#REF!</definedName>
    <definedName name="PRIOR">" 5"</definedName>
    <definedName name="Program_management_salary">#REF!</definedName>
    <definedName name="Project_management_salary">#REF!</definedName>
    <definedName name="projectemployee">#REF!</definedName>
    <definedName name="projectname">#REF!</definedName>
    <definedName name="q1bpe">#REF!</definedName>
    <definedName name="Qend">#REF!</definedName>
    <definedName name="QUARTER">#REF!</definedName>
    <definedName name="Rate_Class">#REF!</definedName>
    <definedName name="Rate_Riders">#REF!</definedName>
    <definedName name="Ratebase">#REF!</definedName>
    <definedName name="ratedescription">#REF!</definedName>
    <definedName name="RateLookup">#REF!</definedName>
    <definedName name="RatesScenarios">#REF!</definedName>
    <definedName name="RB">#REF!</definedName>
    <definedName name="RBU">#REF!</definedName>
    <definedName name="rDeptCode">#REF!</definedName>
    <definedName name="rDeptYrly">#REF!</definedName>
    <definedName name="rearrange95">#REF!,#REF!,#REF!</definedName>
    <definedName name="REASON_CODES">#REF!</definedName>
    <definedName name="Recalculation_Flag">#REF!</definedName>
    <definedName name="RetailRates">#REF!</definedName>
    <definedName name="REVERSAL_VAL">#REF!</definedName>
    <definedName name="Reversing">#REF!</definedName>
    <definedName name="rFunc">#REF!</definedName>
    <definedName name="rGroup">#REF!</definedName>
    <definedName name="rGroupCode">#REF!</definedName>
    <definedName name="RID">#REF!</definedName>
    <definedName name="rIndex">#REF!</definedName>
    <definedName name="RMDepr">#REF!</definedName>
    <definedName name="rOUTGroup">#REF!</definedName>
    <definedName name="RPP_Data">#REF!</definedName>
    <definedName name="rSCS">#REF!</definedName>
    <definedName name="rSMS">#REF!</definedName>
    <definedName name="rYrlyGroup">#REF!</definedName>
    <definedName name="SALBENF">#REF!</definedName>
    <definedName name="salreg">#REF!</definedName>
    <definedName name="SALREGF">#REF!</definedName>
    <definedName name="SCN">#REF!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ervco_switch">#REF!</definedName>
    <definedName name="SFV">#REF!</definedName>
    <definedName name="Solar_installed_cost">#REF!</definedName>
    <definedName name="Solar_maintenance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"COMPLEO"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"9/26/2012"</definedName>
    <definedName name="SPDAY">"26"</definedName>
    <definedName name="SPDT2">"20120926"</definedName>
    <definedName name="SPMON">"09"</definedName>
    <definedName name="SPNAM">"QSYSPRT2"</definedName>
    <definedName name="SPNMB">"2"</definedName>
    <definedName name="SPTIM">"12:06:26"</definedName>
    <definedName name="SPTM2">"120821"</definedName>
    <definedName name="SPYEA">"2012"</definedName>
    <definedName name="SS">"04"</definedName>
    <definedName name="START_YR">#REF!</definedName>
    <definedName name="STATE">"*READY"</definedName>
    <definedName name="subtrans">#REF!,#REF!,#REF!,#REF!,#REF!</definedName>
    <definedName name="Summary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ableLarge">#REF!,#REF!,#REF!,#REF!</definedName>
    <definedName name="TableName">"Dummy"</definedName>
    <definedName name="TableReportAll">#REF!,#REF!,#REF!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blCCCMAct">#REF!</definedName>
    <definedName name="tblCCCMBudget">#REF!</definedName>
    <definedName name="tblCCCMTime">#REF!</definedName>
    <definedName name="tblCCCMTimeact">#REF!</definedName>
    <definedName name="tblDrivers">#REF!</definedName>
    <definedName name="tblLabor">#REF!</definedName>
    <definedName name="tblNonLabor">#REF!</definedName>
    <definedName name="tblOutYrly">#REF!</definedName>
    <definedName name="TEMPA">#REF!</definedName>
    <definedName name="terr_name">#REF!</definedName>
    <definedName name="test">#REF!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ITLE">"WORK ORDER MTD AMOUNTS FOR SEP 2012 -
G/L ACCOUNT 4082  Retail Services Reve"</definedName>
    <definedName name="Title1">#REF!</definedName>
    <definedName name="Title2">#REF!</definedName>
    <definedName name="Title3">#REF!</definedName>
    <definedName name="TM1REBUILDOPTION">1</definedName>
    <definedName name="TorF">#REF!</definedName>
    <definedName name="total">#REF!,#REF!,#REF!,#REF!,#REF!,#REF!,#REF!,#REF!</definedName>
    <definedName name="total_dep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PG">"2"</definedName>
    <definedName name="TPATH">"C:\Documents and Settings\All Users\Application Data\Symtrax\Compleo Suite 4\Temp\9ee12985-ed8d-4475-a6ab-533b6249471f"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TTLE">"G/L ACCOUNT 4006  Residential Energy S
                                   STAT"</definedName>
    <definedName name="TWENTY_FIVE_YEAR_CLUB">#REF!</definedName>
    <definedName name="TXLDCLoad">#REF!</definedName>
    <definedName name="TXLDCRate">#REF!</definedName>
    <definedName name="UnionStaff">#REF!</definedName>
    <definedName name="UnionTitles">#REF!</definedName>
    <definedName name="units">#REF!</definedName>
    <definedName name="Units_commissioned_2019">#REF!</definedName>
    <definedName name="Units_commissioned_2020">#REF!</definedName>
    <definedName name="Units_commissioned_2021">#REF!</definedName>
    <definedName name="Units_commissioned_2022">#REF!</definedName>
    <definedName name="Units1">#REF!</definedName>
    <definedName name="Update_Date">#REF!</definedName>
    <definedName name="USD_CAD_exchange">#REF!</definedName>
    <definedName name="USDAT">"GL150"</definedName>
    <definedName name="UsefulLife">#REF!</definedName>
    <definedName name="USNAM">"OSELIVANOV"</definedName>
    <definedName name="USOA">#REF!</definedName>
    <definedName name="usofa">#REF!</definedName>
    <definedName name="Utility">#REF!</definedName>
    <definedName name="UtilityInfo">#REF!</definedName>
    <definedName name="utitliy1">#REF!</definedName>
    <definedName name="VarSum">#REF!</definedName>
    <definedName name="vehicle">#REF!</definedName>
    <definedName name="vehiclelookup">#REF!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AGBENF">#REF!</definedName>
    <definedName name="wagdob">#REF!</definedName>
    <definedName name="wagdobf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employee">#REF!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rkemployee">#REF!</definedName>
    <definedName name="workname">#REF!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Exception._.Report." hidden="1">{#N/A,#N/A,FALSE,"Exception Report"}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HO._.Cost._.Alloc.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.Alloc.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HO._.Cost._Alloc.Rev_BIT" hidden="1">{"SumCost_Alloc",#N/A,FALSE,"Sheet1";"ChairOffice",#N/A,FALSE,"Sheet1";"BoardDirectors",#N/A,FALSE,"Sheet1";"PresCEO",#N/A,FALSE,"Sheet1";"CFOOffice",#N/A,FALSE,"Sheet1";"TreasOffice",#N/A,FALSE,"Sheet1";"StratDevelop",#N/A,FALSE,"Sheet1";"GenlCons_Secy",#N/A,FALSE,"Sheet1";"GenlCons_Corp",#N/A,FALSE,"Sheet1";"GenlCons_Law",#N/A,FALSE,"Sheet1";"GenlCons_Reg_Price",#N/A,FALSE,"Sheet1";"HumanResources",#N/A,FALSE,"Sheet1";"LabourRelations",#N/A,FALSE,"Sheet1";"IMIT",#N/A,FALSE,"Sheet1";"CorpComm",#N/A,FALSE,"Sheet1";"LBSSFacilities",#N/A,FALSE,"Sheet1";"CF_CorpContr",#N/A,FALSE,"Sheet1";"CFTreasury",#N/A,FALSE,"Sheet1";"CFTax",#N/A,FALSE,"Sheet1";"CFStrategy",#N/A,FALSE,"Sheet1";"CF_InternalAudit",#N/A,FALSE,"Sheet1"}</definedName>
    <definedName name="wrn.income." hidden="1">{"income",#N/A,FALSE,"income_statement"}</definedName>
    <definedName name="wrn.OMreport." hidden="1">{"OM_data",#N/A,FALSE,"O&amp;M Data Table";"OM_regulatory_adjustments",#N/A,FALSE,"O&amp;M Data Table";"OM_select_data",#N/A,FALSE,"O&amp;M Data Table"}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TDvar">#REF!</definedName>
    <definedName name="YYYY">"2012"</definedName>
    <definedName name="Z_Factor_Analysi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0" i="55" l="1"/>
  <c r="D41" i="55"/>
  <c r="D42" i="55"/>
  <c r="D43" i="55"/>
  <c r="D39" i="54" l="1"/>
  <c r="D40" i="54"/>
  <c r="D41" i="54"/>
  <c r="D42" i="54"/>
  <c r="D39" i="53" l="1"/>
  <c r="D40" i="53"/>
  <c r="D41" i="53"/>
  <c r="D42" i="53"/>
  <c r="E39" i="53" l="1"/>
  <c r="E41" i="53"/>
  <c r="E42" i="53"/>
  <c r="E40" i="53"/>
  <c r="D40" i="52"/>
  <c r="D41" i="52"/>
  <c r="D42" i="52"/>
  <c r="D43" i="52"/>
  <c r="D45" i="52"/>
  <c r="D47" i="52" l="1"/>
  <c r="D46" i="52"/>
  <c r="D45" i="55"/>
  <c r="D46" i="55"/>
  <c r="D47" i="55"/>
  <c r="D46" i="54"/>
  <c r="D45" i="54"/>
  <c r="D44" i="54"/>
  <c r="D44" i="53"/>
  <c r="D45" i="53"/>
  <c r="D46" i="53"/>
  <c r="E45" i="53" l="1"/>
  <c r="D43" i="53"/>
  <c r="D44" i="55"/>
  <c r="D43" i="54"/>
  <c r="D44" i="52"/>
  <c r="E44" i="53"/>
  <c r="E46" i="53"/>
  <c r="E43" i="53" l="1"/>
  <c r="D39" i="55" l="1"/>
  <c r="D38" i="54"/>
  <c r="D38" i="53"/>
  <c r="D39" i="52"/>
  <c r="E38" i="53" l="1"/>
  <c r="E24" i="53" l="1"/>
  <c r="D17" i="55" l="1"/>
  <c r="D18" i="55"/>
  <c r="D19" i="55"/>
  <c r="D20" i="55"/>
  <c r="D21" i="55"/>
  <c r="D22" i="55"/>
  <c r="D23" i="55"/>
  <c r="D24" i="55"/>
  <c r="D25" i="55"/>
  <c r="D26" i="55"/>
  <c r="D27" i="55"/>
  <c r="D28" i="55"/>
  <c r="D29" i="55"/>
  <c r="D30" i="55"/>
  <c r="D31" i="55"/>
  <c r="D32" i="55"/>
  <c r="D33" i="55"/>
  <c r="D34" i="55"/>
  <c r="D35" i="55"/>
  <c r="D36" i="55"/>
  <c r="D37" i="55"/>
  <c r="D38" i="55"/>
  <c r="D16" i="55"/>
  <c r="D12" i="53"/>
  <c r="D13" i="53"/>
  <c r="D14" i="53"/>
  <c r="D15" i="53"/>
  <c r="D16" i="53"/>
  <c r="D17" i="53"/>
  <c r="D18" i="53"/>
  <c r="D19" i="53"/>
  <c r="D20" i="53"/>
  <c r="D21" i="53"/>
  <c r="D22" i="53"/>
  <c r="D23" i="53"/>
  <c r="D24" i="53"/>
  <c r="D25" i="53"/>
  <c r="D26" i="53"/>
  <c r="D27" i="53"/>
  <c r="D28" i="53"/>
  <c r="D29" i="53"/>
  <c r="D30" i="53"/>
  <c r="D31" i="53"/>
  <c r="D32" i="53"/>
  <c r="D33" i="53"/>
  <c r="D34" i="53"/>
  <c r="D35" i="53"/>
  <c r="D36" i="53"/>
  <c r="D37" i="53"/>
  <c r="D12" i="54"/>
  <c r="D13" i="54"/>
  <c r="D14" i="54"/>
  <c r="D15" i="54"/>
  <c r="D16" i="54"/>
  <c r="D17" i="54"/>
  <c r="D18" i="54"/>
  <c r="D19" i="54"/>
  <c r="D20" i="54"/>
  <c r="D21" i="54"/>
  <c r="D22" i="54"/>
  <c r="D23" i="54"/>
  <c r="D24" i="54"/>
  <c r="D25" i="54"/>
  <c r="D26" i="54"/>
  <c r="D27" i="54"/>
  <c r="D28" i="54"/>
  <c r="D29" i="54"/>
  <c r="D30" i="54"/>
  <c r="D31" i="54"/>
  <c r="D32" i="54"/>
  <c r="D33" i="54"/>
  <c r="D34" i="54"/>
  <c r="D35" i="54"/>
  <c r="D36" i="54"/>
  <c r="D37" i="54"/>
  <c r="D13" i="52"/>
  <c r="D14" i="52"/>
  <c r="D15" i="52"/>
  <c r="D16" i="52"/>
  <c r="D17" i="52"/>
  <c r="D18" i="52"/>
  <c r="D19" i="52"/>
  <c r="D20" i="52"/>
  <c r="D21" i="52"/>
  <c r="D22" i="52"/>
  <c r="D23" i="52"/>
  <c r="D24" i="52"/>
  <c r="D25" i="52"/>
  <c r="D26" i="52"/>
  <c r="D27" i="52"/>
  <c r="D28" i="52"/>
  <c r="D29" i="52"/>
  <c r="D30" i="52"/>
  <c r="D31" i="52"/>
  <c r="D32" i="52"/>
  <c r="D33" i="52"/>
  <c r="D34" i="52"/>
  <c r="D35" i="52"/>
  <c r="D36" i="52"/>
  <c r="D37" i="52"/>
  <c r="D38" i="52"/>
  <c r="D11" i="53"/>
  <c r="D11" i="54"/>
  <c r="D12" i="52"/>
  <c r="E37" i="53" l="1"/>
  <c r="E36" i="53" l="1"/>
  <c r="E5" i="53"/>
  <c r="E6" i="53"/>
  <c r="E10" i="53"/>
  <c r="E9" i="53"/>
  <c r="E7" i="53" l="1"/>
  <c r="E8" i="53"/>
  <c r="E41" i="55" l="1"/>
  <c r="E42" i="55"/>
  <c r="E43" i="55"/>
  <c r="E44" i="55"/>
  <c r="E45" i="55"/>
  <c r="E40" i="55"/>
  <c r="E46" i="55"/>
  <c r="E47" i="55"/>
  <c r="E44" i="54"/>
  <c r="E41" i="54"/>
  <c r="E45" i="54"/>
  <c r="E46" i="54"/>
  <c r="E42" i="54"/>
  <c r="E43" i="54"/>
  <c r="E39" i="54"/>
  <c r="E40" i="54"/>
  <c r="E13" i="54"/>
  <c r="E12" i="54"/>
  <c r="E27" i="54"/>
  <c r="E26" i="54"/>
  <c r="E25" i="54"/>
  <c r="E20" i="54"/>
  <c r="E38" i="55"/>
  <c r="E14" i="54"/>
  <c r="E24" i="54"/>
  <c r="E15" i="54"/>
  <c r="E4" i="54"/>
  <c r="E23" i="54"/>
  <c r="E34" i="54"/>
  <c r="E33" i="54"/>
  <c r="E7" i="54"/>
  <c r="E31" i="54"/>
  <c r="E19" i="54"/>
  <c r="E29" i="54"/>
  <c r="E17" i="54"/>
  <c r="E21" i="54"/>
  <c r="E30" i="54"/>
  <c r="E18" i="54"/>
  <c r="E28" i="54"/>
  <c r="E16" i="55"/>
  <c r="E12" i="55"/>
  <c r="E8" i="55"/>
  <c r="E28" i="55"/>
  <c r="E20" i="55"/>
  <c r="E5" i="55"/>
  <c r="E24" i="55"/>
  <c r="E39" i="55" l="1"/>
  <c r="E22" i="55"/>
  <c r="E15" i="55"/>
  <c r="E34" i="55"/>
  <c r="E27" i="55"/>
  <c r="E33" i="55"/>
  <c r="E25" i="55"/>
  <c r="E13" i="55"/>
  <c r="E32" i="55"/>
  <c r="E18" i="55"/>
  <c r="E37" i="55"/>
  <c r="E9" i="55"/>
  <c r="E36" i="55"/>
  <c r="E17" i="55"/>
  <c r="E7" i="55"/>
  <c r="E26" i="55"/>
  <c r="E10" i="55"/>
  <c r="E30" i="55"/>
  <c r="E19" i="55"/>
  <c r="E35" i="55"/>
  <c r="E14" i="55"/>
  <c r="E11" i="55"/>
  <c r="E23" i="55"/>
  <c r="E29" i="55"/>
  <c r="E31" i="55"/>
  <c r="E6" i="55"/>
  <c r="E21" i="55"/>
  <c r="E35" i="54"/>
  <c r="E11" i="54"/>
  <c r="E5" i="54"/>
  <c r="E16" i="54"/>
  <c r="E32" i="54"/>
  <c r="E22" i="54"/>
  <c r="E9" i="54"/>
  <c r="E38" i="54"/>
  <c r="E10" i="54"/>
  <c r="E37" i="54"/>
  <c r="E6" i="54"/>
  <c r="E8" i="54"/>
  <c r="E36" i="54"/>
  <c r="E48" i="55" l="1"/>
  <c r="E50" i="55" s="1"/>
  <c r="E47" i="54"/>
  <c r="E49" i="54" s="1"/>
  <c r="E12" i="53"/>
  <c r="E13" i="53"/>
  <c r="E14" i="53"/>
  <c r="E18" i="53"/>
  <c r="E20" i="53"/>
  <c r="E21" i="53"/>
  <c r="E22" i="53"/>
  <c r="E25" i="53"/>
  <c r="E28" i="53"/>
  <c r="E29" i="53"/>
  <c r="E30" i="53"/>
  <c r="E32" i="53"/>
  <c r="E34" i="53"/>
  <c r="E4" i="53"/>
  <c r="E43" i="52" l="1"/>
  <c r="E44" i="52"/>
  <c r="E45" i="52"/>
  <c r="E46" i="52"/>
  <c r="E42" i="52"/>
  <c r="E47" i="52"/>
  <c r="E41" i="52"/>
  <c r="E40" i="52"/>
  <c r="E33" i="53"/>
  <c r="E19" i="53"/>
  <c r="E11" i="53"/>
  <c r="E23" i="53"/>
  <c r="E31" i="53"/>
  <c r="E35" i="53"/>
  <c r="E26" i="53"/>
  <c r="E16" i="53"/>
  <c r="E17" i="53"/>
  <c r="E15" i="53"/>
  <c r="E27" i="53"/>
  <c r="E22" i="52"/>
  <c r="E27" i="52"/>
  <c r="E17" i="52"/>
  <c r="E24" i="52"/>
  <c r="E34" i="52"/>
  <c r="E13" i="52"/>
  <c r="E29" i="52"/>
  <c r="E19" i="52"/>
  <c r="E26" i="52"/>
  <c r="E31" i="52"/>
  <c r="E16" i="52"/>
  <c r="E36" i="52"/>
  <c r="E20" i="52"/>
  <c r="E23" i="52"/>
  <c r="E30" i="52"/>
  <c r="E32" i="52"/>
  <c r="E28" i="52"/>
  <c r="E47" i="53" l="1"/>
  <c r="E49" i="53" s="1"/>
  <c r="E38" i="52"/>
  <c r="E25" i="52"/>
  <c r="E5" i="52"/>
  <c r="E8" i="52"/>
  <c r="E18" i="52"/>
  <c r="E9" i="52"/>
  <c r="E21" i="52"/>
  <c r="E7" i="52"/>
  <c r="E39" i="52"/>
  <c r="E10" i="52"/>
  <c r="E15" i="52"/>
  <c r="E33" i="52"/>
  <c r="E14" i="52"/>
  <c r="E12" i="52"/>
  <c r="E37" i="52"/>
  <c r="E6" i="52"/>
  <c r="E11" i="52"/>
  <c r="E35" i="52"/>
  <c r="E48" i="52" l="1"/>
  <c r="E50" i="52" s="1"/>
  <c r="F3" i="45" l="1"/>
  <c r="E46" i="47" l="1"/>
  <c r="E47" i="47"/>
  <c r="E48" i="47"/>
  <c r="E41" i="47"/>
  <c r="E42" i="47"/>
  <c r="E43" i="47"/>
  <c r="E45" i="47"/>
  <c r="E44" i="47"/>
  <c r="E23" i="47" l="1"/>
  <c r="E26" i="47"/>
  <c r="E12" i="47"/>
  <c r="E15" i="47"/>
  <c r="E8" i="47"/>
  <c r="E27" i="47"/>
  <c r="E20" i="47"/>
  <c r="E35" i="47"/>
  <c r="E7" i="47"/>
  <c r="E37" i="47"/>
  <c r="E34" i="47"/>
  <c r="E14" i="47"/>
  <c r="E36" i="47"/>
  <c r="E16" i="47"/>
  <c r="E32" i="47"/>
  <c r="E22" i="47"/>
  <c r="E18" i="47"/>
  <c r="E9" i="47"/>
  <c r="E13" i="47"/>
  <c r="E19" i="47"/>
  <c r="E25" i="47"/>
  <c r="E30" i="47"/>
  <c r="E33" i="47"/>
  <c r="E31" i="47"/>
  <c r="E28" i="47"/>
  <c r="E21" i="47"/>
  <c r="E29" i="47"/>
  <c r="E10" i="47"/>
  <c r="E38" i="47"/>
  <c r="E24" i="47"/>
  <c r="E17" i="47"/>
  <c r="E6" i="47"/>
  <c r="E11" i="47"/>
  <c r="E39" i="47"/>
  <c r="E40" i="47"/>
  <c r="E49" i="47" l="1"/>
  <c r="E51" i="47" s="1"/>
  <c r="R43" i="41" l="1"/>
  <c r="C17" i="41"/>
  <c r="C15" i="41"/>
  <c r="T21" i="45" l="1"/>
  <c r="U21" i="45"/>
  <c r="V21" i="45"/>
  <c r="V38" i="45" s="1"/>
  <c r="V46" i="45" s="1"/>
  <c r="S21" i="45"/>
  <c r="S38" i="45" s="1"/>
  <c r="I21" i="45"/>
  <c r="E43" i="45"/>
  <c r="AG38" i="45"/>
  <c r="AG46" i="45" s="1"/>
  <c r="AJ38" i="45"/>
  <c r="AJ46" i="45" s="1"/>
  <c r="AI38" i="45"/>
  <c r="AI46" i="45" s="1"/>
  <c r="AH38" i="45"/>
  <c r="AH46" i="45" s="1"/>
  <c r="AK38" i="45"/>
  <c r="AC38" i="45"/>
  <c r="AC46" i="45" s="1"/>
  <c r="AB38" i="45"/>
  <c r="AB46" i="45" s="1"/>
  <c r="AA38" i="45"/>
  <c r="AA46" i="45" s="1"/>
  <c r="Z38" i="45"/>
  <c r="Z46" i="45" s="1"/>
  <c r="U38" i="45"/>
  <c r="U46" i="45" s="1"/>
  <c r="T38" i="45"/>
  <c r="T46" i="45" s="1"/>
  <c r="L38" i="45"/>
  <c r="L46" i="45" s="1"/>
  <c r="M38" i="45"/>
  <c r="M46" i="45" s="1"/>
  <c r="N38" i="45"/>
  <c r="O38" i="45"/>
  <c r="O46" i="45" s="1"/>
  <c r="E36" i="45"/>
  <c r="E37" i="45"/>
  <c r="E45" i="45" s="1"/>
  <c r="E38" i="45"/>
  <c r="I38" i="45" s="1"/>
  <c r="F38" i="45"/>
  <c r="F46" i="45" s="1"/>
  <c r="G38" i="45"/>
  <c r="G46" i="45" s="1"/>
  <c r="H38" i="45"/>
  <c r="H46" i="45" s="1"/>
  <c r="E39" i="45"/>
  <c r="E47" i="45" s="1"/>
  <c r="P31" i="45"/>
  <c r="I31" i="45"/>
  <c r="AD28" i="45"/>
  <c r="AD29" i="45"/>
  <c r="AD30" i="45"/>
  <c r="W28" i="45"/>
  <c r="W29" i="45"/>
  <c r="W30" i="45"/>
  <c r="P29" i="45"/>
  <c r="I29" i="45"/>
  <c r="AA27" i="45"/>
  <c r="Z27" i="45"/>
  <c r="V27" i="45"/>
  <c r="U27" i="45"/>
  <c r="T27" i="45"/>
  <c r="S27" i="45"/>
  <c r="W27" i="45" s="1"/>
  <c r="O27" i="45"/>
  <c r="N27" i="45"/>
  <c r="M27" i="45"/>
  <c r="L27" i="45"/>
  <c r="H27" i="45"/>
  <c r="G27" i="45"/>
  <c r="F27" i="45"/>
  <c r="AK46" i="45" l="1"/>
  <c r="AD46" i="45"/>
  <c r="P38" i="45"/>
  <c r="E46" i="45"/>
  <c r="I46" i="45" s="1"/>
  <c r="E44" i="45"/>
  <c r="N46" i="45"/>
  <c r="P46" i="45" s="1"/>
  <c r="AD38" i="45"/>
  <c r="W38" i="45"/>
  <c r="S46" i="45"/>
  <c r="W46" i="45"/>
  <c r="E48" i="45"/>
  <c r="BD32" i="45"/>
  <c r="BC32" i="45"/>
  <c r="BB32" i="45"/>
  <c r="BA32" i="45"/>
  <c r="AX32" i="45"/>
  <c r="AW32" i="45"/>
  <c r="AV32" i="45"/>
  <c r="AU32" i="45"/>
  <c r="BG31" i="45"/>
  <c r="BG39" i="45" s="1"/>
  <c r="BE31" i="45"/>
  <c r="AY31" i="45"/>
  <c r="AR31" i="45"/>
  <c r="BG30" i="45"/>
  <c r="BG38" i="45" s="1"/>
  <c r="BE30" i="45"/>
  <c r="AY30" i="45"/>
  <c r="AK30" i="45"/>
  <c r="I30" i="45"/>
  <c r="BG29" i="45"/>
  <c r="BG37" i="45" s="1"/>
  <c r="BE29" i="45"/>
  <c r="AY29" i="45"/>
  <c r="AK29" i="45"/>
  <c r="BG28" i="45"/>
  <c r="BG36" i="45" s="1"/>
  <c r="BE28" i="45"/>
  <c r="AY28" i="45"/>
  <c r="BG27" i="45"/>
  <c r="BG35" i="45" s="1"/>
  <c r="BE27" i="45"/>
  <c r="AY27" i="45"/>
  <c r="BD22" i="45"/>
  <c r="BD39" i="45" s="1"/>
  <c r="BD47" i="45" s="1"/>
  <c r="BC22" i="45"/>
  <c r="BC39" i="45" s="1"/>
  <c r="BC47" i="45" s="1"/>
  <c r="BB22" i="45"/>
  <c r="BB39" i="45" s="1"/>
  <c r="BB47" i="45" s="1"/>
  <c r="BA22" i="45"/>
  <c r="BA39" i="45" s="1"/>
  <c r="AX22" i="45"/>
  <c r="AX39" i="45" s="1"/>
  <c r="AX47" i="45" s="1"/>
  <c r="AW22" i="45"/>
  <c r="AW39" i="45" s="1"/>
  <c r="AW47" i="45" s="1"/>
  <c r="AV22" i="45"/>
  <c r="AU22" i="45"/>
  <c r="AU39" i="45" s="1"/>
  <c r="AU47" i="45" s="1"/>
  <c r="AQ22" i="45"/>
  <c r="AQ39" i="45" s="1"/>
  <c r="AQ47" i="45" s="1"/>
  <c r="AP22" i="45"/>
  <c r="AP39" i="45" s="1"/>
  <c r="AP47" i="45" s="1"/>
  <c r="AO22" i="45"/>
  <c r="AO39" i="45" s="1"/>
  <c r="AO47" i="45" s="1"/>
  <c r="AN22" i="45"/>
  <c r="AN39" i="45" s="1"/>
  <c r="AJ22" i="45"/>
  <c r="AJ39" i="45" s="1"/>
  <c r="AJ47" i="45" s="1"/>
  <c r="AI22" i="45"/>
  <c r="AI39" i="45" s="1"/>
  <c r="AH22" i="45"/>
  <c r="AH39" i="45" s="1"/>
  <c r="AH47" i="45" s="1"/>
  <c r="AG22" i="45"/>
  <c r="AG39" i="45" s="1"/>
  <c r="AG47" i="45" s="1"/>
  <c r="AC22" i="45"/>
  <c r="AC39" i="45" s="1"/>
  <c r="AC47" i="45" s="1"/>
  <c r="AB22" i="45"/>
  <c r="AB39" i="45" s="1"/>
  <c r="AB47" i="45" s="1"/>
  <c r="AA22" i="45"/>
  <c r="AA39" i="45" s="1"/>
  <c r="AA47" i="45" s="1"/>
  <c r="Z22" i="45"/>
  <c r="Z39" i="45" s="1"/>
  <c r="V22" i="45"/>
  <c r="V39" i="45" s="1"/>
  <c r="V47" i="45" s="1"/>
  <c r="U22" i="45"/>
  <c r="U39" i="45" s="1"/>
  <c r="U47" i="45" s="1"/>
  <c r="T22" i="45"/>
  <c r="T39" i="45" s="1"/>
  <c r="T47" i="45" s="1"/>
  <c r="S22" i="45"/>
  <c r="S39" i="45" s="1"/>
  <c r="O22" i="45"/>
  <c r="O39" i="45" s="1"/>
  <c r="O47" i="45" s="1"/>
  <c r="N22" i="45"/>
  <c r="N39" i="45" s="1"/>
  <c r="N47" i="45" s="1"/>
  <c r="M22" i="45"/>
  <c r="M39" i="45" s="1"/>
  <c r="M47" i="45" s="1"/>
  <c r="L22" i="45"/>
  <c r="L39" i="45" s="1"/>
  <c r="H22" i="45"/>
  <c r="H39" i="45" s="1"/>
  <c r="H47" i="45" s="1"/>
  <c r="G22" i="45"/>
  <c r="G39" i="45" s="1"/>
  <c r="G47" i="45" s="1"/>
  <c r="F22" i="45"/>
  <c r="BD21" i="45"/>
  <c r="BD38" i="45" s="1"/>
  <c r="BD46" i="45" s="1"/>
  <c r="BC21" i="45"/>
  <c r="BC38" i="45" s="1"/>
  <c r="BC46" i="45" s="1"/>
  <c r="BB21" i="45"/>
  <c r="BB38" i="45" s="1"/>
  <c r="BB46" i="45" s="1"/>
  <c r="BA21" i="45"/>
  <c r="BA38" i="45" s="1"/>
  <c r="AX21" i="45"/>
  <c r="AX38" i="45" s="1"/>
  <c r="AX46" i="45" s="1"/>
  <c r="AX48" i="45" s="1"/>
  <c r="AW21" i="45"/>
  <c r="AW38" i="45" s="1"/>
  <c r="AW46" i="45" s="1"/>
  <c r="AV21" i="45"/>
  <c r="AU21" i="45"/>
  <c r="AU38" i="45" s="1"/>
  <c r="AU46" i="45" s="1"/>
  <c r="AQ21" i="45"/>
  <c r="AQ38" i="45" s="1"/>
  <c r="AQ46" i="45" s="1"/>
  <c r="AP21" i="45"/>
  <c r="AP38" i="45" s="1"/>
  <c r="AP46" i="45" s="1"/>
  <c r="AO21" i="45"/>
  <c r="AO38" i="45" s="1"/>
  <c r="AO46" i="45" s="1"/>
  <c r="AN21" i="45"/>
  <c r="AN38" i="45" s="1"/>
  <c r="AK21" i="45"/>
  <c r="AD21" i="45"/>
  <c r="P21" i="45"/>
  <c r="BD20" i="45"/>
  <c r="BD37" i="45" s="1"/>
  <c r="BD45" i="45" s="1"/>
  <c r="BC20" i="45"/>
  <c r="BC37" i="45" s="1"/>
  <c r="BC45" i="45" s="1"/>
  <c r="BB20" i="45"/>
  <c r="BB37" i="45" s="1"/>
  <c r="BB45" i="45" s="1"/>
  <c r="BA20" i="45"/>
  <c r="BA37" i="45" s="1"/>
  <c r="AX20" i="45"/>
  <c r="AX37" i="45" s="1"/>
  <c r="AX45" i="45" s="1"/>
  <c r="AW20" i="45"/>
  <c r="AW37" i="45" s="1"/>
  <c r="AW45" i="45" s="1"/>
  <c r="AV20" i="45"/>
  <c r="AU20" i="45"/>
  <c r="AU37" i="45" s="1"/>
  <c r="AU45" i="45" s="1"/>
  <c r="AQ20" i="45"/>
  <c r="AQ37" i="45" s="1"/>
  <c r="AQ45" i="45" s="1"/>
  <c r="AP20" i="45"/>
  <c r="AP37" i="45" s="1"/>
  <c r="AP45" i="45" s="1"/>
  <c r="AO20" i="45"/>
  <c r="AO37" i="45" s="1"/>
  <c r="AO45" i="45" s="1"/>
  <c r="AN20" i="45"/>
  <c r="AN37" i="45" s="1"/>
  <c r="AJ20" i="45"/>
  <c r="AJ37" i="45" s="1"/>
  <c r="AJ45" i="45" s="1"/>
  <c r="AI20" i="45"/>
  <c r="AI37" i="45" s="1"/>
  <c r="AI45" i="45" s="1"/>
  <c r="AH20" i="45"/>
  <c r="AH37" i="45" s="1"/>
  <c r="AH45" i="45" s="1"/>
  <c r="AG20" i="45"/>
  <c r="AG37" i="45" s="1"/>
  <c r="AC20" i="45"/>
  <c r="AC37" i="45" s="1"/>
  <c r="AC45" i="45" s="1"/>
  <c r="AB20" i="45"/>
  <c r="AB37" i="45" s="1"/>
  <c r="AB45" i="45" s="1"/>
  <c r="AA20" i="45"/>
  <c r="AA37" i="45" s="1"/>
  <c r="AA45" i="45" s="1"/>
  <c r="Z20" i="45"/>
  <c r="Z37" i="45" s="1"/>
  <c r="V20" i="45"/>
  <c r="V37" i="45" s="1"/>
  <c r="V45" i="45" s="1"/>
  <c r="U20" i="45"/>
  <c r="U37" i="45" s="1"/>
  <c r="U45" i="45" s="1"/>
  <c r="T20" i="45"/>
  <c r="T37" i="45" s="1"/>
  <c r="T45" i="45" s="1"/>
  <c r="S20" i="45"/>
  <c r="S37" i="45" s="1"/>
  <c r="O20" i="45"/>
  <c r="O37" i="45" s="1"/>
  <c r="O45" i="45" s="1"/>
  <c r="N20" i="45"/>
  <c r="N37" i="45" s="1"/>
  <c r="N45" i="45" s="1"/>
  <c r="M20" i="45"/>
  <c r="M37" i="45" s="1"/>
  <c r="M45" i="45" s="1"/>
  <c r="L20" i="45"/>
  <c r="L37" i="45" s="1"/>
  <c r="H20" i="45"/>
  <c r="H37" i="45" s="1"/>
  <c r="G20" i="45"/>
  <c r="G37" i="45" s="1"/>
  <c r="G45" i="45" s="1"/>
  <c r="F20" i="45"/>
  <c r="BD19" i="45"/>
  <c r="BD36" i="45" s="1"/>
  <c r="BC19" i="45"/>
  <c r="BC36" i="45" s="1"/>
  <c r="BC44" i="45" s="1"/>
  <c r="BB19" i="45"/>
  <c r="BB36" i="45" s="1"/>
  <c r="BB44" i="45" s="1"/>
  <c r="BA19" i="45"/>
  <c r="BA36" i="45" s="1"/>
  <c r="AX19" i="45"/>
  <c r="AX36" i="45" s="1"/>
  <c r="AX44" i="45" s="1"/>
  <c r="AW19" i="45"/>
  <c r="AW36" i="45" s="1"/>
  <c r="AW44" i="45" s="1"/>
  <c r="AV19" i="45"/>
  <c r="AU19" i="45"/>
  <c r="AU36" i="45" s="1"/>
  <c r="AQ19" i="45"/>
  <c r="AQ36" i="45" s="1"/>
  <c r="AQ44" i="45" s="1"/>
  <c r="AP19" i="45"/>
  <c r="AP36" i="45" s="1"/>
  <c r="AP44" i="45" s="1"/>
  <c r="AO19" i="45"/>
  <c r="AO36" i="45" s="1"/>
  <c r="AO44" i="45" s="1"/>
  <c r="AN19" i="45"/>
  <c r="AN36" i="45" s="1"/>
  <c r="AJ19" i="45"/>
  <c r="AJ36" i="45" s="1"/>
  <c r="AJ44" i="45" s="1"/>
  <c r="AI19" i="45"/>
  <c r="AI36" i="45" s="1"/>
  <c r="AI44" i="45" s="1"/>
  <c r="AH19" i="45"/>
  <c r="AH36" i="45" s="1"/>
  <c r="AG19" i="45"/>
  <c r="AG36" i="45" s="1"/>
  <c r="AC19" i="45"/>
  <c r="AC36" i="45" s="1"/>
  <c r="AC44" i="45" s="1"/>
  <c r="AB19" i="45"/>
  <c r="AB36" i="45" s="1"/>
  <c r="AB44" i="45" s="1"/>
  <c r="AA19" i="45"/>
  <c r="AA36" i="45" s="1"/>
  <c r="Z19" i="45"/>
  <c r="Z36" i="45" s="1"/>
  <c r="V19" i="45"/>
  <c r="V36" i="45" s="1"/>
  <c r="U19" i="45"/>
  <c r="U36" i="45" s="1"/>
  <c r="U44" i="45" s="1"/>
  <c r="T19" i="45"/>
  <c r="T36" i="45" s="1"/>
  <c r="T44" i="45" s="1"/>
  <c r="S19" i="45"/>
  <c r="S36" i="45" s="1"/>
  <c r="S44" i="45" s="1"/>
  <c r="O19" i="45"/>
  <c r="O36" i="45" s="1"/>
  <c r="O44" i="45" s="1"/>
  <c r="N19" i="45"/>
  <c r="N36" i="45" s="1"/>
  <c r="N44" i="45" s="1"/>
  <c r="M19" i="45"/>
  <c r="M36" i="45" s="1"/>
  <c r="M44" i="45" s="1"/>
  <c r="L19" i="45"/>
  <c r="L36" i="45" s="1"/>
  <c r="H19" i="45"/>
  <c r="H36" i="45" s="1"/>
  <c r="H44" i="45" s="1"/>
  <c r="G19" i="45"/>
  <c r="G36" i="45" s="1"/>
  <c r="G44" i="45" s="1"/>
  <c r="F19" i="45"/>
  <c r="BD18" i="45"/>
  <c r="BD35" i="45" s="1"/>
  <c r="BD43" i="45" s="1"/>
  <c r="BC18" i="45"/>
  <c r="BC35" i="45" s="1"/>
  <c r="BB18" i="45"/>
  <c r="BA18" i="45"/>
  <c r="BA35" i="45" s="1"/>
  <c r="AX18" i="45"/>
  <c r="AX35" i="45" s="1"/>
  <c r="AX43" i="45" s="1"/>
  <c r="AW18" i="45"/>
  <c r="AW35" i="45" s="1"/>
  <c r="AW43" i="45" s="1"/>
  <c r="AW48" i="45" s="1"/>
  <c r="AV18" i="45"/>
  <c r="AU18" i="45"/>
  <c r="AU35" i="45" s="1"/>
  <c r="AU43" i="45" s="1"/>
  <c r="AQ18" i="45"/>
  <c r="AQ35" i="45" s="1"/>
  <c r="AP18" i="45"/>
  <c r="AP35" i="45" s="1"/>
  <c r="AO18" i="45"/>
  <c r="AO35" i="45" s="1"/>
  <c r="AN18" i="45"/>
  <c r="AN35" i="45" s="1"/>
  <c r="AN43" i="45" s="1"/>
  <c r="AJ18" i="45"/>
  <c r="AJ35" i="45" s="1"/>
  <c r="AI18" i="45"/>
  <c r="AI35" i="45" s="1"/>
  <c r="AH18" i="45"/>
  <c r="AG18" i="45"/>
  <c r="AG35" i="45" s="1"/>
  <c r="AC18" i="45"/>
  <c r="AC35" i="45" s="1"/>
  <c r="AB18" i="45"/>
  <c r="AB35" i="45" s="1"/>
  <c r="AA18" i="45"/>
  <c r="AA35" i="45" s="1"/>
  <c r="AA43" i="45" s="1"/>
  <c r="Z18" i="45"/>
  <c r="Z35" i="45" s="1"/>
  <c r="AD35" i="45" s="1"/>
  <c r="V18" i="45"/>
  <c r="V35" i="45" s="1"/>
  <c r="V43" i="45" s="1"/>
  <c r="U18" i="45"/>
  <c r="U35" i="45" s="1"/>
  <c r="U43" i="45" s="1"/>
  <c r="U48" i="45" s="1"/>
  <c r="T18" i="45"/>
  <c r="T35" i="45" s="1"/>
  <c r="T43" i="45" s="1"/>
  <c r="T48" i="45" s="1"/>
  <c r="S18" i="45"/>
  <c r="S35" i="45" s="1"/>
  <c r="O18" i="45"/>
  <c r="N18" i="45"/>
  <c r="M18" i="45"/>
  <c r="L18" i="45"/>
  <c r="L35" i="45" s="1"/>
  <c r="L43" i="45" s="1"/>
  <c r="H18" i="45"/>
  <c r="G18" i="45"/>
  <c r="F18" i="45"/>
  <c r="E18" i="45"/>
  <c r="E23" i="45" s="1"/>
  <c r="BD16" i="45"/>
  <c r="BC16" i="45"/>
  <c r="BB16" i="45"/>
  <c r="BA16" i="45"/>
  <c r="AX16" i="45"/>
  <c r="AW16" i="45"/>
  <c r="AU16" i="45"/>
  <c r="AQ16" i="45"/>
  <c r="AP16" i="45"/>
  <c r="AO16" i="45"/>
  <c r="AN16" i="45"/>
  <c r="AJ16" i="45"/>
  <c r="AI16" i="45"/>
  <c r="AH16" i="45"/>
  <c r="AG16" i="45"/>
  <c r="AC16" i="45"/>
  <c r="AB16" i="45"/>
  <c r="AA16" i="45"/>
  <c r="Z16" i="45"/>
  <c r="V16" i="45"/>
  <c r="U16" i="45"/>
  <c r="T16" i="45"/>
  <c r="S16" i="45"/>
  <c r="O16" i="45"/>
  <c r="N16" i="45"/>
  <c r="M16" i="45"/>
  <c r="L16" i="45"/>
  <c r="H16" i="45"/>
  <c r="BE15" i="45"/>
  <c r="K34" i="41" s="1"/>
  <c r="AR15" i="45"/>
  <c r="I34" i="41" s="1"/>
  <c r="AK15" i="45"/>
  <c r="H34" i="41" s="1"/>
  <c r="AD15" i="45"/>
  <c r="G34" i="41" s="1"/>
  <c r="W15" i="45"/>
  <c r="F34" i="41" s="1"/>
  <c r="P15" i="45"/>
  <c r="E34" i="41" s="1"/>
  <c r="I15" i="45"/>
  <c r="D34" i="41" s="1"/>
  <c r="BE14" i="45"/>
  <c r="K31" i="41" s="1"/>
  <c r="AR14" i="45"/>
  <c r="I31" i="41" s="1"/>
  <c r="AK14" i="45"/>
  <c r="H31" i="41" s="1"/>
  <c r="AD14" i="45"/>
  <c r="G31" i="41" s="1"/>
  <c r="W14" i="45"/>
  <c r="F31" i="41" s="1"/>
  <c r="P14" i="45"/>
  <c r="E31" i="41" s="1"/>
  <c r="I14" i="45"/>
  <c r="D31" i="41" s="1"/>
  <c r="BE13" i="45"/>
  <c r="K33" i="41" s="1"/>
  <c r="AR13" i="45"/>
  <c r="I33" i="41" s="1"/>
  <c r="AK13" i="45"/>
  <c r="H33" i="41" s="1"/>
  <c r="AD13" i="45"/>
  <c r="G33" i="41" s="1"/>
  <c r="W13" i="45"/>
  <c r="F33" i="41" s="1"/>
  <c r="P13" i="45"/>
  <c r="E33" i="41" s="1"/>
  <c r="I13" i="45"/>
  <c r="D33" i="41" s="1"/>
  <c r="BE12" i="45"/>
  <c r="K30" i="41" s="1"/>
  <c r="AR12" i="45"/>
  <c r="I30" i="41" s="1"/>
  <c r="AK12" i="45"/>
  <c r="H30" i="41" s="1"/>
  <c r="AD12" i="45"/>
  <c r="G30" i="41" s="1"/>
  <c r="W12" i="45"/>
  <c r="F30" i="41" s="1"/>
  <c r="F35" i="41" s="1"/>
  <c r="P12" i="45"/>
  <c r="E30" i="41" s="1"/>
  <c r="I12" i="45"/>
  <c r="D30" i="41" s="1"/>
  <c r="BE11" i="45"/>
  <c r="K32" i="41" s="1"/>
  <c r="AV35" i="45"/>
  <c r="AV43" i="45" s="1"/>
  <c r="AR11" i="45"/>
  <c r="I32" i="41" s="1"/>
  <c r="AK11" i="45"/>
  <c r="H32" i="41" s="1"/>
  <c r="AD11" i="45"/>
  <c r="G32" i="41" s="1"/>
  <c r="W11" i="45"/>
  <c r="F32" i="41" s="1"/>
  <c r="P11" i="45"/>
  <c r="E32" i="41" s="1"/>
  <c r="G11" i="45"/>
  <c r="F11" i="45"/>
  <c r="E11" i="45"/>
  <c r="E50" i="45" s="1"/>
  <c r="H7" i="45"/>
  <c r="G7" i="45"/>
  <c r="F7" i="45"/>
  <c r="AJ6" i="45"/>
  <c r="AQ6" i="45" s="1"/>
  <c r="AX6" i="45" s="1"/>
  <c r="BD6" i="45" s="1"/>
  <c r="AI6" i="45"/>
  <c r="AP6" i="45" s="1"/>
  <c r="AW6" i="45" s="1"/>
  <c r="BC6" i="45" s="1"/>
  <c r="AH6" i="45"/>
  <c r="AO6" i="45" s="1"/>
  <c r="AV6" i="45" s="1"/>
  <c r="BB6" i="45" s="1"/>
  <c r="AG6" i="45"/>
  <c r="AN6" i="45" s="1"/>
  <c r="AC6" i="45"/>
  <c r="AB6" i="45"/>
  <c r="AA6" i="45"/>
  <c r="Z6" i="45"/>
  <c r="V6" i="45"/>
  <c r="U6" i="45"/>
  <c r="T6" i="45"/>
  <c r="S6" i="45"/>
  <c r="O6" i="45"/>
  <c r="N6" i="45"/>
  <c r="M6" i="45"/>
  <c r="L6" i="45"/>
  <c r="H6" i="45"/>
  <c r="G6" i="45"/>
  <c r="F6" i="45"/>
  <c r="H5" i="45"/>
  <c r="G5" i="45"/>
  <c r="F5" i="45"/>
  <c r="N5" i="45" s="1"/>
  <c r="U5" i="45" s="1"/>
  <c r="AB5" i="45" s="1"/>
  <c r="AI5" i="45" s="1"/>
  <c r="AP5" i="45" s="1"/>
  <c r="AW5" i="45" s="1"/>
  <c r="BC5" i="45" s="1"/>
  <c r="H4" i="45"/>
  <c r="G4" i="45"/>
  <c r="F4" i="45"/>
  <c r="O4" i="45" s="1"/>
  <c r="V4" i="45" s="1"/>
  <c r="AC4" i="45" s="1"/>
  <c r="AJ4" i="45" s="1"/>
  <c r="AQ4" i="45" s="1"/>
  <c r="AX4" i="45" s="1"/>
  <c r="BD4" i="45" s="1"/>
  <c r="H3" i="45"/>
  <c r="O3" i="45" s="1"/>
  <c r="G3" i="45"/>
  <c r="N3" i="45" s="1"/>
  <c r="U3" i="45" s="1"/>
  <c r="M35" i="45" l="1"/>
  <c r="M43" i="45" s="1"/>
  <c r="P43" i="45" s="1"/>
  <c r="P48" i="45" s="1"/>
  <c r="AH23" i="45"/>
  <c r="AH35" i="45"/>
  <c r="AH43" i="45" s="1"/>
  <c r="BB23" i="45"/>
  <c r="BB35" i="45"/>
  <c r="I37" i="45"/>
  <c r="H45" i="45"/>
  <c r="Z43" i="45"/>
  <c r="N35" i="45"/>
  <c r="N43" i="45" s="1"/>
  <c r="N48" i="45" s="1"/>
  <c r="AI40" i="45"/>
  <c r="AI43" i="45"/>
  <c r="BC40" i="45"/>
  <c r="BC43" i="45"/>
  <c r="BC48" i="45" s="1"/>
  <c r="W36" i="45"/>
  <c r="V44" i="45"/>
  <c r="V48" i="45" s="1"/>
  <c r="P37" i="45"/>
  <c r="L45" i="45"/>
  <c r="P45" i="45" s="1"/>
  <c r="AG45" i="45"/>
  <c r="AK45" i="45" s="1"/>
  <c r="AK37" i="45"/>
  <c r="BE37" i="45"/>
  <c r="BA45" i="45"/>
  <c r="BE45" i="45" s="1"/>
  <c r="AK39" i="45"/>
  <c r="AI47" i="45"/>
  <c r="AW40" i="45"/>
  <c r="BE35" i="45"/>
  <c r="BA40" i="45"/>
  <c r="BA43" i="45"/>
  <c r="AK47" i="45"/>
  <c r="O40" i="45"/>
  <c r="O35" i="45"/>
  <c r="O43" i="45" s="1"/>
  <c r="O48" i="45" s="1"/>
  <c r="AJ40" i="45"/>
  <c r="AJ43" i="45"/>
  <c r="Z40" i="45"/>
  <c r="Z44" i="45"/>
  <c r="AD44" i="45" s="1"/>
  <c r="AU40" i="45"/>
  <c r="AU44" i="45"/>
  <c r="AU48" i="45" s="1"/>
  <c r="H35" i="41"/>
  <c r="W35" i="45"/>
  <c r="I19" i="45"/>
  <c r="F36" i="45"/>
  <c r="AA40" i="45"/>
  <c r="AA44" i="45"/>
  <c r="AA48" i="45" s="1"/>
  <c r="W39" i="45"/>
  <c r="S47" i="45"/>
  <c r="W47" i="45" s="1"/>
  <c r="AR39" i="45"/>
  <c r="AN47" i="45"/>
  <c r="AR47" i="45" s="1"/>
  <c r="AX40" i="45"/>
  <c r="I35" i="41"/>
  <c r="AO43" i="45"/>
  <c r="AR43" i="45" s="1"/>
  <c r="AR48" i="45" s="1"/>
  <c r="AO40" i="45"/>
  <c r="AB48" i="45"/>
  <c r="BE38" i="45"/>
  <c r="BA46" i="45"/>
  <c r="S43" i="45"/>
  <c r="W43" i="45" s="1"/>
  <c r="G35" i="41"/>
  <c r="G16" i="45"/>
  <c r="G35" i="45"/>
  <c r="K35" i="41"/>
  <c r="AR35" i="45"/>
  <c r="AP43" i="45"/>
  <c r="AP48" i="45" s="1"/>
  <c r="AP40" i="45"/>
  <c r="W37" i="45"/>
  <c r="S45" i="45"/>
  <c r="W45" i="45" s="1"/>
  <c r="AN45" i="45"/>
  <c r="AR45" i="45" s="1"/>
  <c r="AR37" i="45"/>
  <c r="P39" i="45"/>
  <c r="L47" i="45"/>
  <c r="P47" i="45" s="1"/>
  <c r="E35" i="41"/>
  <c r="I11" i="45"/>
  <c r="F35" i="45"/>
  <c r="F43" i="45" s="1"/>
  <c r="AQ40" i="45"/>
  <c r="AQ43" i="45"/>
  <c r="AQ48" i="45" s="1"/>
  <c r="P36" i="45"/>
  <c r="L44" i="45"/>
  <c r="P44" i="45" s="1"/>
  <c r="AK36" i="45"/>
  <c r="AG44" i="45"/>
  <c r="AK44" i="45" s="1"/>
  <c r="BE36" i="45"/>
  <c r="BA44" i="45"/>
  <c r="BE46" i="45"/>
  <c r="AD36" i="45"/>
  <c r="AD40" i="45" s="1"/>
  <c r="AO48" i="45"/>
  <c r="BE39" i="45"/>
  <c r="BA47" i="45"/>
  <c r="BE47" i="45" s="1"/>
  <c r="M48" i="45"/>
  <c r="AH44" i="45"/>
  <c r="AH48" i="45" s="1"/>
  <c r="AD39" i="45"/>
  <c r="Z47" i="45"/>
  <c r="AD47" i="45" s="1"/>
  <c r="I18" i="45"/>
  <c r="AR38" i="45"/>
  <c r="AN46" i="45"/>
  <c r="AR46" i="45" s="1"/>
  <c r="F39" i="45"/>
  <c r="I22" i="45"/>
  <c r="AG40" i="45"/>
  <c r="AG43" i="45"/>
  <c r="AB40" i="45"/>
  <c r="AB43" i="45"/>
  <c r="AJ48" i="45"/>
  <c r="BD40" i="45"/>
  <c r="BD44" i="45"/>
  <c r="BD48" i="45" s="1"/>
  <c r="AD37" i="45"/>
  <c r="Z45" i="45"/>
  <c r="AD45" i="45" s="1"/>
  <c r="AN40" i="45"/>
  <c r="H40" i="45"/>
  <c r="H35" i="45"/>
  <c r="H43" i="45" s="1"/>
  <c r="H48" i="45" s="1"/>
  <c r="AC40" i="45"/>
  <c r="AC43" i="45"/>
  <c r="AC48" i="45" s="1"/>
  <c r="W44" i="45"/>
  <c r="AR36" i="45"/>
  <c r="AN44" i="45"/>
  <c r="AR44" i="45" s="1"/>
  <c r="F37" i="45"/>
  <c r="F45" i="45" s="1"/>
  <c r="I45" i="45" s="1"/>
  <c r="I20" i="45"/>
  <c r="AY15" i="45"/>
  <c r="J34" i="41" s="1"/>
  <c r="AV39" i="45"/>
  <c r="AY43" i="45"/>
  <c r="AY12" i="45"/>
  <c r="J30" i="41" s="1"/>
  <c r="AV36" i="45"/>
  <c r="AY14" i="45"/>
  <c r="AV38" i="45"/>
  <c r="AY35" i="45"/>
  <c r="AY13" i="45"/>
  <c r="AV37" i="45"/>
  <c r="E16" i="45"/>
  <c r="E24" i="45" s="1"/>
  <c r="L40" i="45"/>
  <c r="P35" i="45"/>
  <c r="P40" i="45" s="1"/>
  <c r="S40" i="45"/>
  <c r="W40" i="45"/>
  <c r="T40" i="45"/>
  <c r="U40" i="45"/>
  <c r="V40" i="45"/>
  <c r="BG40" i="45"/>
  <c r="AY20" i="45"/>
  <c r="AX23" i="45"/>
  <c r="W20" i="45"/>
  <c r="L5" i="45"/>
  <c r="BG32" i="45"/>
  <c r="M5" i="45"/>
  <c r="T5" i="45" s="1"/>
  <c r="AA5" i="45" s="1"/>
  <c r="AH5" i="45" s="1"/>
  <c r="AO5" i="45" s="1"/>
  <c r="AV5" i="45" s="1"/>
  <c r="BB5" i="45" s="1"/>
  <c r="O5" i="45"/>
  <c r="V5" i="45" s="1"/>
  <c r="AC5" i="45" s="1"/>
  <c r="AJ5" i="45" s="1"/>
  <c r="AQ5" i="45" s="1"/>
  <c r="AX5" i="45" s="1"/>
  <c r="BD5" i="45" s="1"/>
  <c r="I3" i="45"/>
  <c r="W19" i="45"/>
  <c r="G8" i="45"/>
  <c r="M3" i="45"/>
  <c r="T3" i="45" s="1"/>
  <c r="W16" i="45"/>
  <c r="AD20" i="45"/>
  <c r="U23" i="45"/>
  <c r="V23" i="45"/>
  <c r="AV23" i="45"/>
  <c r="AR28" i="45"/>
  <c r="W22" i="45"/>
  <c r="AP23" i="45"/>
  <c r="AP24" i="45" s="1"/>
  <c r="BE16" i="45"/>
  <c r="L3" i="45"/>
  <c r="S3" i="45" s="1"/>
  <c r="Z3" i="45" s="1"/>
  <c r="AK18" i="45"/>
  <c r="AY19" i="45"/>
  <c r="BE20" i="45"/>
  <c r="P22" i="45"/>
  <c r="AD19" i="45"/>
  <c r="AY21" i="45"/>
  <c r="BE22" i="45"/>
  <c r="AJ23" i="45"/>
  <c r="AR19" i="45"/>
  <c r="AY32" i="45"/>
  <c r="BB24" i="45"/>
  <c r="W18" i="45"/>
  <c r="AR18" i="45"/>
  <c r="BD23" i="45"/>
  <c r="BD24" i="45" s="1"/>
  <c r="BE21" i="45"/>
  <c r="BE32" i="45"/>
  <c r="AX24" i="45"/>
  <c r="BC23" i="45"/>
  <c r="BC24" i="45" s="1"/>
  <c r="AR22" i="45"/>
  <c r="AH24" i="45"/>
  <c r="T23" i="45"/>
  <c r="AO23" i="45"/>
  <c r="AO24" i="45" s="1"/>
  <c r="P20" i="45"/>
  <c r="AR30" i="45"/>
  <c r="I7" i="45"/>
  <c r="AD22" i="45"/>
  <c r="D24" i="45"/>
  <c r="Z23" i="45"/>
  <c r="Z24" i="45" s="1"/>
  <c r="AU23" i="45"/>
  <c r="AU24" i="45" s="1"/>
  <c r="AW23" i="45"/>
  <c r="AW24" i="45" s="1"/>
  <c r="P30" i="45"/>
  <c r="AR21" i="45"/>
  <c r="U24" i="45"/>
  <c r="G23" i="45"/>
  <c r="G24" i="45" s="1"/>
  <c r="M7" i="45"/>
  <c r="T7" i="45" s="1"/>
  <c r="AA7" i="45" s="1"/>
  <c r="AH7" i="45" s="1"/>
  <c r="AO7" i="45" s="1"/>
  <c r="AV7" i="45" s="1"/>
  <c r="BB7" i="45" s="1"/>
  <c r="AV16" i="45"/>
  <c r="AY16" i="45" s="1"/>
  <c r="H23" i="45"/>
  <c r="H24" i="45" s="1"/>
  <c r="O32" i="45"/>
  <c r="AR20" i="45"/>
  <c r="AK31" i="45"/>
  <c r="AB32" i="45"/>
  <c r="H8" i="45"/>
  <c r="I6" i="45"/>
  <c r="N7" i="45"/>
  <c r="U7" i="45" s="1"/>
  <c r="AB7" i="45" s="1"/>
  <c r="AI7" i="45" s="1"/>
  <c r="AP7" i="45" s="1"/>
  <c r="AW7" i="45" s="1"/>
  <c r="BC7" i="45" s="1"/>
  <c r="F16" i="45"/>
  <c r="I16" i="45" s="1"/>
  <c r="AD16" i="45"/>
  <c r="AY18" i="45"/>
  <c r="L7" i="45"/>
  <c r="S7" i="45" s="1"/>
  <c r="Z7" i="45" s="1"/>
  <c r="AY22" i="45"/>
  <c r="I5" i="45"/>
  <c r="O7" i="45"/>
  <c r="V7" i="45" s="1"/>
  <c r="AC7" i="45" s="1"/>
  <c r="AJ7" i="45" s="1"/>
  <c r="AQ7" i="45" s="1"/>
  <c r="AX7" i="45" s="1"/>
  <c r="BD7" i="45" s="1"/>
  <c r="BE18" i="45"/>
  <c r="BE19" i="45"/>
  <c r="AG32" i="45"/>
  <c r="AK28" i="45"/>
  <c r="I27" i="45"/>
  <c r="AC32" i="45"/>
  <c r="AN32" i="45"/>
  <c r="M32" i="45"/>
  <c r="P27" i="45"/>
  <c r="AH32" i="45"/>
  <c r="N32" i="45"/>
  <c r="AU6" i="45"/>
  <c r="AR6" i="45"/>
  <c r="W31" i="45"/>
  <c r="F32" i="45"/>
  <c r="AA3" i="45"/>
  <c r="AQ32" i="45"/>
  <c r="G32" i="45"/>
  <c r="AB3" i="45"/>
  <c r="P28" i="45"/>
  <c r="V32" i="45"/>
  <c r="AA32" i="45"/>
  <c r="AD27" i="45"/>
  <c r="AI23" i="45"/>
  <c r="AA23" i="45"/>
  <c r="H32" i="45"/>
  <c r="AK16" i="45"/>
  <c r="AD18" i="45"/>
  <c r="L23" i="45"/>
  <c r="AB23" i="45"/>
  <c r="S23" i="45"/>
  <c r="V3" i="45"/>
  <c r="AQ23" i="45"/>
  <c r="AQ24" i="45" s="1"/>
  <c r="AK20" i="45"/>
  <c r="M23" i="45"/>
  <c r="M24" i="45" s="1"/>
  <c r="AC23" i="45"/>
  <c r="AI32" i="45"/>
  <c r="AY11" i="45"/>
  <c r="AR16" i="45"/>
  <c r="P18" i="45"/>
  <c r="AK22" i="45"/>
  <c r="N23" i="45"/>
  <c r="T32" i="45"/>
  <c r="AJ32" i="45"/>
  <c r="F8" i="45"/>
  <c r="O23" i="45"/>
  <c r="AG23" i="45"/>
  <c r="U32" i="45"/>
  <c r="AD31" i="45"/>
  <c r="BA23" i="45"/>
  <c r="BA24" i="45" s="1"/>
  <c r="L4" i="45"/>
  <c r="I4" i="45"/>
  <c r="P19" i="45"/>
  <c r="I28" i="45"/>
  <c r="M4" i="45"/>
  <c r="T4" i="45" s="1"/>
  <c r="AA4" i="45" s="1"/>
  <c r="AH4" i="45" s="1"/>
  <c r="AO4" i="45" s="1"/>
  <c r="AV4" i="45" s="1"/>
  <c r="BB4" i="45" s="1"/>
  <c r="F23" i="45"/>
  <c r="AN23" i="45"/>
  <c r="N4" i="45"/>
  <c r="U4" i="45" s="1"/>
  <c r="AB4" i="45" s="1"/>
  <c r="AI4" i="45" s="1"/>
  <c r="AP4" i="45" s="1"/>
  <c r="AW4" i="45" s="1"/>
  <c r="BC4" i="45" s="1"/>
  <c r="P16" i="45"/>
  <c r="AK19" i="45"/>
  <c r="W48" i="45" l="1"/>
  <c r="BB40" i="45"/>
  <c r="BB43" i="45"/>
  <c r="BB48" i="45" s="1"/>
  <c r="BE43" i="45"/>
  <c r="BA48" i="45"/>
  <c r="F44" i="45"/>
  <c r="I44" i="45" s="1"/>
  <c r="I36" i="45"/>
  <c r="F47" i="45"/>
  <c r="I47" i="45" s="1"/>
  <c r="I39" i="45"/>
  <c r="BF11" i="45"/>
  <c r="D32" i="41"/>
  <c r="D35" i="41" s="1"/>
  <c r="F40" i="45"/>
  <c r="AR40" i="45"/>
  <c r="BE40" i="45"/>
  <c r="BE44" i="45"/>
  <c r="G40" i="45"/>
  <c r="G43" i="45"/>
  <c r="G48" i="45" s="1"/>
  <c r="AI48" i="45"/>
  <c r="M40" i="45"/>
  <c r="S48" i="45"/>
  <c r="AK43" i="45"/>
  <c r="AK48" i="45" s="1"/>
  <c r="AG48" i="45"/>
  <c r="I23" i="45"/>
  <c r="I24" i="45" s="1"/>
  <c r="BF14" i="45"/>
  <c r="J31" i="41"/>
  <c r="N40" i="45"/>
  <c r="AN48" i="45"/>
  <c r="AD43" i="45"/>
  <c r="AD48" i="45" s="1"/>
  <c r="Z48" i="45"/>
  <c r="BF28" i="45"/>
  <c r="AK35" i="45"/>
  <c r="AK40" i="45" s="1"/>
  <c r="AH40" i="45"/>
  <c r="L48" i="45"/>
  <c r="AV47" i="45"/>
  <c r="AY47" i="45" s="1"/>
  <c r="BF47" i="45" s="1"/>
  <c r="AY39" i="45"/>
  <c r="AV45" i="45"/>
  <c r="AY45" i="45" s="1"/>
  <c r="BF45" i="45" s="1"/>
  <c r="AY37" i="45"/>
  <c r="BF37" i="45" s="1"/>
  <c r="BH37" i="45" s="1"/>
  <c r="AV46" i="45"/>
  <c r="AY46" i="45" s="1"/>
  <c r="BF46" i="45" s="1"/>
  <c r="AY38" i="45"/>
  <c r="BF38" i="45" s="1"/>
  <c r="BH38" i="45" s="1"/>
  <c r="AV40" i="45"/>
  <c r="AV44" i="45"/>
  <c r="AY36" i="45"/>
  <c r="BF36" i="45" s="1"/>
  <c r="BH36" i="45" s="1"/>
  <c r="J33" i="41"/>
  <c r="BF15" i="45"/>
  <c r="BF13" i="45"/>
  <c r="BF12" i="45"/>
  <c r="J32" i="41"/>
  <c r="J35" i="41" s="1"/>
  <c r="E40" i="45"/>
  <c r="I35" i="45"/>
  <c r="BF35" i="45" s="1"/>
  <c r="BF16" i="45"/>
  <c r="P3" i="45"/>
  <c r="P8" i="45" s="1"/>
  <c r="P5" i="45"/>
  <c r="W3" i="45"/>
  <c r="S5" i="45"/>
  <c r="O8" i="45"/>
  <c r="AO32" i="45"/>
  <c r="N24" i="45"/>
  <c r="L8" i="45"/>
  <c r="BF22" i="45"/>
  <c r="AI24" i="45"/>
  <c r="E32" i="45"/>
  <c r="O24" i="45"/>
  <c r="L32" i="45"/>
  <c r="AJ24" i="45"/>
  <c r="V24" i="45"/>
  <c r="BF21" i="45"/>
  <c r="BF31" i="45"/>
  <c r="BH31" i="45" s="1"/>
  <c r="AC24" i="45"/>
  <c r="AA24" i="45"/>
  <c r="BE23" i="45"/>
  <c r="BE24" i="45" s="1"/>
  <c r="AV24" i="45"/>
  <c r="AR27" i="45"/>
  <c r="T24" i="45"/>
  <c r="AP32" i="45"/>
  <c r="AB24" i="45"/>
  <c r="BF30" i="45"/>
  <c r="BH30" i="45" s="1"/>
  <c r="P7" i="45"/>
  <c r="BF18" i="45"/>
  <c r="F24" i="45"/>
  <c r="BF20" i="45"/>
  <c r="AY23" i="45"/>
  <c r="AY24" i="45" s="1"/>
  <c r="W7" i="45"/>
  <c r="AI3" i="45"/>
  <c r="AB8" i="45"/>
  <c r="BH28" i="45"/>
  <c r="V8" i="45"/>
  <c r="AC3" i="45"/>
  <c r="AD3" i="45" s="1"/>
  <c r="AK27" i="45"/>
  <c r="AK32" i="45" s="1"/>
  <c r="N8" i="45"/>
  <c r="AK23" i="45"/>
  <c r="AK24" i="45" s="1"/>
  <c r="W23" i="45"/>
  <c r="W24" i="45" s="1"/>
  <c r="S24" i="45"/>
  <c r="AD32" i="45"/>
  <c r="BA6" i="45"/>
  <c r="BE6" i="45" s="1"/>
  <c r="AY6" i="45"/>
  <c r="P32" i="45"/>
  <c r="S32" i="45"/>
  <c r="W32" i="45"/>
  <c r="T8" i="45"/>
  <c r="P23" i="45"/>
  <c r="P24" i="45" s="1"/>
  <c r="AA8" i="45"/>
  <c r="AH3" i="45"/>
  <c r="AG24" i="45"/>
  <c r="I8" i="45"/>
  <c r="I32" i="45"/>
  <c r="AG7" i="45"/>
  <c r="AD7" i="45"/>
  <c r="AR23" i="45"/>
  <c r="AD23" i="45"/>
  <c r="AD24" i="45" s="1"/>
  <c r="L24" i="45"/>
  <c r="AR29" i="45"/>
  <c r="BF29" i="45" s="1"/>
  <c r="BH29" i="45" s="1"/>
  <c r="AG3" i="45"/>
  <c r="AN24" i="45"/>
  <c r="P4" i="45"/>
  <c r="S4" i="45"/>
  <c r="M8" i="45"/>
  <c r="BF19" i="45"/>
  <c r="Z32" i="45"/>
  <c r="U8" i="45"/>
  <c r="BF39" i="45" l="1"/>
  <c r="BH39" i="45" s="1"/>
  <c r="BE48" i="45"/>
  <c r="I43" i="45"/>
  <c r="F48" i="45"/>
  <c r="AY44" i="45"/>
  <c r="AV48" i="45"/>
  <c r="AY40" i="45"/>
  <c r="I40" i="45"/>
  <c r="Z5" i="45"/>
  <c r="W5" i="45"/>
  <c r="BF6" i="45"/>
  <c r="AP3" i="45"/>
  <c r="AI8" i="45"/>
  <c r="AR32" i="45"/>
  <c r="AN3" i="45"/>
  <c r="BF23" i="45"/>
  <c r="Z4" i="45"/>
  <c r="W4" i="45"/>
  <c r="W8" i="45" s="1"/>
  <c r="S8" i="45"/>
  <c r="BF27" i="45"/>
  <c r="AH8" i="45"/>
  <c r="AO3" i="45"/>
  <c r="AK7" i="45"/>
  <c r="AN7" i="45"/>
  <c r="AJ3" i="45"/>
  <c r="AK3" i="45" s="1"/>
  <c r="AC8" i="45"/>
  <c r="AR24" i="45"/>
  <c r="I48" i="45" l="1"/>
  <c r="BF43" i="45"/>
  <c r="BF44" i="45"/>
  <c r="BF48" i="45" s="1"/>
  <c r="AY48" i="45"/>
  <c r="BF24" i="45"/>
  <c r="BH35" i="45"/>
  <c r="BH40" i="45" s="1"/>
  <c r="BF40" i="45"/>
  <c r="AG5" i="45"/>
  <c r="AD5" i="45"/>
  <c r="AQ3" i="45"/>
  <c r="AR3" i="45" s="1"/>
  <c r="AJ8" i="45"/>
  <c r="AV3" i="45"/>
  <c r="AO8" i="45"/>
  <c r="AG4" i="45"/>
  <c r="AD4" i="45"/>
  <c r="Z8" i="45"/>
  <c r="BH27" i="45"/>
  <c r="BH32" i="45" s="1"/>
  <c r="BF32" i="45"/>
  <c r="AU7" i="45"/>
  <c r="AR7" i="45"/>
  <c r="AW3" i="45"/>
  <c r="AP8" i="45"/>
  <c r="AU3" i="45"/>
  <c r="E48" i="41"/>
  <c r="F48" i="41"/>
  <c r="G48" i="41"/>
  <c r="H48" i="41"/>
  <c r="AD8" i="45" l="1"/>
  <c r="AK5" i="45"/>
  <c r="AN5" i="45"/>
  <c r="AK4" i="45"/>
  <c r="AN4" i="45"/>
  <c r="AG8" i="45"/>
  <c r="BA3" i="45"/>
  <c r="BB3" i="45"/>
  <c r="BB8" i="45" s="1"/>
  <c r="AV8" i="45"/>
  <c r="AW8" i="45"/>
  <c r="BC3" i="45"/>
  <c r="BC8" i="45" s="1"/>
  <c r="AQ8" i="45"/>
  <c r="AX3" i="45"/>
  <c r="AY3" i="45" s="1"/>
  <c r="BA7" i="45"/>
  <c r="BE7" i="45" s="1"/>
  <c r="AY7" i="45"/>
  <c r="AK8" i="45" l="1"/>
  <c r="AR5" i="45"/>
  <c r="AU5" i="45"/>
  <c r="BF7" i="45"/>
  <c r="AU4" i="45"/>
  <c r="AR4" i="45"/>
  <c r="AN8" i="45"/>
  <c r="BD3" i="45"/>
  <c r="BD8" i="45" s="1"/>
  <c r="AX8" i="45"/>
  <c r="BE3" i="45" l="1"/>
  <c r="BA5" i="45"/>
  <c r="BE5" i="45" s="1"/>
  <c r="AY5" i="45"/>
  <c r="AR8" i="45"/>
  <c r="BA4" i="45"/>
  <c r="AY4" i="45"/>
  <c r="AU8" i="45"/>
  <c r="BF3" i="45"/>
  <c r="AY8" i="45" l="1"/>
  <c r="BF5" i="45"/>
  <c r="BE4" i="45"/>
  <c r="BE8" i="45" s="1"/>
  <c r="BF8" i="45" s="1"/>
  <c r="BA8" i="45"/>
  <c r="BF4" i="45"/>
  <c r="L43" i="41" l="1"/>
  <c r="I16" i="41" l="1"/>
  <c r="F25" i="41"/>
  <c r="G25" i="41"/>
  <c r="H25" i="41"/>
  <c r="I25" i="41"/>
  <c r="J25" i="41"/>
  <c r="K25" i="41"/>
  <c r="E25" i="41"/>
  <c r="D25" i="41"/>
  <c r="F22" i="41"/>
  <c r="G22" i="41"/>
  <c r="H22" i="41"/>
  <c r="I22" i="41"/>
  <c r="J22" i="41"/>
  <c r="K22" i="41"/>
  <c r="E22" i="41"/>
  <c r="E37" i="41" s="1"/>
  <c r="D22" i="41"/>
  <c r="D37" i="41" l="1"/>
  <c r="L22" i="41"/>
  <c r="J16" i="41"/>
  <c r="K16" i="41" s="1"/>
  <c r="L16" i="41" s="1"/>
  <c r="L25" i="41"/>
  <c r="D14" i="41"/>
  <c r="D48" i="41" s="1"/>
  <c r="I14" i="41"/>
  <c r="J14" i="41" s="1"/>
  <c r="E23" i="41"/>
  <c r="E38" i="41" s="1"/>
  <c r="F23" i="41"/>
  <c r="F38" i="41" s="1"/>
  <c r="G23" i="41"/>
  <c r="G38" i="41" s="1"/>
  <c r="H23" i="41"/>
  <c r="J23" i="41" l="1"/>
  <c r="H38" i="41"/>
  <c r="K23" i="41"/>
  <c r="D23" i="41"/>
  <c r="D38" i="41" s="1"/>
  <c r="I23" i="41"/>
  <c r="K14" i="41"/>
  <c r="L14" i="41" s="1"/>
  <c r="D26" i="41" l="1"/>
  <c r="H26" i="41"/>
  <c r="E17" i="41"/>
  <c r="F26" i="41"/>
  <c r="D17" i="41"/>
  <c r="E26" i="41"/>
  <c r="G26" i="41"/>
  <c r="K26" i="41"/>
  <c r="I26" i="41"/>
  <c r="J26" i="41"/>
  <c r="L23" i="41"/>
  <c r="E13" i="41"/>
  <c r="E47" i="41" s="1"/>
  <c r="D13" i="41"/>
  <c r="D47" i="41" s="1"/>
  <c r="L26" i="41" l="1"/>
  <c r="F24" i="41" l="1"/>
  <c r="F27" i="41" s="1"/>
  <c r="G24" i="41"/>
  <c r="G27" i="41" s="1"/>
  <c r="I24" i="41"/>
  <c r="I27" i="41" s="1"/>
  <c r="D24" i="41"/>
  <c r="D27" i="41" s="1"/>
  <c r="E24" i="41"/>
  <c r="E27" i="41" s="1"/>
  <c r="H24" i="41"/>
  <c r="H27" i="41" s="1"/>
  <c r="J24" i="41"/>
  <c r="J27" i="41" s="1"/>
  <c r="K24" i="41"/>
  <c r="K27" i="41" s="1"/>
  <c r="F17" i="41"/>
  <c r="E15" i="41"/>
  <c r="D15" i="41"/>
  <c r="C18" i="41"/>
  <c r="L24" i="41" l="1"/>
  <c r="G17" i="41"/>
  <c r="F13" i="41"/>
  <c r="D18" i="41"/>
  <c r="H17" i="41" l="1"/>
  <c r="L27" i="41"/>
  <c r="G13" i="41"/>
  <c r="H13" i="41" s="1"/>
  <c r="I13" i="41" s="1"/>
  <c r="J13" i="41" s="1"/>
  <c r="K13" i="41" s="1"/>
  <c r="E18" i="41"/>
  <c r="F15" i="41"/>
  <c r="I17" i="41" l="1"/>
  <c r="L13" i="41"/>
  <c r="F18" i="41"/>
  <c r="G15" i="41"/>
  <c r="J17" i="41" l="1"/>
  <c r="G18" i="41"/>
  <c r="H15" i="41"/>
  <c r="K17" i="41" l="1"/>
  <c r="L17" i="41" s="1"/>
  <c r="H18" i="41"/>
  <c r="I15" i="41"/>
  <c r="I18" i="41" l="1"/>
  <c r="J15" i="41"/>
  <c r="J18" i="41" l="1"/>
  <c r="K15" i="41"/>
  <c r="L15" i="41" s="1"/>
  <c r="K18" i="41" l="1"/>
  <c r="L18" i="41" s="1"/>
  <c r="K38" i="41" l="1"/>
  <c r="K48" i="41"/>
  <c r="K40" i="41"/>
  <c r="K50" i="41"/>
  <c r="I48" i="41" l="1"/>
  <c r="I38" i="41"/>
  <c r="I39" i="41"/>
  <c r="I49" i="41"/>
  <c r="I47" i="41"/>
  <c r="I37" i="41"/>
  <c r="I50" i="41"/>
  <c r="I40" i="41"/>
  <c r="I41" i="41"/>
  <c r="I51" i="41"/>
  <c r="K41" i="41"/>
  <c r="K51" i="41"/>
  <c r="K37" i="41"/>
  <c r="K47" i="41"/>
  <c r="K39" i="41"/>
  <c r="K49" i="41"/>
  <c r="I42" i="41" l="1"/>
  <c r="J39" i="41"/>
  <c r="J49" i="41"/>
  <c r="I52" i="41"/>
  <c r="K52" i="41"/>
  <c r="K42" i="41"/>
  <c r="D41" i="41" l="1"/>
  <c r="D51" i="41" l="1"/>
  <c r="E41" i="41"/>
  <c r="E51" i="41"/>
  <c r="D50" i="41"/>
  <c r="D40" i="41"/>
  <c r="E50" i="41"/>
  <c r="E40" i="41"/>
  <c r="E49" i="41"/>
  <c r="E39" i="41"/>
  <c r="D49" i="41"/>
  <c r="D39" i="41"/>
  <c r="E42" i="41" l="1"/>
  <c r="E52" i="41"/>
  <c r="D42" i="41"/>
  <c r="D52" i="41"/>
  <c r="F51" i="41" l="1"/>
  <c r="L34" i="41" l="1"/>
  <c r="F41" i="41"/>
  <c r="H50" i="41"/>
  <c r="H40" i="41"/>
  <c r="G41" i="41"/>
  <c r="G51" i="41"/>
  <c r="H39" i="41"/>
  <c r="H49" i="41"/>
  <c r="J41" i="41"/>
  <c r="J51" i="41"/>
  <c r="G47" i="41"/>
  <c r="G37" i="41"/>
  <c r="J50" i="41"/>
  <c r="J40" i="41"/>
  <c r="F39" i="41"/>
  <c r="F49" i="41"/>
  <c r="L32" i="41"/>
  <c r="J47" i="41"/>
  <c r="J37" i="41"/>
  <c r="F50" i="41"/>
  <c r="F40" i="41"/>
  <c r="L33" i="41"/>
  <c r="G50" i="41"/>
  <c r="G40" i="41"/>
  <c r="G39" i="41"/>
  <c r="G49" i="41"/>
  <c r="F47" i="41"/>
  <c r="F37" i="41"/>
  <c r="L30" i="41"/>
  <c r="H41" i="41"/>
  <c r="H51" i="41"/>
  <c r="H47" i="41"/>
  <c r="H37" i="41"/>
  <c r="J48" i="41"/>
  <c r="L48" i="41" s="1"/>
  <c r="J38" i="41"/>
  <c r="L38" i="41" s="1"/>
  <c r="S39" i="41" s="1"/>
  <c r="L31" i="41"/>
  <c r="L35" i="41" l="1"/>
  <c r="L51" i="41"/>
  <c r="G52" i="41"/>
  <c r="H52" i="41"/>
  <c r="L47" i="41"/>
  <c r="L41" i="41"/>
  <c r="S42" i="41" s="1"/>
  <c r="L37" i="41"/>
  <c r="S38" i="41" s="1"/>
  <c r="G42" i="41"/>
  <c r="H42" i="41"/>
  <c r="F52" i="41"/>
  <c r="L49" i="41"/>
  <c r="L39" i="41"/>
  <c r="S40" i="41" s="1"/>
  <c r="L40" i="41"/>
  <c r="S41" i="41" s="1"/>
  <c r="J42" i="41"/>
  <c r="F42" i="41"/>
  <c r="L50" i="41"/>
  <c r="J52" i="41"/>
  <c r="L52" i="41" l="1"/>
  <c r="L42" i="41"/>
  <c r="S43" i="41"/>
  <c r="L54" i="41" l="1"/>
  <c r="L44" i="41"/>
</calcChain>
</file>

<file path=xl/sharedStrings.xml><?xml version="1.0" encoding="utf-8"?>
<sst xmlns="http://schemas.openxmlformats.org/spreadsheetml/2006/main" count="462" uniqueCount="120">
  <si>
    <t>Horizon</t>
  </si>
  <si>
    <t>Enersource</t>
  </si>
  <si>
    <t>OEB Cost Assessment Variance</t>
  </si>
  <si>
    <t>Brampton</t>
  </si>
  <si>
    <t>Difference</t>
  </si>
  <si>
    <t>ERZ</t>
  </si>
  <si>
    <t>PRZ</t>
  </si>
  <si>
    <t>HRZ</t>
  </si>
  <si>
    <t>BRZ</t>
  </si>
  <si>
    <t>GRZ</t>
  </si>
  <si>
    <t>Business
Unit</t>
  </si>
  <si>
    <t>Object
Account</t>
  </si>
  <si>
    <t>Subsidiary</t>
  </si>
  <si>
    <t>101</t>
  </si>
  <si>
    <t>102</t>
  </si>
  <si>
    <t>103</t>
  </si>
  <si>
    <t>104</t>
  </si>
  <si>
    <t>GL</t>
  </si>
  <si>
    <t>PowerStream</t>
  </si>
  <si>
    <t>Actual paid</t>
  </si>
  <si>
    <t>test year</t>
  </si>
  <si>
    <t>Guelph</t>
  </si>
  <si>
    <t>Approved</t>
  </si>
  <si>
    <t>deferred</t>
  </si>
  <si>
    <t>PCI'18</t>
  </si>
  <si>
    <t>PCI'19</t>
  </si>
  <si>
    <t>PCI'20</t>
  </si>
  <si>
    <t>PCI'21</t>
  </si>
  <si>
    <t>PCI'22</t>
  </si>
  <si>
    <t>PCI'17</t>
  </si>
  <si>
    <t>PCI'16</t>
  </si>
  <si>
    <t>OEB approved</t>
  </si>
  <si>
    <t>2015-2020</t>
  </si>
  <si>
    <t>Q2 2016  deferral started</t>
  </si>
  <si>
    <t>n/a</t>
  </si>
  <si>
    <t>Account
Description</t>
  </si>
  <si>
    <t>134005</t>
  </si>
  <si>
    <t>OEBCOS</t>
  </si>
  <si>
    <t>105</t>
  </si>
  <si>
    <t>Capital Amount - 2018 ICM</t>
  </si>
  <si>
    <t>Grand Total</t>
  </si>
  <si>
    <t>custom IR</t>
  </si>
  <si>
    <t>Q1</t>
  </si>
  <si>
    <t>Q2</t>
  </si>
  <si>
    <t>Q3</t>
  </si>
  <si>
    <t>Q4</t>
  </si>
  <si>
    <t>appr'd for 2016-2020</t>
  </si>
  <si>
    <t>LTD</t>
  </si>
  <si>
    <t>PCI'23</t>
  </si>
  <si>
    <t>Escalation (Price Cap Index)</t>
  </si>
  <si>
    <t>AUC</t>
  </si>
  <si>
    <t>Last Re-basing year</t>
  </si>
  <si>
    <t xml:space="preserve">Approved </t>
  </si>
  <si>
    <t>OEB Assessment cost deferral</t>
  </si>
  <si>
    <t xml:space="preserve">starts in Q2 </t>
  </si>
  <si>
    <t>2015-2020 custom</t>
  </si>
  <si>
    <t xml:space="preserve">2016-2020 custom IR </t>
  </si>
  <si>
    <t>With inflation</t>
  </si>
  <si>
    <t>No inflation, currently used</t>
  </si>
  <si>
    <t>2016-2023</t>
  </si>
  <si>
    <t>Total CE12 2023</t>
  </si>
  <si>
    <t>to be corrected for 2016-2018</t>
  </si>
  <si>
    <t>Deferred currently</t>
  </si>
  <si>
    <t>Deferral if the inflation is applied</t>
  </si>
  <si>
    <t xml:space="preserve">decrease in deferral </t>
  </si>
  <si>
    <t>Cumulative 12
Actual
2023</t>
  </si>
  <si>
    <t>total GL</t>
  </si>
  <si>
    <t>diff</t>
  </si>
  <si>
    <t>Actual deferred, GL ( as is)</t>
  </si>
  <si>
    <t>Should be deferred</t>
  </si>
  <si>
    <t>total adj needed</t>
  </si>
  <si>
    <t>2017 Q1</t>
  </si>
  <si>
    <t>2018 Q1</t>
  </si>
  <si>
    <t>2019 Q1</t>
  </si>
  <si>
    <t>2016 Q2</t>
  </si>
  <si>
    <t>2017 Q2</t>
  </si>
  <si>
    <t>2016 Q3</t>
  </si>
  <si>
    <t>2016 Q4</t>
  </si>
  <si>
    <t>2017 Q3</t>
  </si>
  <si>
    <t>2017 Q4</t>
  </si>
  <si>
    <t>2018 Q2</t>
  </si>
  <si>
    <t>2018 Q3</t>
  </si>
  <si>
    <t>2018 Q4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</si>
  <si>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</si>
  <si>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</si>
  <si>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</si>
  <si>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</si>
  <si>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</si>
  <si>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</si>
  <si>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</si>
  <si>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</si>
  <si>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</si>
  <si>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</si>
  <si>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</si>
  <si>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</si>
  <si>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</si>
  <si>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</si>
  <si>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</si>
  <si>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</si>
  <si>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</si>
  <si>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</si>
  <si>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</si>
  <si>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</si>
  <si>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</si>
  <si>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</si>
  <si>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</si>
  <si>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t>Alectra invoice</t>
  </si>
  <si>
    <t>OEB Approved Amount in Rates</t>
  </si>
  <si>
    <t>DVA balance</t>
  </si>
  <si>
    <t>Invoice Amount</t>
  </si>
  <si>
    <t>2025 Q1</t>
  </si>
  <si>
    <t>2025 Q2</t>
  </si>
  <si>
    <t>2025 Q3</t>
  </si>
  <si>
    <t>2025 Q4</t>
  </si>
  <si>
    <t>2026 Q1 Forecast</t>
  </si>
  <si>
    <t>2026 Q2 Forecast</t>
  </si>
  <si>
    <t>2026 Q3 Forecast</t>
  </si>
  <si>
    <t>2026 Q4 Forecast</t>
  </si>
  <si>
    <t>Balance in DVA</t>
  </si>
  <si>
    <t>Proportion of Alectra's customer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</si>
</sst>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;[Red]\-&quot;$&quot;#,##0.00"/>
    <numFmt numFmtId="165" formatCode="_-&quot;$&quot;* #,##0_-;\-&quot;$&quot;* #,##0_-;_-&quot;$&quot;* &quot;-&quot;_-;_-@_-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_-&quot;$&quot;* #,##0_-;\-&quot;$&quot;* #,##0_-;_-&quot;$&quot;* &quot;-&quot;??_-;_-@_-"/>
    <numFmt numFmtId="170" formatCode="0.0%"/>
    <numFmt numFmtId="171" formatCode="_(* #,##0_);_(* \(#,##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i/>
      <sz val="9"/>
      <name val="Arial"/>
      <family val="2"/>
    </font>
    <font>
      <b/>
      <sz val="8"/>
      <color indexed="12"/>
      <name val="Arial"/>
      <family val="2"/>
    </font>
    <font>
      <b/>
      <sz val="10"/>
      <color rgb="FF329664"/>
      <name val="Arial"/>
      <family val="2"/>
    </font>
    <font>
      <b/>
      <sz val="10"/>
      <color rgb="FF0000C0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gray0625"/>
    </fill>
    <fill>
      <patternFill patternType="solid">
        <fgColor theme="6" tint="0.39997558519241921"/>
        <bgColor indexed="64"/>
      </patternFill>
    </fill>
    <fill>
      <patternFill patternType="solid">
        <fgColor rgb="FFBDD6E7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E5F2FF"/>
        <bgColor indexed="64"/>
      </patternFill>
    </fill>
    <fill>
      <patternFill patternType="solid">
        <fgColor rgb="FFFFFACD"/>
        <bgColor indexed="64"/>
      </patternFill>
    </fill>
    <fill>
      <patternFill patternType="lightTrellis">
        <fgColor rgb="FFAFAFAF"/>
        <bgColor rgb="FFEBEBEB"/>
      </patternFill>
    </fill>
    <fill>
      <patternFill patternType="solid">
        <fgColor rgb="FFEBEBEB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double">
        <color indexed="64"/>
      </bottom>
      <diagonal/>
    </border>
  </borders>
  <cellStyleXfs count="20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168" fontId="3" fillId="0" borderId="0" applyFont="0" applyFill="0" applyBorder="0" applyAlignment="0" applyProtection="0"/>
    <xf numFmtId="0" fontId="19" fillId="0" borderId="0"/>
    <xf numFmtId="43" fontId="1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8" fontId="1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2" fillId="0" borderId="0" applyFont="0" applyFill="0" applyBorder="0" applyAlignment="0">
      <protection locked="0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19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25" fillId="0" borderId="0"/>
    <xf numFmtId="167" fontId="19" fillId="0" borderId="0" applyFont="0" applyFill="0" applyBorder="0" applyAlignment="0" applyProtection="0"/>
    <xf numFmtId="0" fontId="26" fillId="0" borderId="0"/>
    <xf numFmtId="0" fontId="26" fillId="0" borderId="0"/>
    <xf numFmtId="40" fontId="27" fillId="0" borderId="0" applyFont="0" applyFill="0" applyBorder="0" applyAlignment="0" applyProtection="0"/>
    <xf numFmtId="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" fillId="0" borderId="0"/>
    <xf numFmtId="167" fontId="19" fillId="0" borderId="0" applyFont="0" applyFill="0" applyBorder="0" applyAlignment="0" applyProtection="0"/>
    <xf numFmtId="0" fontId="26" fillId="0" borderId="0"/>
    <xf numFmtId="40" fontId="27" fillId="0" borderId="0" applyFont="0" applyFill="0" applyBorder="0" applyAlignment="0" applyProtection="0"/>
    <xf numFmtId="0" fontId="22" fillId="0" borderId="0"/>
    <xf numFmtId="0" fontId="22" fillId="0" borderId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20" fillId="0" borderId="0" applyFont="0" applyFill="0" applyBorder="0" applyAlignment="0" applyProtection="0"/>
    <xf numFmtId="168" fontId="22" fillId="0" borderId="0" applyFont="0" applyFill="0" applyBorder="0" applyAlignment="0">
      <protection locked="0"/>
    </xf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22" fillId="0" borderId="0"/>
    <xf numFmtId="167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  <xf numFmtId="44" fontId="22" fillId="0" borderId="0" applyFont="0" applyFill="0" applyBorder="0" applyAlignment="0" applyProtection="0"/>
    <xf numFmtId="0" fontId="22" fillId="41" borderId="10">
      <alignment horizontal="left" vertical="center"/>
    </xf>
    <xf numFmtId="0" fontId="29" fillId="42" borderId="10">
      <alignment horizontal="left" vertical="center"/>
    </xf>
    <xf numFmtId="0" fontId="29" fillId="43" borderId="10">
      <alignment horizontal="left" vertical="center"/>
    </xf>
    <xf numFmtId="0" fontId="39" fillId="41" borderId="10">
      <alignment horizontal="center" vertical="center"/>
    </xf>
    <xf numFmtId="0" fontId="22" fillId="41" borderId="10">
      <alignment horizontal="center" vertical="center"/>
    </xf>
    <xf numFmtId="0" fontId="29" fillId="42" borderId="10">
      <alignment horizontal="center" vertical="center"/>
    </xf>
    <xf numFmtId="0" fontId="29" fillId="43" borderId="10">
      <alignment horizontal="center" vertical="center"/>
    </xf>
    <xf numFmtId="0" fontId="39" fillId="41" borderId="10">
      <alignment horizontal="center" vertical="center"/>
    </xf>
    <xf numFmtId="0" fontId="30" fillId="0" borderId="10">
      <alignment horizontal="right" vertical="center"/>
    </xf>
    <xf numFmtId="0" fontId="30" fillId="44" borderId="10">
      <alignment horizontal="right" vertical="center"/>
    </xf>
    <xf numFmtId="0" fontId="30" fillId="0" borderId="10">
      <alignment horizontal="center" vertical="center"/>
    </xf>
    <xf numFmtId="0" fontId="39" fillId="42" borderId="10"/>
    <xf numFmtId="0" fontId="39" fillId="0" borderId="10">
      <alignment horizontal="center" vertical="center" wrapText="1"/>
    </xf>
    <xf numFmtId="0" fontId="39" fillId="43" borderId="10"/>
    <xf numFmtId="0" fontId="22" fillId="0" borderId="10">
      <alignment horizontal="left" vertical="center"/>
    </xf>
    <xf numFmtId="0" fontId="22" fillId="0" borderId="10">
      <alignment horizontal="left" vertical="top"/>
    </xf>
    <xf numFmtId="0" fontId="22" fillId="41" borderId="10">
      <alignment horizontal="center" vertical="center"/>
    </xf>
    <xf numFmtId="0" fontId="22" fillId="41" borderId="10">
      <alignment horizontal="left" vertical="center"/>
    </xf>
    <xf numFmtId="0" fontId="30" fillId="0" borderId="10">
      <alignment horizontal="right" vertical="center"/>
    </xf>
    <xf numFmtId="0" fontId="30" fillId="0" borderId="10">
      <alignment horizontal="right" vertical="center"/>
    </xf>
    <xf numFmtId="0" fontId="40" fillId="41" borderId="10">
      <alignment horizontal="left" vertical="center" indent="1"/>
    </xf>
    <xf numFmtId="0" fontId="22" fillId="45" borderId="10"/>
    <xf numFmtId="0" fontId="41" fillId="0" borderId="10"/>
    <xf numFmtId="0" fontId="42" fillId="0" borderId="10"/>
    <xf numFmtId="0" fontId="30" fillId="46" borderId="10"/>
    <xf numFmtId="0" fontId="30" fillId="47" borderId="10"/>
    <xf numFmtId="9" fontId="26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133">
    <xf numFmtId="0" fontId="0" fillId="0" borderId="0" xfId="0"/>
    <xf numFmtId="0" fontId="24" fillId="0" borderId="0" xfId="0" applyFont="1"/>
    <xf numFmtId="0" fontId="23" fillId="0" borderId="0" xfId="0" applyFont="1"/>
    <xf numFmtId="169" fontId="0" fillId="0" borderId="0" xfId="98" applyNumberFormat="1" applyFont="1"/>
    <xf numFmtId="169" fontId="0" fillId="0" borderId="0" xfId="0" applyNumberFormat="1"/>
    <xf numFmtId="169" fontId="24" fillId="0" borderId="11" xfId="0" applyNumberFormat="1" applyFont="1" applyBorder="1"/>
    <xf numFmtId="10" fontId="24" fillId="0" borderId="0" xfId="128" applyNumberFormat="1" applyFont="1" applyFill="1"/>
    <xf numFmtId="0" fontId="24" fillId="37" borderId="0" xfId="0" applyFont="1" applyFill="1"/>
    <xf numFmtId="169" fontId="24" fillId="37" borderId="0" xfId="98" applyNumberFormat="1" applyFont="1" applyFill="1"/>
    <xf numFmtId="10" fontId="24" fillId="38" borderId="0" xfId="128" applyNumberFormat="1" applyFont="1" applyFill="1"/>
    <xf numFmtId="169" fontId="0" fillId="0" borderId="0" xfId="98" applyNumberFormat="1" applyFont="1" applyFill="1"/>
    <xf numFmtId="169" fontId="24" fillId="0" borderId="0" xfId="98" applyNumberFormat="1" applyFont="1" applyFill="1"/>
    <xf numFmtId="169" fontId="0" fillId="37" borderId="0" xfId="0" applyNumberFormat="1" applyFill="1"/>
    <xf numFmtId="169" fontId="0" fillId="37" borderId="0" xfId="98" applyNumberFormat="1" applyFont="1" applyFill="1"/>
    <xf numFmtId="170" fontId="24" fillId="37" borderId="0" xfId="128" applyNumberFormat="1" applyFont="1" applyFill="1" applyAlignment="1">
      <alignment horizontal="right"/>
    </xf>
    <xf numFmtId="169" fontId="24" fillId="0" borderId="0" xfId="0" applyNumberFormat="1" applyFont="1"/>
    <xf numFmtId="0" fontId="0" fillId="0" borderId="15" xfId="0" applyBorder="1"/>
    <xf numFmtId="0" fontId="24" fillId="33" borderId="15" xfId="0" applyFont="1" applyFill="1" applyBorder="1"/>
    <xf numFmtId="169" fontId="0" fillId="33" borderId="15" xfId="0" applyNumberFormat="1" applyFill="1" applyBorder="1"/>
    <xf numFmtId="169" fontId="0" fillId="37" borderId="15" xfId="0" applyNumberFormat="1" applyFill="1" applyBorder="1"/>
    <xf numFmtId="169" fontId="24" fillId="33" borderId="16" xfId="0" applyNumberFormat="1" applyFont="1" applyFill="1" applyBorder="1"/>
    <xf numFmtId="169" fontId="24" fillId="0" borderId="15" xfId="0" applyNumberFormat="1" applyFont="1" applyBorder="1"/>
    <xf numFmtId="0" fontId="24" fillId="0" borderId="0" xfId="0" applyFont="1" applyAlignment="1">
      <alignment horizontal="center"/>
    </xf>
    <xf numFmtId="0" fontId="24" fillId="33" borderId="15" xfId="0" applyFont="1" applyFill="1" applyBorder="1" applyAlignment="1">
      <alignment horizontal="center"/>
    </xf>
    <xf numFmtId="169" fontId="23" fillId="0" borderId="0" xfId="0" applyNumberFormat="1" applyFont="1"/>
    <xf numFmtId="0" fontId="28" fillId="0" borderId="0" xfId="0" applyFont="1" applyAlignment="1">
      <alignment horizontal="center"/>
    </xf>
    <xf numFmtId="169" fontId="28" fillId="0" borderId="11" xfId="0" applyNumberFormat="1" applyFont="1" applyBorder="1"/>
    <xf numFmtId="0" fontId="24" fillId="34" borderId="0" xfId="0" applyFont="1" applyFill="1"/>
    <xf numFmtId="169" fontId="28" fillId="0" borderId="0" xfId="0" applyNumberFormat="1" applyFont="1"/>
    <xf numFmtId="0" fontId="32" fillId="0" borderId="12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left" vertical="center"/>
    </xf>
    <xf numFmtId="39" fontId="33" fillId="0" borderId="12" xfId="0" applyNumberFormat="1" applyFont="1" applyBorder="1" applyAlignment="1">
      <alignment horizontal="right" vertical="center"/>
    </xf>
    <xf numFmtId="0" fontId="33" fillId="0" borderId="13" xfId="0" applyFont="1" applyBorder="1" applyAlignment="1">
      <alignment horizontal="left" vertical="center"/>
    </xf>
    <xf numFmtId="39" fontId="33" fillId="0" borderId="13" xfId="0" applyNumberFormat="1" applyFont="1" applyBorder="1" applyAlignment="1">
      <alignment horizontal="right" vertical="center"/>
    </xf>
    <xf numFmtId="0" fontId="32" fillId="0" borderId="14" xfId="0" applyFont="1" applyBorder="1" applyAlignment="1">
      <alignment horizontal="left" vertical="center"/>
    </xf>
    <xf numFmtId="39" fontId="32" fillId="0" borderId="14" xfId="0" applyNumberFormat="1" applyFont="1" applyBorder="1" applyAlignment="1">
      <alignment horizontal="right" vertical="center"/>
    </xf>
    <xf numFmtId="0" fontId="0" fillId="34" borderId="0" xfId="0" applyFill="1"/>
    <xf numFmtId="169" fontId="0" fillId="34" borderId="0" xfId="0" applyNumberFormat="1" applyFill="1"/>
    <xf numFmtId="169" fontId="24" fillId="34" borderId="15" xfId="0" applyNumberFormat="1" applyFont="1" applyFill="1" applyBorder="1"/>
    <xf numFmtId="169" fontId="24" fillId="34" borderId="0" xfId="0" applyNumberFormat="1" applyFont="1" applyFill="1"/>
    <xf numFmtId="169" fontId="23" fillId="34" borderId="0" xfId="0" applyNumberFormat="1" applyFont="1" applyFill="1"/>
    <xf numFmtId="169" fontId="24" fillId="34" borderId="11" xfId="0" applyNumberFormat="1" applyFont="1" applyFill="1" applyBorder="1"/>
    <xf numFmtId="169" fontId="24" fillId="34" borderId="16" xfId="0" applyNumberFormat="1" applyFont="1" applyFill="1" applyBorder="1"/>
    <xf numFmtId="169" fontId="28" fillId="34" borderId="11" xfId="0" applyNumberFormat="1" applyFont="1" applyFill="1" applyBorder="1"/>
    <xf numFmtId="169" fontId="24" fillId="34" borderId="11" xfId="98" applyNumberFormat="1" applyFont="1" applyFill="1" applyBorder="1"/>
    <xf numFmtId="169" fontId="24" fillId="34" borderId="16" xfId="98" applyNumberFormat="1" applyFont="1" applyFill="1" applyBorder="1"/>
    <xf numFmtId="169" fontId="24" fillId="34" borderId="0" xfId="98" applyNumberFormat="1" applyFont="1" applyFill="1" applyBorder="1"/>
    <xf numFmtId="0" fontId="34" fillId="0" borderId="0" xfId="83" applyFont="1"/>
    <xf numFmtId="0" fontId="22" fillId="0" borderId="0" xfId="83" applyAlignment="1">
      <alignment horizontal="center"/>
    </xf>
    <xf numFmtId="169" fontId="0" fillId="0" borderId="0" xfId="157" applyNumberFormat="1" applyFont="1"/>
    <xf numFmtId="0" fontId="22" fillId="0" borderId="0" xfId="83"/>
    <xf numFmtId="0" fontId="35" fillId="0" borderId="0" xfId="83" applyFont="1"/>
    <xf numFmtId="0" fontId="35" fillId="0" borderId="0" xfId="83" applyFont="1" applyAlignment="1">
      <alignment horizontal="center"/>
    </xf>
    <xf numFmtId="10" fontId="0" fillId="39" borderId="0" xfId="91" applyNumberFormat="1" applyFont="1" applyFill="1"/>
    <xf numFmtId="10" fontId="0" fillId="0" borderId="0" xfId="91" applyNumberFormat="1" applyFont="1"/>
    <xf numFmtId="10" fontId="35" fillId="0" borderId="0" xfId="91" applyNumberFormat="1" applyFont="1"/>
    <xf numFmtId="169" fontId="29" fillId="0" borderId="0" xfId="157" applyNumberFormat="1" applyFont="1"/>
    <xf numFmtId="169" fontId="35" fillId="0" borderId="0" xfId="83" applyNumberFormat="1" applyFont="1"/>
    <xf numFmtId="0" fontId="29" fillId="0" borderId="0" xfId="83" applyFont="1"/>
    <xf numFmtId="0" fontId="29" fillId="0" borderId="0" xfId="83" applyFont="1" applyAlignment="1">
      <alignment horizontal="center"/>
    </xf>
    <xf numFmtId="10" fontId="0" fillId="36" borderId="0" xfId="91" applyNumberFormat="1" applyFont="1" applyFill="1"/>
    <xf numFmtId="10" fontId="24" fillId="36" borderId="0" xfId="128" applyNumberFormat="1" applyFont="1" applyFill="1"/>
    <xf numFmtId="169" fontId="22" fillId="36" borderId="0" xfId="83" applyNumberFormat="1" applyFill="1"/>
    <xf numFmtId="0" fontId="37" fillId="0" borderId="0" xfId="83" applyFont="1" applyAlignment="1">
      <alignment horizontal="center"/>
    </xf>
    <xf numFmtId="169" fontId="29" fillId="0" borderId="0" xfId="157" applyNumberFormat="1" applyFont="1" applyFill="1"/>
    <xf numFmtId="169" fontId="29" fillId="36" borderId="0" xfId="157" applyNumberFormat="1" applyFont="1" applyFill="1" applyBorder="1"/>
    <xf numFmtId="169" fontId="22" fillId="0" borderId="0" xfId="83" applyNumberFormat="1"/>
    <xf numFmtId="169" fontId="29" fillId="0" borderId="0" xfId="157" applyNumberFormat="1" applyFont="1" applyBorder="1"/>
    <xf numFmtId="169" fontId="0" fillId="36" borderId="0" xfId="157" applyNumberFormat="1" applyFont="1" applyFill="1" applyBorder="1"/>
    <xf numFmtId="169" fontId="36" fillId="0" borderId="0" xfId="157" applyNumberFormat="1" applyFont="1" applyBorder="1"/>
    <xf numFmtId="169" fontId="22" fillId="0" borderId="0" xfId="157" applyNumberFormat="1" applyFont="1" applyBorder="1"/>
    <xf numFmtId="169" fontId="29" fillId="0" borderId="0" xfId="83" applyNumberFormat="1" applyFont="1"/>
    <xf numFmtId="0" fontId="29" fillId="0" borderId="0" xfId="83" applyFont="1" applyAlignment="1">
      <alignment horizontal="center" vertical="center" wrapText="1"/>
    </xf>
    <xf numFmtId="169" fontId="29" fillId="0" borderId="0" xfId="157" applyNumberFormat="1" applyFont="1" applyBorder="1" applyAlignment="1">
      <alignment vertical="center"/>
    </xf>
    <xf numFmtId="0" fontId="29" fillId="0" borderId="0" xfId="83" applyFont="1" applyAlignment="1">
      <alignment horizontal="center" vertical="center"/>
    </xf>
    <xf numFmtId="0" fontId="36" fillId="0" borderId="0" xfId="83" applyFont="1" applyAlignment="1">
      <alignment horizontal="center" vertical="center"/>
    </xf>
    <xf numFmtId="169" fontId="0" fillId="0" borderId="0" xfId="157" applyNumberFormat="1" applyFont="1" applyBorder="1"/>
    <xf numFmtId="0" fontId="38" fillId="0" borderId="0" xfId="83" applyFont="1"/>
    <xf numFmtId="169" fontId="22" fillId="36" borderId="0" xfId="157" applyNumberFormat="1" applyFont="1" applyFill="1" applyBorder="1"/>
    <xf numFmtId="44" fontId="22" fillId="0" borderId="0" xfId="83" applyNumberFormat="1"/>
    <xf numFmtId="37" fontId="33" fillId="0" borderId="12" xfId="0" applyNumberFormat="1" applyFont="1" applyBorder="1" applyAlignment="1">
      <alignment horizontal="right" vertical="center"/>
    </xf>
    <xf numFmtId="37" fontId="32" fillId="0" borderId="14" xfId="0" applyNumberFormat="1" applyFont="1" applyBorder="1" applyAlignment="1">
      <alignment horizontal="right" vertical="center"/>
    </xf>
    <xf numFmtId="0" fontId="37" fillId="0" borderId="0" xfId="83" applyFont="1"/>
    <xf numFmtId="169" fontId="0" fillId="35" borderId="0" xfId="0" applyNumberFormat="1" applyFill="1"/>
    <xf numFmtId="169" fontId="0" fillId="35" borderId="0" xfId="98" applyNumberFormat="1" applyFont="1" applyFill="1"/>
    <xf numFmtId="0" fontId="22" fillId="33" borderId="0" xfId="83" applyFill="1"/>
    <xf numFmtId="0" fontId="22" fillId="33" borderId="0" xfId="83" applyFill="1" applyAlignment="1">
      <alignment horizontal="center"/>
    </xf>
    <xf numFmtId="169" fontId="0" fillId="33" borderId="0" xfId="157" applyNumberFormat="1" applyFont="1" applyFill="1"/>
    <xf numFmtId="169" fontId="22" fillId="33" borderId="0" xfId="83" applyNumberFormat="1" applyFill="1"/>
    <xf numFmtId="169" fontId="35" fillId="33" borderId="0" xfId="83" applyNumberFormat="1" applyFont="1" applyFill="1"/>
    <xf numFmtId="0" fontId="29" fillId="33" borderId="0" xfId="83" applyFont="1" applyFill="1"/>
    <xf numFmtId="169" fontId="29" fillId="33" borderId="0" xfId="83" applyNumberFormat="1" applyFont="1" applyFill="1"/>
    <xf numFmtId="169" fontId="29" fillId="33" borderId="0" xfId="157" applyNumberFormat="1" applyFont="1" applyFill="1"/>
    <xf numFmtId="37" fontId="22" fillId="0" borderId="0" xfId="83" applyNumberFormat="1"/>
    <xf numFmtId="0" fontId="22" fillId="34" borderId="0" xfId="83" applyFill="1"/>
    <xf numFmtId="169" fontId="22" fillId="34" borderId="0" xfId="83" applyNumberFormat="1" applyFill="1"/>
    <xf numFmtId="0" fontId="37" fillId="0" borderId="0" xfId="83" applyFont="1" applyAlignment="1">
      <alignment horizontal="left"/>
    </xf>
    <xf numFmtId="0" fontId="37" fillId="34" borderId="0" xfId="83" applyFont="1" applyFill="1"/>
    <xf numFmtId="169" fontId="37" fillId="34" borderId="0" xfId="83" applyNumberFormat="1" applyFont="1" applyFill="1"/>
    <xf numFmtId="167" fontId="0" fillId="0" borderId="0" xfId="98" applyFont="1"/>
    <xf numFmtId="169" fontId="0" fillId="36" borderId="0" xfId="98" applyNumberFormat="1" applyFont="1" applyFill="1"/>
    <xf numFmtId="15" fontId="24" fillId="0" borderId="0" xfId="0" applyNumberFormat="1" applyFont="1"/>
    <xf numFmtId="44" fontId="0" fillId="0" borderId="0" xfId="0" applyNumberFormat="1"/>
    <xf numFmtId="169" fontId="0" fillId="40" borderId="0" xfId="0" applyNumberFormat="1" applyFill="1"/>
    <xf numFmtId="169" fontId="0" fillId="40" borderId="15" xfId="0" applyNumberFormat="1" applyFill="1" applyBorder="1"/>
    <xf numFmtId="0" fontId="24" fillId="0" borderId="15" xfId="0" applyFont="1" applyBorder="1"/>
    <xf numFmtId="169" fontId="24" fillId="33" borderId="15" xfId="0" applyNumberFormat="1" applyFont="1" applyFill="1" applyBorder="1"/>
    <xf numFmtId="169" fontId="24" fillId="40" borderId="15" xfId="0" applyNumberFormat="1" applyFont="1" applyFill="1" applyBorder="1"/>
    <xf numFmtId="0" fontId="24" fillId="40" borderId="0" xfId="0" applyFont="1" applyFill="1"/>
    <xf numFmtId="169" fontId="0" fillId="0" borderId="15" xfId="0" applyNumberFormat="1" applyBorder="1"/>
    <xf numFmtId="169" fontId="0" fillId="48" borderId="0" xfId="0" applyNumberFormat="1" applyFill="1"/>
    <xf numFmtId="169" fontId="24" fillId="0" borderId="0" xfId="98" applyNumberFormat="1" applyFont="1" applyFill="1" applyBorder="1"/>
    <xf numFmtId="0" fontId="0" fillId="49" borderId="0" xfId="0" applyFill="1"/>
    <xf numFmtId="0" fontId="24" fillId="49" borderId="0" xfId="0" applyFont="1" applyFill="1" applyAlignment="1">
      <alignment horizontal="right"/>
    </xf>
    <xf numFmtId="10" fontId="24" fillId="49" borderId="0" xfId="128" applyNumberFormat="1" applyFont="1" applyFill="1" applyAlignment="1">
      <alignment horizontal="right"/>
    </xf>
    <xf numFmtId="10" fontId="0" fillId="49" borderId="0" xfId="128" applyNumberFormat="1" applyFont="1" applyFill="1"/>
    <xf numFmtId="169" fontId="0" fillId="49" borderId="0" xfId="98" applyNumberFormat="1" applyFont="1" applyFill="1"/>
    <xf numFmtId="169" fontId="24" fillId="49" borderId="11" xfId="98" applyNumberFormat="1" applyFont="1" applyFill="1" applyBorder="1"/>
    <xf numFmtId="169" fontId="0" fillId="49" borderId="0" xfId="0" applyNumberFormat="1" applyFill="1"/>
    <xf numFmtId="169" fontId="24" fillId="49" borderId="11" xfId="0" applyNumberFormat="1" applyFont="1" applyFill="1" applyBorder="1"/>
    <xf numFmtId="0" fontId="17" fillId="0" borderId="0" xfId="0" applyFont="1"/>
    <xf numFmtId="167" fontId="17" fillId="0" borderId="0" xfId="98" applyFont="1" applyFill="1" applyBorder="1"/>
    <xf numFmtId="169" fontId="17" fillId="0" borderId="0" xfId="98" applyNumberFormat="1" applyFont="1" applyFill="1" applyBorder="1"/>
    <xf numFmtId="169" fontId="17" fillId="0" borderId="0" xfId="0" applyNumberFormat="1" applyFont="1"/>
    <xf numFmtId="0" fontId="17" fillId="0" borderId="0" xfId="0" applyFont="1" applyAlignment="1">
      <alignment horizontal="center"/>
    </xf>
    <xf numFmtId="0" fontId="1" fillId="0" borderId="0" xfId="0" applyFont="1"/>
    <xf numFmtId="169" fontId="1" fillId="0" borderId="0" xfId="0" applyNumberFormat="1" applyFont="1"/>
    <xf numFmtId="169" fontId="1" fillId="0" borderId="0" xfId="98" applyNumberFormat="1" applyFont="1" applyFill="1" applyBorder="1"/>
    <xf numFmtId="9" fontId="1" fillId="0" borderId="0" xfId="0" applyNumberFormat="1" applyFont="1"/>
    <xf numFmtId="9" fontId="1" fillId="0" borderId="0" xfId="128" applyFont="1" applyFill="1" applyBorder="1"/>
    <xf numFmtId="171" fontId="1" fillId="0" borderId="0" xfId="203" applyNumberFormat="1" applyFont="1" applyFill="1" applyBorder="1"/>
    <xf numFmtId="167" fontId="1" fillId="0" borderId="0" xfId="98" applyFont="1" applyFill="1" applyBorder="1"/>
    <xf numFmtId="10" fontId="1" fillId="0" borderId="0" xfId="128" applyNumberFormat="1" applyFont="1" applyFill="1" applyBorder="1"/>
  </cellXfs>
  <cellStyles count="204">
    <cellStyle name="20% - Accent1 2" xfId="20" xr:uid="{00000000-0005-0000-0000-000000000000}"/>
    <cellStyle name="20% - Accent1 2 2" xfId="48" xr:uid="{00000000-0005-0000-0000-000001000000}"/>
    <cellStyle name="20% - Accent2 2" xfId="24" xr:uid="{00000000-0005-0000-0000-000002000000}"/>
    <cellStyle name="20% - Accent2 2 2" xfId="50" xr:uid="{00000000-0005-0000-0000-000003000000}"/>
    <cellStyle name="20% - Accent3 2" xfId="28" xr:uid="{00000000-0005-0000-0000-000004000000}"/>
    <cellStyle name="20% - Accent3 2 2" xfId="52" xr:uid="{00000000-0005-0000-0000-000005000000}"/>
    <cellStyle name="20% - Accent4 2" xfId="32" xr:uid="{00000000-0005-0000-0000-000006000000}"/>
    <cellStyle name="20% - Accent4 2 2" xfId="54" xr:uid="{00000000-0005-0000-0000-000007000000}"/>
    <cellStyle name="20% - Accent5 2" xfId="36" xr:uid="{00000000-0005-0000-0000-000008000000}"/>
    <cellStyle name="20% - Accent5 2 2" xfId="56" xr:uid="{00000000-0005-0000-0000-000009000000}"/>
    <cellStyle name="20% - Accent6 2" xfId="40" xr:uid="{00000000-0005-0000-0000-00000A000000}"/>
    <cellStyle name="20% - Accent6 2 2" xfId="58" xr:uid="{00000000-0005-0000-0000-00000B000000}"/>
    <cellStyle name="40% - Accent1 2" xfId="21" xr:uid="{00000000-0005-0000-0000-00000C000000}"/>
    <cellStyle name="40% - Accent1 2 2" xfId="49" xr:uid="{00000000-0005-0000-0000-00000D000000}"/>
    <cellStyle name="40% - Accent2 2" xfId="25" xr:uid="{00000000-0005-0000-0000-00000E000000}"/>
    <cellStyle name="40% - Accent2 2 2" xfId="51" xr:uid="{00000000-0005-0000-0000-00000F000000}"/>
    <cellStyle name="40% - Accent3 2" xfId="29" xr:uid="{00000000-0005-0000-0000-000010000000}"/>
    <cellStyle name="40% - Accent3 2 2" xfId="53" xr:uid="{00000000-0005-0000-0000-000011000000}"/>
    <cellStyle name="40% - Accent4 2" xfId="33" xr:uid="{00000000-0005-0000-0000-000012000000}"/>
    <cellStyle name="40% - Accent4 2 2" xfId="55" xr:uid="{00000000-0005-0000-0000-000013000000}"/>
    <cellStyle name="40% - Accent5 2" xfId="37" xr:uid="{00000000-0005-0000-0000-000014000000}"/>
    <cellStyle name="40% - Accent5 2 2" xfId="57" xr:uid="{00000000-0005-0000-0000-000015000000}"/>
    <cellStyle name="40% - Accent6 2" xfId="41" xr:uid="{00000000-0005-0000-0000-000016000000}"/>
    <cellStyle name="40% - Accent6 2 2" xfId="59" xr:uid="{00000000-0005-0000-0000-000017000000}"/>
    <cellStyle name="60% - Accent1 2" xfId="22" xr:uid="{00000000-0005-0000-0000-000018000000}"/>
    <cellStyle name="60% - Accent2 2" xfId="26" xr:uid="{00000000-0005-0000-0000-000019000000}"/>
    <cellStyle name="60% - Accent3 2" xfId="30" xr:uid="{00000000-0005-0000-0000-00001A000000}"/>
    <cellStyle name="60% - Accent4 2" xfId="34" xr:uid="{00000000-0005-0000-0000-00001B000000}"/>
    <cellStyle name="60% - Accent5 2" xfId="38" xr:uid="{00000000-0005-0000-0000-00001C000000}"/>
    <cellStyle name="60% - Accent6 2" xfId="42" xr:uid="{00000000-0005-0000-0000-00001D000000}"/>
    <cellStyle name="Accent1 2" xfId="19" xr:uid="{00000000-0005-0000-0000-00001E000000}"/>
    <cellStyle name="Accent2 2" xfId="23" xr:uid="{00000000-0005-0000-0000-00001F000000}"/>
    <cellStyle name="Accent3 2" xfId="27" xr:uid="{00000000-0005-0000-0000-000020000000}"/>
    <cellStyle name="Accent4 2" xfId="31" xr:uid="{00000000-0005-0000-0000-000021000000}"/>
    <cellStyle name="Accent5 2" xfId="35" xr:uid="{00000000-0005-0000-0000-000022000000}"/>
    <cellStyle name="Accent6 2" xfId="39" xr:uid="{00000000-0005-0000-0000-000023000000}"/>
    <cellStyle name="Bad 2" xfId="8" xr:uid="{00000000-0005-0000-0000-000024000000}"/>
    <cellStyle name="Calculated Column - IBM Cognos" xfId="194" xr:uid="{51B1C5AD-F1A2-44EC-A26D-506B5B59D99F}"/>
    <cellStyle name="Calculated Column Name - IBM Cognos" xfId="192" xr:uid="{B9CCA9C2-8915-401A-83E7-A74687687384}"/>
    <cellStyle name="Calculated Row - IBM Cognos" xfId="195" xr:uid="{19025C99-4D46-4BF4-B26D-D1956B55FF88}"/>
    <cellStyle name="Calculated Row Name - IBM Cognos" xfId="193" xr:uid="{81904ADD-7590-4F10-90F3-943B1DB96802}"/>
    <cellStyle name="Calculation 2" xfId="12" xr:uid="{00000000-0005-0000-0000-000025000000}"/>
    <cellStyle name="Check Cell 2" xfId="14" xr:uid="{00000000-0005-0000-0000-000026000000}"/>
    <cellStyle name="Column Name - IBM Cognos" xfId="180" xr:uid="{643FC660-5804-4ED2-A5E4-4FD74D41F464}"/>
    <cellStyle name="Column Template - IBM Cognos" xfId="183" xr:uid="{1663D79D-103E-4690-8432-129E913E697B}"/>
    <cellStyle name="Comma" xfId="203" builtinId="3"/>
    <cellStyle name="Comma [0] 2" xfId="61" xr:uid="{00000000-0005-0000-0000-000028000000}"/>
    <cellStyle name="Comma [0] 2 2" xfId="132" xr:uid="{28765203-7D31-489F-B6D5-6C82AD81DE4D}"/>
    <cellStyle name="Comma 10" xfId="151" xr:uid="{0AC01084-C95E-4AFB-A52B-096D254D2590}"/>
    <cellStyle name="Comma 11" xfId="171" xr:uid="{22A2899D-92A9-47B7-8A3C-4809400BAB23}"/>
    <cellStyle name="Comma 12" xfId="170" xr:uid="{3890A226-2DE4-4238-B340-086617F3DED4}"/>
    <cellStyle name="Comma 2" xfId="43" xr:uid="{00000000-0005-0000-0000-000029000000}"/>
    <cellStyle name="Comma 2 2" xfId="62" xr:uid="{00000000-0005-0000-0000-00002A000000}"/>
    <cellStyle name="Comma 2 2 2" xfId="103" xr:uid="{00000000-0005-0000-0000-00002B000000}"/>
    <cellStyle name="Comma 2 2 2 2" xfId="155" xr:uid="{EF87B7B4-A5D5-4623-8A17-E7865875FCA2}"/>
    <cellStyle name="Comma 2 2 2 3" xfId="173" xr:uid="{AEDAD0DA-3445-4B7B-ADB5-8AFF0251623F}"/>
    <cellStyle name="Comma 2 2 3" xfId="133" xr:uid="{6B12A7B8-81A0-4DCA-BE5B-33734D4030A1}"/>
    <cellStyle name="Comma 2 3" xfId="45" xr:uid="{00000000-0005-0000-0000-00002C000000}"/>
    <cellStyle name="Comma 2 3 2" xfId="130" xr:uid="{FF3EC214-4934-4F55-AC78-26B58EF94902}"/>
    <cellStyle name="Comma 2 4" xfId="60" xr:uid="{00000000-0005-0000-0000-00002D000000}"/>
    <cellStyle name="Comma 2 4 2" xfId="131" xr:uid="{C1489470-D0A1-4950-8ADC-C23A778575E6}"/>
    <cellStyle name="Comma 2 5" xfId="104" xr:uid="{00000000-0005-0000-0000-00002E000000}"/>
    <cellStyle name="Comma 2 5 2" xfId="156" xr:uid="{37ED736D-70F5-491C-AE64-5FD0BECA0A97}"/>
    <cellStyle name="Comma 2 6" xfId="109" xr:uid="{1DE46996-3C3A-4409-BD81-4DB0B89FAEE8}"/>
    <cellStyle name="Comma 2 6 2" xfId="159" xr:uid="{16083D8E-557B-4D3F-8945-42DDD486AAB9}"/>
    <cellStyle name="Comma 2 7" xfId="129" xr:uid="{D96437EB-5FEB-4A72-9E4A-B4B0F19D8A00}"/>
    <cellStyle name="Comma 3" xfId="63" xr:uid="{00000000-0005-0000-0000-00002F000000}"/>
    <cellStyle name="Comma 3 2" xfId="113" xr:uid="{CC2977F3-3F5F-4933-9263-AE743D79BA65}"/>
    <cellStyle name="Comma 3 2 2" xfId="162" xr:uid="{ECD4B927-1C0C-403B-B25B-3EA9FFD844BF}"/>
    <cellStyle name="Comma 4" xfId="64" xr:uid="{00000000-0005-0000-0000-000030000000}"/>
    <cellStyle name="Comma 4 2" xfId="125" xr:uid="{37268526-9C44-461E-A1EA-454D36963F74}"/>
    <cellStyle name="Comma 4 2 2" xfId="168" xr:uid="{0720B563-B2BD-4612-8F31-5B56112F4D23}"/>
    <cellStyle name="Comma 4 3" xfId="134" xr:uid="{26A13063-9EAB-4F75-9FFC-4626D466F5DD}"/>
    <cellStyle name="Comma 5" xfId="65" xr:uid="{00000000-0005-0000-0000-000031000000}"/>
    <cellStyle name="Comma 5 2" xfId="66" xr:uid="{00000000-0005-0000-0000-000032000000}"/>
    <cellStyle name="Comma 5 2 2" xfId="136" xr:uid="{7544CF5A-3C1F-45BB-AFB0-A3028FA1BA48}"/>
    <cellStyle name="Comma 5 3" xfId="135" xr:uid="{ED6D4210-D467-48F5-868C-A69777E84D39}"/>
    <cellStyle name="Comma 53" xfId="122" xr:uid="{2EB885D3-71F7-4FCD-85BC-1E9A9447E681}"/>
    <cellStyle name="Comma 6" xfId="67" xr:uid="{00000000-0005-0000-0000-000033000000}"/>
    <cellStyle name="Comma 6 2" xfId="68" xr:uid="{00000000-0005-0000-0000-000034000000}"/>
    <cellStyle name="Comma 6 2 2" xfId="138" xr:uid="{F879F064-82D2-4EDB-89A5-5C9925DBB083}"/>
    <cellStyle name="Comma 6 3" xfId="137" xr:uid="{FEF2A665-D9E4-4331-AF00-0B5563A7FBF5}"/>
    <cellStyle name="Comma 7" xfId="69" xr:uid="{00000000-0005-0000-0000-000035000000}"/>
    <cellStyle name="Comma 7 2" xfId="70" xr:uid="{00000000-0005-0000-0000-000036000000}"/>
    <cellStyle name="Comma 7 2 2" xfId="140" xr:uid="{2384D015-2415-49E9-B48B-DB0E4F263DDC}"/>
    <cellStyle name="Comma 7 3" xfId="139" xr:uid="{14FD77C0-B92B-4829-9595-421372C9F94A}"/>
    <cellStyle name="Comma 8" xfId="71" xr:uid="{00000000-0005-0000-0000-000037000000}"/>
    <cellStyle name="Comma 8 2" xfId="72" xr:uid="{00000000-0005-0000-0000-000038000000}"/>
    <cellStyle name="Comma 8 2 2" xfId="142" xr:uid="{0FE0EB74-42B9-418E-B149-6C8346086B1E}"/>
    <cellStyle name="Comma 8 3" xfId="141" xr:uid="{3610974D-E803-4B38-A339-C5AF24B6A49F}"/>
    <cellStyle name="Comma 9" xfId="101" xr:uid="{00000000-0005-0000-0000-000039000000}"/>
    <cellStyle name="Currency" xfId="98" builtinId="4"/>
    <cellStyle name="Currency [0] 2" xfId="73" xr:uid="{00000000-0005-0000-0000-00003C000000}"/>
    <cellStyle name="Currency [0] 2 2" xfId="143" xr:uid="{125D2CB7-FD2B-4EC3-B10E-89A414077225}"/>
    <cellStyle name="Currency 10" xfId="111" xr:uid="{0B23F09D-1E31-47EF-88CF-3239A14D35E0}"/>
    <cellStyle name="Currency 10 2" xfId="161" xr:uid="{BF19BFDE-BADC-4C4A-965D-3DD823644463}"/>
    <cellStyle name="Currency 11" xfId="115" xr:uid="{8D0635C5-A46D-4E06-AF53-372B36130122}"/>
    <cellStyle name="Currency 11 2" xfId="163" xr:uid="{947E364A-781B-4D70-B68E-976B273198AE}"/>
    <cellStyle name="Currency 12" xfId="116" xr:uid="{E137F107-0407-4660-978F-9E2CF16683FA}"/>
    <cellStyle name="Currency 12 2" xfId="164" xr:uid="{6A621689-459C-4101-B911-2D00591DB3C7}"/>
    <cellStyle name="Currency 13" xfId="117" xr:uid="{3B2D9D3E-E237-4A7E-9A78-663F2DDE190A}"/>
    <cellStyle name="Currency 13 2" xfId="165" xr:uid="{EC2BE43D-C251-4365-8950-3FC775C3D504}"/>
    <cellStyle name="Currency 14" xfId="118" xr:uid="{DC36C486-8199-4B9E-8AC6-2CDE9A48A70A}"/>
    <cellStyle name="Currency 14 2" xfId="166" xr:uid="{9BDA0B7B-FCCF-4E54-8F6E-A2554D24ADB1}"/>
    <cellStyle name="Currency 15" xfId="153" xr:uid="{32F9B96C-EE05-4683-8EF3-BA84B31EDA75}"/>
    <cellStyle name="Currency 16" xfId="107" xr:uid="{00000000-0005-0000-0000-00003D000000}"/>
    <cellStyle name="Currency 16 2" xfId="157" xr:uid="{C84959AB-6361-40FE-8CF9-DA007AB5991E}"/>
    <cellStyle name="Currency 17" xfId="172" xr:uid="{2099B4D0-D062-418B-9D9F-493986B310DE}"/>
    <cellStyle name="Currency 18" xfId="175" xr:uid="{45496467-89A1-400B-95CD-291D6F7DB14F}"/>
    <cellStyle name="Currency 2" xfId="74" xr:uid="{00000000-0005-0000-0000-00003E000000}"/>
    <cellStyle name="Currency 2 2" xfId="75" xr:uid="{00000000-0005-0000-0000-00003F000000}"/>
    <cellStyle name="Currency 2 2 2" xfId="144" xr:uid="{B8A55D8D-D27D-4DBD-BF89-AB0CF21A84C4}"/>
    <cellStyle name="Currency 2 3" xfId="110" xr:uid="{14A37507-A13B-4995-BB32-9E8119B9371E}"/>
    <cellStyle name="Currency 2 3 2" xfId="126" xr:uid="{F45FA0A8-9E49-46B3-B834-6D243D1EEFC5}"/>
    <cellStyle name="Currency 2 3 2 2" xfId="169" xr:uid="{DC7958FA-7B50-43A4-AE7A-156C536E1B6B}"/>
    <cellStyle name="Currency 2 3 3" xfId="160" xr:uid="{DA26F42E-282E-46CD-8074-858A5D6CF4D2}"/>
    <cellStyle name="Currency 3" xfId="76" xr:uid="{00000000-0005-0000-0000-000040000000}"/>
    <cellStyle name="Currency 3 2" xfId="77" xr:uid="{00000000-0005-0000-0000-000041000000}"/>
    <cellStyle name="Currency 3 2 2" xfId="146" xr:uid="{13ED4E76-2EDF-48F1-8B58-EE3EA9749BB9}"/>
    <cellStyle name="Currency 3 3" xfId="145" xr:uid="{E1A3F716-AABA-4C3B-AD57-F71D77997BAB}"/>
    <cellStyle name="Currency 4" xfId="78" xr:uid="{00000000-0005-0000-0000-000042000000}"/>
    <cellStyle name="Currency 4 2" xfId="147" xr:uid="{3FDA31A3-232B-4BBB-9D46-8EF672887383}"/>
    <cellStyle name="Currency 5" xfId="79" xr:uid="{00000000-0005-0000-0000-000043000000}"/>
    <cellStyle name="Currency 5 2" xfId="148" xr:uid="{1CB20CE8-0ECE-423D-957B-F98DAA9C95E4}"/>
    <cellStyle name="Currency 52" xfId="120" xr:uid="{3637A3FA-4190-4EAB-857A-B7EF7C1969D5}"/>
    <cellStyle name="Currency 52 2" xfId="167" xr:uid="{4D24404B-AAE2-47A5-8ACF-96AE4E4765BA}"/>
    <cellStyle name="Currency 6" xfId="80" xr:uid="{00000000-0005-0000-0000-000044000000}"/>
    <cellStyle name="Currency 6 2" xfId="149" xr:uid="{2AF4F0CC-2D3A-4DC8-BADC-B57A12D01F98}"/>
    <cellStyle name="Currency 7" xfId="81" xr:uid="{00000000-0005-0000-0000-000045000000}"/>
    <cellStyle name="Currency 7 2" xfId="150" xr:uid="{6C80C0C3-C1FF-43D9-A44C-82A6E6D8EE71}"/>
    <cellStyle name="Currency 8" xfId="102" xr:uid="{00000000-0005-0000-0000-000046000000}"/>
    <cellStyle name="Currency 8 2" xfId="154" xr:uid="{7E05D262-82EC-4F89-B5EC-CEA716A6224C}"/>
    <cellStyle name="Currency 9" xfId="108" xr:uid="{4496C25A-200D-4F96-B63E-FB64CC34B3D8}"/>
    <cellStyle name="Currency 9 2" xfId="158" xr:uid="{73C19179-57A2-4B23-9DAD-2A44690BB17A}"/>
    <cellStyle name="Differs From Base - IBM Cognos" xfId="201" xr:uid="{124961E3-37CE-4593-8F9A-7828E2A1CDFB}"/>
    <cellStyle name="Explanatory Text 2" xfId="17" xr:uid="{00000000-0005-0000-0000-000047000000}"/>
    <cellStyle name="Good 2" xfId="7" xr:uid="{00000000-0005-0000-0000-000048000000}"/>
    <cellStyle name="Group Name - IBM Cognos" xfId="191" xr:uid="{4DA37347-1E06-4FA6-84BA-C632DED3FA1A}"/>
    <cellStyle name="Heading 1 2" xfId="3" xr:uid="{00000000-0005-0000-0000-000049000000}"/>
    <cellStyle name="Heading 2 2" xfId="4" xr:uid="{00000000-0005-0000-0000-00004A000000}"/>
    <cellStyle name="Heading 3 2" xfId="5" xr:uid="{00000000-0005-0000-0000-00004B000000}"/>
    <cellStyle name="Heading 4 2" xfId="6" xr:uid="{00000000-0005-0000-0000-00004C000000}"/>
    <cellStyle name="Hold Values - IBM Cognos" xfId="197" xr:uid="{DF672ADA-BBF6-43A6-8277-643D77666E9E}"/>
    <cellStyle name="Input 2" xfId="10" xr:uid="{00000000-0005-0000-0000-00004D000000}"/>
    <cellStyle name="Linked Cell 2" xfId="13" xr:uid="{00000000-0005-0000-0000-00004E000000}"/>
    <cellStyle name="List Name - IBM Cognos" xfId="190" xr:uid="{626EBED1-98FE-4807-86FE-2AE665D46E11}"/>
    <cellStyle name="Locked - IBM Cognos" xfId="200" xr:uid="{6BD42163-FED9-4932-AD7F-9F78067BC145}"/>
    <cellStyle name="Measure - IBM Cognos" xfId="184" xr:uid="{9E754F17-5133-4B8D-9C99-AF26A5EA8806}"/>
    <cellStyle name="Measure Header - IBM Cognos" xfId="185" xr:uid="{4548A2CE-612A-4D2A-90D4-836EFB82E1EC}"/>
    <cellStyle name="Measure Name - IBM Cognos" xfId="186" xr:uid="{DF19763F-C424-4FE7-8BFE-5FFF8BF18E6A}"/>
    <cellStyle name="Measure Summary - IBM Cognos" xfId="187" xr:uid="{0A8AA1F0-7117-468E-8C8F-C000327E67D2}"/>
    <cellStyle name="Measure Summary TM1 - IBM Cognos" xfId="189" xr:uid="{7E124ACE-7E52-4E79-9990-E0AB13400496}"/>
    <cellStyle name="Measure Template - IBM Cognos" xfId="188" xr:uid="{65E841D1-5D59-416E-A54C-420B7D4960C9}"/>
    <cellStyle name="More - IBM Cognos" xfId="196" xr:uid="{C8D5C7A2-9932-490A-A152-E45CD67D1A67}"/>
    <cellStyle name="Neutral 2" xfId="9" xr:uid="{00000000-0005-0000-0000-00004F000000}"/>
    <cellStyle name="Normal" xfId="0" builtinId="0"/>
    <cellStyle name="Normal 10" xfId="119" xr:uid="{94A7B848-ED29-4C71-928F-EA011E5567B3}"/>
    <cellStyle name="Normal 190" xfId="121" xr:uid="{F0E88F07-9EE9-4A6E-8565-7EA5270297E8}"/>
    <cellStyle name="Normal 2" xfId="2" xr:uid="{00000000-0005-0000-0000-000051000000}"/>
    <cellStyle name="Normal 2 2" xfId="83" xr:uid="{00000000-0005-0000-0000-000052000000}"/>
    <cellStyle name="Normal 2 2 2" xfId="84" xr:uid="{00000000-0005-0000-0000-000053000000}"/>
    <cellStyle name="Normal 2 3" xfId="46" xr:uid="{00000000-0005-0000-0000-000054000000}"/>
    <cellStyle name="Normal 2 3 2" xfId="85" xr:uid="{00000000-0005-0000-0000-000055000000}"/>
    <cellStyle name="Normal 2 4" xfId="82" xr:uid="{00000000-0005-0000-0000-000056000000}"/>
    <cellStyle name="Normal 2 5" xfId="174" xr:uid="{66AC55ED-795B-41F7-BADB-A6ECF0A49374}"/>
    <cellStyle name="Normal 25" xfId="95" xr:uid="{00000000-0005-0000-0000-000057000000}"/>
    <cellStyle name="Normal 25 3" xfId="96" xr:uid="{00000000-0005-0000-0000-000058000000}"/>
    <cellStyle name="Normal 259" xfId="124" xr:uid="{0D4AE953-D6E1-49A0-AEB9-E517924D6313}"/>
    <cellStyle name="Normal 28" xfId="94" xr:uid="{00000000-0005-0000-0000-000059000000}"/>
    <cellStyle name="Normal 3" xfId="86" xr:uid="{00000000-0005-0000-0000-00005A000000}"/>
    <cellStyle name="Normal 3 2" xfId="123" xr:uid="{F2F16466-35C0-46BF-ABE0-41BFC2168DE0}"/>
    <cellStyle name="Normal 35" xfId="105" xr:uid="{00000000-0005-0000-0000-00005B000000}"/>
    <cellStyle name="Normal 4" xfId="87" xr:uid="{00000000-0005-0000-0000-00005C000000}"/>
    <cellStyle name="Normal 4 2" xfId="88" xr:uid="{00000000-0005-0000-0000-00005D000000}"/>
    <cellStyle name="Normal 4 3" xfId="100" xr:uid="{00000000-0005-0000-0000-00005E000000}"/>
    <cellStyle name="Normal 5" xfId="89" xr:uid="{00000000-0005-0000-0000-00005F000000}"/>
    <cellStyle name="Normal 5 4" xfId="114" xr:uid="{CB416248-E976-4A87-A9A9-8B749C6B4DCC}"/>
    <cellStyle name="Normal 6" xfId="90" xr:uid="{00000000-0005-0000-0000-000060000000}"/>
    <cellStyle name="Normal 7" xfId="44" xr:uid="{00000000-0005-0000-0000-000061000000}"/>
    <cellStyle name="Normal 8" xfId="97" xr:uid="{00000000-0005-0000-0000-000062000000}"/>
    <cellStyle name="Normal 8 2" xfId="152" xr:uid="{C7F75A78-A911-4DC0-96C6-B5549452A5B4}"/>
    <cellStyle name="Normal 9" xfId="99" xr:uid="{00000000-0005-0000-0000-000063000000}"/>
    <cellStyle name="Note 2" xfId="16" xr:uid="{00000000-0005-0000-0000-000065000000}"/>
    <cellStyle name="Note 2 2" xfId="47" xr:uid="{00000000-0005-0000-0000-000066000000}"/>
    <cellStyle name="Output 2" xfId="11" xr:uid="{00000000-0005-0000-0000-000067000000}"/>
    <cellStyle name="Pending Change - IBM Cognos" xfId="198" xr:uid="{B898EF44-375D-4D87-9B39-132C8957891B}"/>
    <cellStyle name="Percent" xfId="128" builtinId="5"/>
    <cellStyle name="Percent 2" xfId="91" xr:uid="{00000000-0005-0000-0000-000069000000}"/>
    <cellStyle name="Percent 2 2" xfId="92" xr:uid="{00000000-0005-0000-0000-00006A000000}"/>
    <cellStyle name="Percent 24" xfId="106" xr:uid="{00000000-0005-0000-0000-00006B000000}"/>
    <cellStyle name="Percent 3" xfId="93" xr:uid="{00000000-0005-0000-0000-00006C000000}"/>
    <cellStyle name="Percent 4" xfId="112" xr:uid="{46DF9F30-5FD0-43D1-93F1-639D21AE7730}"/>
    <cellStyle name="Percent 4 2" xfId="127" xr:uid="{645173E6-D82D-4B60-918C-94DDE660189D}"/>
    <cellStyle name="Percent 5" xfId="202" xr:uid="{1FF4DF87-A331-4F42-9FD5-A046C3155FE1}"/>
    <cellStyle name="Row Name - IBM Cognos" xfId="176" xr:uid="{7332732A-CEE9-4CE3-B48D-DF39A2834E90}"/>
    <cellStyle name="Row Template - IBM Cognos" xfId="179" xr:uid="{598E633D-C900-4046-B08D-5B5770DFE718}"/>
    <cellStyle name="Summary Column Name - IBM Cognos" xfId="181" xr:uid="{217D3923-E4AD-4979-A10B-80022A9ED3D4}"/>
    <cellStyle name="Summary Column Name TM1 - IBM Cognos" xfId="182" xr:uid="{BFF07588-A433-4B06-949D-E6823956D084}"/>
    <cellStyle name="Summary Row Name - IBM Cognos" xfId="177" xr:uid="{4D4D4073-B46B-4BA9-AAEB-4161A907799B}"/>
    <cellStyle name="Summary Row Name TM1 - IBM Cognos" xfId="178" xr:uid="{862CACD1-8930-4D5B-A040-F43C074CBF83}"/>
    <cellStyle name="Title" xfId="1" builtinId="15" customBuiltin="1"/>
    <cellStyle name="Total 2" xfId="18" xr:uid="{00000000-0005-0000-0000-00006E000000}"/>
    <cellStyle name="Unsaved Change - IBM Cognos" xfId="199" xr:uid="{4605EFB5-BF39-4CCF-8D7B-479D390ED1CF}"/>
    <cellStyle name="Warning Text 2" xfId="15" xr:uid="{00000000-0005-0000-0000-00006F000000}"/>
  </cellStyles>
  <dxfs count="0"/>
  <tableStyles count="0" defaultTableStyle="TableStyleMedium2" defaultPivotStyle="PivotStyleLight16"/>
  <colors>
    <mruColors>
      <color rgb="FF60FCFC"/>
      <color rgb="FFFD9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90C7A-DED0-4FCB-B4D7-A6F9D63CDB37}">
  <dimension ref="A1:S54"/>
  <sheetViews>
    <sheetView workbookViewId="0">
      <selection activeCell="C13" sqref="C13"/>
    </sheetView>
  </sheetViews>
  <sheetFormatPr defaultColWidth="8.77734375" defaultRowHeight="14.4" x14ac:dyDescent="0.3"/>
  <cols>
    <col min="1" max="1" width="8.77734375" style="50"/>
    <col min="2" max="2" width="18.44140625" style="48" customWidth="1"/>
    <col min="3" max="3" width="17.77734375" style="49" customWidth="1"/>
    <col min="4" max="4" width="12.77734375" style="50" bestFit="1" customWidth="1"/>
    <col min="5" max="5" width="14.44140625" style="50" customWidth="1"/>
    <col min="6" max="6" width="15.21875" style="50" customWidth="1"/>
    <col min="7" max="9" width="12.77734375" style="50" bestFit="1" customWidth="1"/>
    <col min="10" max="10" width="13.77734375" style="50" bestFit="1" customWidth="1"/>
    <col min="11" max="11" width="14.77734375" style="50" bestFit="1" customWidth="1"/>
    <col min="12" max="12" width="12.77734375" style="50" bestFit="1" customWidth="1"/>
    <col min="13" max="13" width="12" style="50" customWidth="1"/>
    <col min="14" max="14" width="15" style="51" bestFit="1" customWidth="1"/>
    <col min="15" max="16" width="8.77734375" style="50"/>
    <col min="17" max="17" width="13.5546875" style="50" customWidth="1"/>
    <col min="18" max="18" width="14.77734375" style="50" customWidth="1"/>
    <col min="19" max="19" width="13.77734375" style="50" bestFit="1" customWidth="1"/>
    <col min="20" max="20" width="12.21875" style="50" bestFit="1" customWidth="1"/>
    <col min="21" max="21" width="15.77734375" style="50" customWidth="1"/>
    <col min="22" max="16384" width="8.77734375" style="50"/>
  </cols>
  <sheetData>
    <row r="1" spans="1:14" ht="17.399999999999999" x14ac:dyDescent="0.3">
      <c r="A1" s="47" t="s">
        <v>53</v>
      </c>
    </row>
    <row r="3" spans="1:14" x14ac:dyDescent="0.3">
      <c r="D3" s="51" t="s">
        <v>49</v>
      </c>
      <c r="E3" s="51"/>
      <c r="F3" s="51"/>
      <c r="G3" s="51"/>
      <c r="H3" s="51"/>
      <c r="I3" s="51"/>
      <c r="J3" s="51"/>
      <c r="K3" s="51"/>
      <c r="L3" s="51"/>
      <c r="N3" s="50"/>
    </row>
    <row r="4" spans="1:14" x14ac:dyDescent="0.3">
      <c r="D4" s="48">
        <v>2016</v>
      </c>
      <c r="E4" s="48">
        <v>2017</v>
      </c>
      <c r="F4" s="48">
        <v>2018</v>
      </c>
      <c r="G4" s="48">
        <v>2019</v>
      </c>
      <c r="H4" s="48">
        <v>2020</v>
      </c>
      <c r="I4" s="48">
        <v>2021</v>
      </c>
      <c r="J4" s="48">
        <v>2022</v>
      </c>
      <c r="K4" s="48">
        <v>2023</v>
      </c>
      <c r="L4" s="52"/>
      <c r="N4" s="50"/>
    </row>
    <row r="5" spans="1:14" x14ac:dyDescent="0.3">
      <c r="C5" s="48" t="s">
        <v>5</v>
      </c>
      <c r="D5" s="60">
        <v>1.95E-2</v>
      </c>
      <c r="E5" s="60">
        <v>1.7500000000000002E-2</v>
      </c>
      <c r="F5" s="60">
        <v>8.9999999999999993E-3</v>
      </c>
      <c r="G5" s="60">
        <v>1.2E-2</v>
      </c>
      <c r="H5" s="60">
        <v>1.7000000000000001E-2</v>
      </c>
      <c r="I5" s="60">
        <v>1.9E-2</v>
      </c>
      <c r="J5" s="60">
        <v>0.03</v>
      </c>
      <c r="K5" s="60">
        <v>3.4000000000000002E-2</v>
      </c>
      <c r="L5" s="55"/>
      <c r="N5" s="50"/>
    </row>
    <row r="6" spans="1:14" x14ac:dyDescent="0.3">
      <c r="C6" s="48" t="s">
        <v>6</v>
      </c>
      <c r="D6" s="53"/>
      <c r="E6" s="53"/>
      <c r="F6" s="54">
        <v>8.9999999999999993E-3</v>
      </c>
      <c r="G6" s="54">
        <v>1.2E-2</v>
      </c>
      <c r="H6" s="60">
        <v>1.7000000000000001E-2</v>
      </c>
      <c r="I6" s="60">
        <v>1.9E-2</v>
      </c>
      <c r="J6" s="60">
        <v>0.03</v>
      </c>
      <c r="K6" s="60">
        <v>3.4000000000000002E-2</v>
      </c>
      <c r="L6" s="55"/>
      <c r="N6" s="50"/>
    </row>
    <row r="7" spans="1:14" x14ac:dyDescent="0.3">
      <c r="C7" s="48" t="s">
        <v>8</v>
      </c>
      <c r="D7" s="60">
        <v>1.7999999999999999E-2</v>
      </c>
      <c r="E7" s="60">
        <v>1.6E-2</v>
      </c>
      <c r="F7" s="60">
        <v>8.9999999999999993E-3</v>
      </c>
      <c r="G7" s="60">
        <v>1.2E-2</v>
      </c>
      <c r="H7" s="60">
        <v>1.7000000000000001E-2</v>
      </c>
      <c r="I7" s="60">
        <v>1.9E-2</v>
      </c>
      <c r="J7" s="60">
        <v>0.03</v>
      </c>
      <c r="K7" s="60">
        <v>3.4000000000000002E-2</v>
      </c>
      <c r="L7" s="55"/>
      <c r="N7" s="50"/>
    </row>
    <row r="8" spans="1:14" x14ac:dyDescent="0.3">
      <c r="C8" s="48" t="s">
        <v>7</v>
      </c>
      <c r="D8" s="53"/>
      <c r="E8" s="53"/>
      <c r="F8" s="53"/>
      <c r="G8" s="53"/>
      <c r="H8" s="60">
        <v>1.7000000000000001E-2</v>
      </c>
      <c r="I8" s="60">
        <v>1.9E-2</v>
      </c>
      <c r="J8" s="60">
        <v>0.03</v>
      </c>
      <c r="K8" s="60">
        <v>3.4000000000000002E-2</v>
      </c>
      <c r="L8" s="55"/>
      <c r="N8" s="50"/>
    </row>
    <row r="9" spans="1:14" x14ac:dyDescent="0.3">
      <c r="C9" s="48" t="s">
        <v>9</v>
      </c>
      <c r="D9" s="53"/>
      <c r="E9" s="60">
        <v>1.6E-2</v>
      </c>
      <c r="F9" s="60">
        <v>8.9999999999999993E-3</v>
      </c>
      <c r="G9" s="60">
        <v>1.2E-2</v>
      </c>
      <c r="H9" s="60">
        <v>1.7000000000000001E-2</v>
      </c>
      <c r="I9" s="60">
        <v>1.9E-2</v>
      </c>
      <c r="J9" s="60">
        <v>0.03</v>
      </c>
      <c r="K9" s="60">
        <v>3.4000000000000002E-2</v>
      </c>
      <c r="L9" s="55"/>
      <c r="N9" s="50"/>
    </row>
    <row r="10" spans="1:14" ht="11.25" customHeight="1" x14ac:dyDescent="0.3">
      <c r="C10" s="48"/>
      <c r="D10" s="54"/>
      <c r="E10" s="54"/>
      <c r="F10" s="54"/>
      <c r="G10" s="54"/>
      <c r="H10" s="54"/>
      <c r="I10" s="54"/>
      <c r="J10" s="54"/>
      <c r="K10" s="54"/>
      <c r="L10" s="51"/>
      <c r="N10" s="50"/>
    </row>
    <row r="11" spans="1:14" x14ac:dyDescent="0.3">
      <c r="B11" s="63" t="s">
        <v>57</v>
      </c>
      <c r="D11" s="50" t="s">
        <v>54</v>
      </c>
      <c r="L11" s="51"/>
      <c r="N11" s="50"/>
    </row>
    <row r="12" spans="1:14" ht="26.4" x14ac:dyDescent="0.25">
      <c r="B12" s="72" t="s">
        <v>51</v>
      </c>
      <c r="C12" s="73" t="s">
        <v>52</v>
      </c>
      <c r="D12" s="74">
        <v>2016</v>
      </c>
      <c r="E12" s="74">
        <v>2017</v>
      </c>
      <c r="F12" s="74">
        <v>2018</v>
      </c>
      <c r="G12" s="74">
        <v>2019</v>
      </c>
      <c r="H12" s="74">
        <v>2020</v>
      </c>
      <c r="I12" s="74">
        <v>2021</v>
      </c>
      <c r="J12" s="74">
        <v>2022</v>
      </c>
      <c r="K12" s="74">
        <v>2023</v>
      </c>
      <c r="L12" s="75" t="s">
        <v>59</v>
      </c>
      <c r="N12" s="50"/>
    </row>
    <row r="13" spans="1:14" ht="13.2" x14ac:dyDescent="0.25">
      <c r="A13" s="50" t="s">
        <v>5</v>
      </c>
      <c r="B13" s="48">
        <v>2013</v>
      </c>
      <c r="C13" s="65">
        <v>854000</v>
      </c>
      <c r="D13" s="62">
        <f>C13*(1+D5)*3/4</f>
        <v>652989.75000000012</v>
      </c>
      <c r="E13" s="62">
        <f>C13*(1+E5)*(1+D5)</f>
        <v>885889.42750000022</v>
      </c>
      <c r="F13" s="62">
        <f t="shared" ref="F13:K13" si="0">E13*(1+F5)</f>
        <v>893862.43234750011</v>
      </c>
      <c r="G13" s="62">
        <f t="shared" si="0"/>
        <v>904588.78153567016</v>
      </c>
      <c r="H13" s="62">
        <f t="shared" si="0"/>
        <v>919966.79082177649</v>
      </c>
      <c r="I13" s="62">
        <f t="shared" si="0"/>
        <v>937446.15984739014</v>
      </c>
      <c r="J13" s="62">
        <f t="shared" si="0"/>
        <v>965569.54464281187</v>
      </c>
      <c r="K13" s="62">
        <f t="shared" si="0"/>
        <v>998398.90916066756</v>
      </c>
      <c r="L13" s="57">
        <f>SUM(D13:K13)</f>
        <v>7158711.7958558165</v>
      </c>
      <c r="N13" s="50"/>
    </row>
    <row r="14" spans="1:14" x14ac:dyDescent="0.3">
      <c r="A14" s="50" t="s">
        <v>6</v>
      </c>
      <c r="B14" s="70" t="s">
        <v>56</v>
      </c>
      <c r="C14" s="68"/>
      <c r="D14" s="62">
        <f>1025011*3/4</f>
        <v>768758.25</v>
      </c>
      <c r="E14" s="62">
        <v>1035261</v>
      </c>
      <c r="F14" s="62">
        <v>1045614</v>
      </c>
      <c r="G14" s="62">
        <v>1056070</v>
      </c>
      <c r="H14" s="62">
        <v>1066631</v>
      </c>
      <c r="I14" s="62">
        <f>H14*(1+I6)</f>
        <v>1086896.9889999998</v>
      </c>
      <c r="J14" s="62">
        <f>I14*(1+J8)</f>
        <v>1119503.8986699998</v>
      </c>
      <c r="K14" s="62">
        <f>J14*(1+K8)</f>
        <v>1157567.0312247798</v>
      </c>
      <c r="L14" s="57">
        <f>SUM(D14:K14)</f>
        <v>8336302.1688947799</v>
      </c>
      <c r="N14" s="50"/>
    </row>
    <row r="15" spans="1:14" ht="13.2" x14ac:dyDescent="0.25">
      <c r="A15" s="50" t="s">
        <v>8</v>
      </c>
      <c r="B15" s="48">
        <v>2015</v>
      </c>
      <c r="C15" s="65">
        <f>'details '!B3</f>
        <v>406000</v>
      </c>
      <c r="D15" s="62">
        <f>C15*(1+D7)*3/4</f>
        <v>309981</v>
      </c>
      <c r="E15" s="62">
        <f>C15*(1+D7)*(1+E7)</f>
        <v>419920.92800000001</v>
      </c>
      <c r="F15" s="62">
        <f>E15*(1+F7)</f>
        <v>423700.21635199996</v>
      </c>
      <c r="G15" s="62">
        <f>F15*(1+G7)</f>
        <v>428784.61894822394</v>
      </c>
      <c r="H15" s="62">
        <f>G15*(1+H7)</f>
        <v>436073.95747034368</v>
      </c>
      <c r="I15" s="62">
        <f>H15*(1+I7)</f>
        <v>444359.36266228015</v>
      </c>
      <c r="J15" s="62">
        <f t="shared" ref="J15:K17" si="1">I15*(1+J7)</f>
        <v>457690.14354214858</v>
      </c>
      <c r="K15" s="62">
        <f t="shared" si="1"/>
        <v>473251.60842258163</v>
      </c>
      <c r="L15" s="57">
        <f>SUM(D15:K15)</f>
        <v>3393761.8353975778</v>
      </c>
      <c r="N15" s="50"/>
    </row>
    <row r="16" spans="1:14" ht="13.2" x14ac:dyDescent="0.25">
      <c r="A16" s="50" t="s">
        <v>7</v>
      </c>
      <c r="B16" s="48" t="s">
        <v>55</v>
      </c>
      <c r="C16" s="65">
        <v>600000</v>
      </c>
      <c r="D16" s="78">
        <v>600000</v>
      </c>
      <c r="E16" s="78">
        <v>600000</v>
      </c>
      <c r="F16" s="78">
        <v>600000</v>
      </c>
      <c r="G16" s="78">
        <v>600000</v>
      </c>
      <c r="H16" s="78">
        <v>600000</v>
      </c>
      <c r="I16" s="62">
        <f>H16*(1+I8)</f>
        <v>611400</v>
      </c>
      <c r="J16" s="62">
        <f t="shared" si="1"/>
        <v>629742</v>
      </c>
      <c r="K16" s="62">
        <f t="shared" si="1"/>
        <v>651153.228</v>
      </c>
      <c r="L16" s="57">
        <f>SUM(D16:K16)</f>
        <v>4892295.2280000001</v>
      </c>
      <c r="N16" s="50"/>
    </row>
    <row r="17" spans="1:14" ht="13.2" x14ac:dyDescent="0.25">
      <c r="A17" s="50" t="s">
        <v>9</v>
      </c>
      <c r="B17" s="48">
        <v>2016</v>
      </c>
      <c r="C17" s="65">
        <f>'details '!B7</f>
        <v>180000</v>
      </c>
      <c r="D17" s="62">
        <f>$C$17*3/4</f>
        <v>135000</v>
      </c>
      <c r="E17" s="62">
        <f>C17*(1+E9)</f>
        <v>182880</v>
      </c>
      <c r="F17" s="62">
        <f>E17*(1+F9)</f>
        <v>184525.91999999998</v>
      </c>
      <c r="G17" s="62">
        <f>F17*(1+G9)</f>
        <v>186740.23103999998</v>
      </c>
      <c r="H17" s="62">
        <f>G17*(1+H9)</f>
        <v>189914.81496767997</v>
      </c>
      <c r="I17" s="62">
        <f>H17*(1+I9)</f>
        <v>193523.19645206587</v>
      </c>
      <c r="J17" s="62">
        <f t="shared" si="1"/>
        <v>199328.89234562786</v>
      </c>
      <c r="K17" s="62">
        <f t="shared" si="1"/>
        <v>206106.07468537922</v>
      </c>
      <c r="L17" s="57">
        <f t="shared" ref="L17" si="2">SUM(D17:K17)</f>
        <v>1478019.1294907527</v>
      </c>
      <c r="N17" s="50"/>
    </row>
    <row r="18" spans="1:14" s="58" customFormat="1" ht="13.2" x14ac:dyDescent="0.25">
      <c r="A18" s="58" t="s">
        <v>50</v>
      </c>
      <c r="B18" s="59"/>
      <c r="C18" s="67">
        <f t="shared" ref="C18:K18" si="3">SUM(C15:C17)</f>
        <v>1186000</v>
      </c>
      <c r="D18" s="67">
        <f t="shared" si="3"/>
        <v>1044981</v>
      </c>
      <c r="E18" s="67">
        <f t="shared" si="3"/>
        <v>1202800.9280000001</v>
      </c>
      <c r="F18" s="67">
        <f t="shared" si="3"/>
        <v>1208226.1363519998</v>
      </c>
      <c r="G18" s="67">
        <f t="shared" si="3"/>
        <v>1215524.849988224</v>
      </c>
      <c r="H18" s="67">
        <f t="shared" si="3"/>
        <v>1225988.7724380237</v>
      </c>
      <c r="I18" s="67">
        <f t="shared" si="3"/>
        <v>1249282.559114346</v>
      </c>
      <c r="J18" s="67">
        <f t="shared" si="3"/>
        <v>1286761.0358877764</v>
      </c>
      <c r="K18" s="67">
        <f t="shared" si="3"/>
        <v>1330510.9111079609</v>
      </c>
      <c r="L18" s="69">
        <f>SUM(D18:K18)</f>
        <v>9764076.1928883307</v>
      </c>
    </row>
    <row r="19" spans="1:14" x14ac:dyDescent="0.3">
      <c r="C19" s="76"/>
      <c r="L19" s="51"/>
      <c r="N19" s="50"/>
    </row>
    <row r="20" spans="1:14" x14ac:dyDescent="0.3">
      <c r="B20" s="63" t="s">
        <v>58</v>
      </c>
      <c r="C20" s="76"/>
      <c r="D20" s="77" t="s">
        <v>54</v>
      </c>
      <c r="L20" s="51"/>
      <c r="N20" s="50"/>
    </row>
    <row r="21" spans="1:14" ht="26.4" x14ac:dyDescent="0.25">
      <c r="B21" s="72" t="s">
        <v>51</v>
      </c>
      <c r="C21" s="73" t="s">
        <v>52</v>
      </c>
      <c r="D21" s="74">
        <v>2016</v>
      </c>
      <c r="E21" s="74">
        <v>2017</v>
      </c>
      <c r="F21" s="74">
        <v>2018</v>
      </c>
      <c r="G21" s="74">
        <v>2019</v>
      </c>
      <c r="H21" s="74">
        <v>2020</v>
      </c>
      <c r="I21" s="74">
        <v>2021</v>
      </c>
      <c r="J21" s="74">
        <v>2022</v>
      </c>
      <c r="K21" s="74">
        <v>2023</v>
      </c>
      <c r="L21" s="75" t="s">
        <v>59</v>
      </c>
      <c r="N21" s="50"/>
    </row>
    <row r="22" spans="1:14" ht="13.2" x14ac:dyDescent="0.25">
      <c r="A22" s="50" t="s">
        <v>5</v>
      </c>
      <c r="B22" s="48">
        <v>2013</v>
      </c>
      <c r="C22" s="66"/>
      <c r="D22" s="62">
        <f>$C$13*3/4</f>
        <v>640500</v>
      </c>
      <c r="E22" s="62">
        <f t="shared" ref="E22:K22" si="4">$C$13</f>
        <v>854000</v>
      </c>
      <c r="F22" s="62">
        <f t="shared" si="4"/>
        <v>854000</v>
      </c>
      <c r="G22" s="62">
        <f t="shared" si="4"/>
        <v>854000</v>
      </c>
      <c r="H22" s="62">
        <f t="shared" si="4"/>
        <v>854000</v>
      </c>
      <c r="I22" s="62">
        <f t="shared" si="4"/>
        <v>854000</v>
      </c>
      <c r="J22" s="62">
        <f t="shared" si="4"/>
        <v>854000</v>
      </c>
      <c r="K22" s="62">
        <f t="shared" si="4"/>
        <v>854000</v>
      </c>
      <c r="L22" s="57">
        <f>SUM(D22:K22)</f>
        <v>6618500</v>
      </c>
      <c r="N22" s="50"/>
    </row>
    <row r="23" spans="1:14" ht="12" customHeight="1" x14ac:dyDescent="0.25">
      <c r="A23" s="50" t="s">
        <v>6</v>
      </c>
      <c r="B23" s="67" t="s">
        <v>56</v>
      </c>
      <c r="C23" s="66"/>
      <c r="D23" s="62">
        <f>D14</f>
        <v>768758.25</v>
      </c>
      <c r="E23" s="62">
        <f>E14</f>
        <v>1035261</v>
      </c>
      <c r="F23" s="62">
        <f>F14</f>
        <v>1045614</v>
      </c>
      <c r="G23" s="62">
        <f>G14</f>
        <v>1056070</v>
      </c>
      <c r="H23" s="62">
        <f>H14</f>
        <v>1066631</v>
      </c>
      <c r="I23" s="62">
        <f>$H$23</f>
        <v>1066631</v>
      </c>
      <c r="J23" s="62">
        <f>$H$23</f>
        <v>1066631</v>
      </c>
      <c r="K23" s="62">
        <f>J23</f>
        <v>1066631</v>
      </c>
      <c r="L23" s="57">
        <f>SUM(D23:K23)</f>
        <v>8172227.25</v>
      </c>
      <c r="N23" s="50"/>
    </row>
    <row r="24" spans="1:14" ht="13.2" x14ac:dyDescent="0.25">
      <c r="A24" s="50" t="s">
        <v>8</v>
      </c>
      <c r="B24" s="48">
        <v>2015</v>
      </c>
      <c r="C24" s="66"/>
      <c r="D24" s="62">
        <f>$C$15*3/4</f>
        <v>304500</v>
      </c>
      <c r="E24" s="62">
        <f>$C$15</f>
        <v>406000</v>
      </c>
      <c r="F24" s="62">
        <f t="shared" ref="F24:K24" si="5">$C$15</f>
        <v>406000</v>
      </c>
      <c r="G24" s="62">
        <f t="shared" si="5"/>
        <v>406000</v>
      </c>
      <c r="H24" s="62">
        <f t="shared" si="5"/>
        <v>406000</v>
      </c>
      <c r="I24" s="62">
        <f t="shared" si="5"/>
        <v>406000</v>
      </c>
      <c r="J24" s="62">
        <f t="shared" si="5"/>
        <v>406000</v>
      </c>
      <c r="K24" s="62">
        <f t="shared" si="5"/>
        <v>406000</v>
      </c>
      <c r="L24" s="57">
        <f>SUM(D24:K24)</f>
        <v>3146500</v>
      </c>
      <c r="N24" s="50"/>
    </row>
    <row r="25" spans="1:14" ht="13.2" x14ac:dyDescent="0.25">
      <c r="A25" s="50" t="s">
        <v>7</v>
      </c>
      <c r="B25" s="48" t="s">
        <v>55</v>
      </c>
      <c r="C25" s="66"/>
      <c r="D25" s="62">
        <f>$C$16*3/4</f>
        <v>450000</v>
      </c>
      <c r="E25" s="62">
        <f t="shared" ref="E25:K25" si="6">$C$16</f>
        <v>600000</v>
      </c>
      <c r="F25" s="62">
        <f t="shared" si="6"/>
        <v>600000</v>
      </c>
      <c r="G25" s="62">
        <f t="shared" si="6"/>
        <v>600000</v>
      </c>
      <c r="H25" s="62">
        <f t="shared" si="6"/>
        <v>600000</v>
      </c>
      <c r="I25" s="62">
        <f t="shared" si="6"/>
        <v>600000</v>
      </c>
      <c r="J25" s="62">
        <f t="shared" si="6"/>
        <v>600000</v>
      </c>
      <c r="K25" s="62">
        <f t="shared" si="6"/>
        <v>600000</v>
      </c>
      <c r="L25" s="57">
        <f>SUM(D25:K25)</f>
        <v>4650000</v>
      </c>
      <c r="N25" s="50"/>
    </row>
    <row r="26" spans="1:14" ht="13.2" x14ac:dyDescent="0.25">
      <c r="A26" s="50" t="s">
        <v>9</v>
      </c>
      <c r="B26" s="48">
        <v>2016</v>
      </c>
      <c r="C26" s="66"/>
      <c r="D26" s="62">
        <f>$C$17*3/4</f>
        <v>135000</v>
      </c>
      <c r="E26" s="62">
        <f>$C$17</f>
        <v>180000</v>
      </c>
      <c r="F26" s="62">
        <f t="shared" ref="F26:K26" si="7">$C$17</f>
        <v>180000</v>
      </c>
      <c r="G26" s="62">
        <f t="shared" si="7"/>
        <v>180000</v>
      </c>
      <c r="H26" s="62">
        <f t="shared" si="7"/>
        <v>180000</v>
      </c>
      <c r="I26" s="62">
        <f t="shared" si="7"/>
        <v>180000</v>
      </c>
      <c r="J26" s="62">
        <f t="shared" si="7"/>
        <v>180000</v>
      </c>
      <c r="K26" s="62">
        <f t="shared" si="7"/>
        <v>180000</v>
      </c>
      <c r="L26" s="57">
        <f t="shared" ref="L26" si="8">SUM(D26:K26)</f>
        <v>1395000</v>
      </c>
      <c r="N26" s="50"/>
    </row>
    <row r="27" spans="1:14" s="58" customFormat="1" ht="12" customHeight="1" x14ac:dyDescent="0.25">
      <c r="A27" s="58" t="s">
        <v>50</v>
      </c>
      <c r="B27" s="59"/>
      <c r="C27" s="66"/>
      <c r="D27" s="71">
        <f>SUM(D22:D26)</f>
        <v>2298758.25</v>
      </c>
      <c r="E27" s="71">
        <f t="shared" ref="E27:K27" si="9">SUM(E22:E26)</f>
        <v>3075261</v>
      </c>
      <c r="F27" s="71">
        <f t="shared" si="9"/>
        <v>3085614</v>
      </c>
      <c r="G27" s="71">
        <f t="shared" si="9"/>
        <v>3096070</v>
      </c>
      <c r="H27" s="71">
        <f t="shared" si="9"/>
        <v>3106631</v>
      </c>
      <c r="I27" s="71">
        <f t="shared" si="9"/>
        <v>3106631</v>
      </c>
      <c r="J27" s="71">
        <f t="shared" si="9"/>
        <v>3106631</v>
      </c>
      <c r="K27" s="71">
        <f t="shared" si="9"/>
        <v>3106631</v>
      </c>
      <c r="L27" s="69">
        <f>SUM(D27:K27)</f>
        <v>23982227.25</v>
      </c>
      <c r="M27" s="71"/>
      <c r="N27" s="71"/>
    </row>
    <row r="28" spans="1:14" ht="13.2" x14ac:dyDescent="0.25">
      <c r="C28" s="66"/>
      <c r="D28" s="66"/>
      <c r="E28" s="66"/>
      <c r="F28" s="66"/>
      <c r="G28" s="66"/>
      <c r="H28" s="66"/>
      <c r="I28" s="66"/>
      <c r="J28" s="66"/>
      <c r="K28" s="66"/>
      <c r="L28" s="69"/>
    </row>
    <row r="29" spans="1:14" ht="13.2" x14ac:dyDescent="0.25">
      <c r="B29" s="72" t="s">
        <v>19</v>
      </c>
      <c r="C29" s="73"/>
      <c r="D29" s="74">
        <v>2016</v>
      </c>
      <c r="E29" s="74">
        <v>2017</v>
      </c>
      <c r="F29" s="74">
        <v>2018</v>
      </c>
      <c r="G29" s="74">
        <v>2019</v>
      </c>
      <c r="H29" s="74">
        <v>2020</v>
      </c>
      <c r="I29" s="74">
        <v>2021</v>
      </c>
      <c r="J29" s="74">
        <v>2022</v>
      </c>
      <c r="K29" s="74">
        <v>2023</v>
      </c>
      <c r="L29" s="75"/>
      <c r="N29" s="50"/>
    </row>
    <row r="30" spans="1:14" ht="13.2" x14ac:dyDescent="0.25">
      <c r="A30" s="50" t="s">
        <v>5</v>
      </c>
      <c r="C30" s="64"/>
      <c r="D30" s="62">
        <f>'details '!I12</f>
        <v>684654</v>
      </c>
      <c r="E30" s="62">
        <f>'details '!P12</f>
        <v>928610.10562683968</v>
      </c>
      <c r="F30" s="62">
        <f>'details '!W12</f>
        <v>871761.14445628272</v>
      </c>
      <c r="G30" s="62">
        <f>'details '!AD12</f>
        <v>888880.24457745836</v>
      </c>
      <c r="H30" s="62">
        <f>'details '!AK12</f>
        <v>862028.19690169138</v>
      </c>
      <c r="I30" s="62">
        <f>'details '!AR12</f>
        <v>811643.38589713466</v>
      </c>
      <c r="J30" s="62">
        <f>'details '!AY12</f>
        <v>902558.26718754577</v>
      </c>
      <c r="K30" s="62">
        <f>'details '!BE12</f>
        <v>1005448.333335811</v>
      </c>
      <c r="L30" s="57">
        <f>SUM(D30:K30)</f>
        <v>6955583.6779827634</v>
      </c>
      <c r="N30" s="50"/>
    </row>
    <row r="31" spans="1:14" x14ac:dyDescent="0.3">
      <c r="A31" s="50" t="s">
        <v>6</v>
      </c>
      <c r="B31" s="56"/>
      <c r="D31" s="62">
        <f>'details '!I14</f>
        <v>1189080</v>
      </c>
      <c r="E31" s="62">
        <f>'details '!P14</f>
        <v>1612717.6310767578</v>
      </c>
      <c r="F31" s="62">
        <f>'details '!W14</f>
        <v>1513988.0197551439</v>
      </c>
      <c r="G31" s="62">
        <f>'details '!AD14</f>
        <v>1543718.7616844028</v>
      </c>
      <c r="H31" s="62">
        <f>'details '!AK14</f>
        <v>1532429.5714118886</v>
      </c>
      <c r="I31" s="62">
        <f>'details '!AR14</f>
        <v>1485495.1848742482</v>
      </c>
      <c r="J31" s="62">
        <f>'details '!AY14</f>
        <v>1657529.4414585852</v>
      </c>
      <c r="K31" s="62">
        <f>'details '!BE14</f>
        <v>1859427.132818091</v>
      </c>
      <c r="L31" s="57">
        <f>SUM(D31:K31)</f>
        <v>12394385.743079117</v>
      </c>
      <c r="N31" s="50"/>
    </row>
    <row r="32" spans="1:14" ht="13.2" x14ac:dyDescent="0.25">
      <c r="A32" s="50" t="s">
        <v>8</v>
      </c>
      <c r="C32" s="64"/>
      <c r="D32" s="62">
        <f>'details '!I11</f>
        <v>499961</v>
      </c>
      <c r="E32" s="62">
        <f>'details '!P11</f>
        <v>678105.44000969955</v>
      </c>
      <c r="F32" s="62">
        <f>'details '!W11</f>
        <v>636592.22617565119</v>
      </c>
      <c r="G32" s="62">
        <f>'details '!AD11</f>
        <v>649093.2262235604</v>
      </c>
      <c r="H32" s="62">
        <f>'details '!AK11</f>
        <v>661135.02707991656</v>
      </c>
      <c r="I32" s="62">
        <f>'details '!AR11</f>
        <v>657301.78785381967</v>
      </c>
      <c r="J32" s="62">
        <f>'details '!AY11</f>
        <v>734518.10025715502</v>
      </c>
      <c r="K32" s="62">
        <f>'details '!BE11</f>
        <v>823938.67193132732</v>
      </c>
      <c r="L32" s="57">
        <f>SUM(D32:K32)</f>
        <v>5340645.4795311298</v>
      </c>
      <c r="N32" s="50"/>
    </row>
    <row r="33" spans="1:19" ht="13.2" x14ac:dyDescent="0.25">
      <c r="A33" s="50" t="s">
        <v>7</v>
      </c>
      <c r="C33" s="64"/>
      <c r="D33" s="62">
        <f>'details '!I13</f>
        <v>818461</v>
      </c>
      <c r="E33" s="62">
        <f>'details '!P13</f>
        <v>1110092.8232867031</v>
      </c>
      <c r="F33" s="62">
        <f>'details '!W13</f>
        <v>1042133.5996129222</v>
      </c>
      <c r="G33" s="62">
        <f>'details '!AD13</f>
        <v>1062598.3653286723</v>
      </c>
      <c r="H33" s="62">
        <f>'details '!AK13</f>
        <v>1036684.5918723881</v>
      </c>
      <c r="I33" s="62">
        <f>'details '!AR13</f>
        <v>988907.16718470864</v>
      </c>
      <c r="J33" s="62">
        <f>'details '!AY13</f>
        <v>1102896.9545462793</v>
      </c>
      <c r="K33" s="62">
        <f>'details '!BE13</f>
        <v>1234073.1152594495</v>
      </c>
      <c r="L33" s="57">
        <f>SUM(D33:K33)</f>
        <v>8395847.617091123</v>
      </c>
      <c r="N33" s="50"/>
    </row>
    <row r="34" spans="1:19" ht="13.2" x14ac:dyDescent="0.25">
      <c r="A34" s="50" t="s">
        <v>9</v>
      </c>
      <c r="C34" s="64"/>
      <c r="D34" s="62">
        <f>'details '!I15</f>
        <v>179274</v>
      </c>
      <c r="E34" s="62">
        <f>'details '!P15</f>
        <v>243056.01</v>
      </c>
      <c r="F34" s="62">
        <f>'details '!W15</f>
        <v>228297</v>
      </c>
      <c r="G34" s="62">
        <f>'details '!AD15</f>
        <v>232388.4021859059</v>
      </c>
      <c r="H34" s="62">
        <f>'details '!AK15</f>
        <v>230432.61764844152</v>
      </c>
      <c r="I34" s="62">
        <f>'details '!AR15</f>
        <v>222626.46419008885</v>
      </c>
      <c r="J34" s="62">
        <f>'details '!AY15</f>
        <v>247710.23655043475</v>
      </c>
      <c r="K34" s="62">
        <f>'details '!BE15</f>
        <v>275632.74665532104</v>
      </c>
      <c r="L34" s="57">
        <f t="shared" ref="L34" si="10">SUM(D34:K34)</f>
        <v>1859417.4772301922</v>
      </c>
      <c r="N34" s="50"/>
    </row>
    <row r="35" spans="1:19" s="58" customFormat="1" ht="13.2" x14ac:dyDescent="0.25">
      <c r="A35" s="58" t="s">
        <v>50</v>
      </c>
      <c r="B35" s="59"/>
      <c r="C35" s="64"/>
      <c r="D35" s="56">
        <f>SUM(D30:D34)</f>
        <v>3371430</v>
      </c>
      <c r="E35" s="56">
        <f t="shared" ref="E35:L35" si="11">SUM(E30:E34)</f>
        <v>4572582.01</v>
      </c>
      <c r="F35" s="56">
        <f t="shared" si="11"/>
        <v>4292771.99</v>
      </c>
      <c r="G35" s="56">
        <f t="shared" si="11"/>
        <v>4376679</v>
      </c>
      <c r="H35" s="56">
        <f t="shared" si="11"/>
        <v>4322710.0049143266</v>
      </c>
      <c r="I35" s="56">
        <f t="shared" si="11"/>
        <v>4165973.99</v>
      </c>
      <c r="J35" s="56">
        <f t="shared" si="11"/>
        <v>4645212.9999999991</v>
      </c>
      <c r="K35" s="56">
        <f t="shared" si="11"/>
        <v>5198520</v>
      </c>
      <c r="L35" s="56">
        <f t="shared" si="11"/>
        <v>34945879.994914331</v>
      </c>
    </row>
    <row r="36" spans="1:19" x14ac:dyDescent="0.3">
      <c r="B36" s="63" t="s">
        <v>62</v>
      </c>
    </row>
    <row r="37" spans="1:19" ht="28.8" x14ac:dyDescent="0.3">
      <c r="A37" s="85" t="s">
        <v>5</v>
      </c>
      <c r="B37" s="86"/>
      <c r="C37" s="87"/>
      <c r="D37" s="88">
        <f>D30-D22</f>
        <v>44154</v>
      </c>
      <c r="E37" s="88">
        <f t="shared" ref="E37:K37" si="12">E30-E22</f>
        <v>74610.105626839679</v>
      </c>
      <c r="F37" s="88">
        <f t="shared" si="12"/>
        <v>17761.144456282724</v>
      </c>
      <c r="G37" s="88">
        <f t="shared" si="12"/>
        <v>34880.244577458361</v>
      </c>
      <c r="H37" s="88">
        <f t="shared" si="12"/>
        <v>8028.196901691379</v>
      </c>
      <c r="I37" s="88">
        <f t="shared" si="12"/>
        <v>-42356.614102865336</v>
      </c>
      <c r="J37" s="88">
        <f t="shared" si="12"/>
        <v>48558.267187545775</v>
      </c>
      <c r="K37" s="88">
        <f t="shared" si="12"/>
        <v>151448.33333581104</v>
      </c>
      <c r="L37" s="89">
        <f>SUM(D37:K37)</f>
        <v>337083.67798276362</v>
      </c>
      <c r="N37" s="29" t="s">
        <v>10</v>
      </c>
      <c r="O37" s="29" t="s">
        <v>11</v>
      </c>
      <c r="P37" s="29" t="s">
        <v>12</v>
      </c>
      <c r="Q37" s="29" t="s">
        <v>35</v>
      </c>
      <c r="R37" s="29" t="s">
        <v>60</v>
      </c>
    </row>
    <row r="38" spans="1:19" x14ac:dyDescent="0.3">
      <c r="A38" s="85" t="s">
        <v>6</v>
      </c>
      <c r="B38" s="86"/>
      <c r="C38" s="87"/>
      <c r="D38" s="88">
        <f t="shared" ref="D38:K38" si="13">D31-D23</f>
        <v>420321.75</v>
      </c>
      <c r="E38" s="88">
        <f t="shared" si="13"/>
        <v>577456.6310767578</v>
      </c>
      <c r="F38" s="88">
        <f t="shared" si="13"/>
        <v>468374.01975514391</v>
      </c>
      <c r="G38" s="88">
        <f t="shared" si="13"/>
        <v>487648.76168440282</v>
      </c>
      <c r="H38" s="88">
        <f t="shared" si="13"/>
        <v>465798.57141188858</v>
      </c>
      <c r="I38" s="88">
        <f t="shared" si="13"/>
        <v>418864.18487424823</v>
      </c>
      <c r="J38" s="88">
        <f t="shared" si="13"/>
        <v>590898.44145858521</v>
      </c>
      <c r="K38" s="88">
        <f t="shared" si="13"/>
        <v>792796.13281809096</v>
      </c>
      <c r="L38" s="89">
        <f t="shared" ref="L38:L41" si="14">SUM(D38:K38)</f>
        <v>4222158.4930791175</v>
      </c>
      <c r="N38" s="30" t="s">
        <v>13</v>
      </c>
      <c r="O38" s="30" t="s">
        <v>36</v>
      </c>
      <c r="P38" s="30" t="s">
        <v>37</v>
      </c>
      <c r="Q38" s="30" t="s">
        <v>2</v>
      </c>
      <c r="R38" s="80">
        <v>337083.41000000003</v>
      </c>
      <c r="S38" s="79">
        <f>R38-L37</f>
        <v>-0.26798276358749717</v>
      </c>
    </row>
    <row r="39" spans="1:19" x14ac:dyDescent="0.3">
      <c r="A39" s="85" t="s">
        <v>8</v>
      </c>
      <c r="B39" s="86"/>
      <c r="C39" s="87"/>
      <c r="D39" s="88">
        <f t="shared" ref="D39:K39" si="15">D32-D24</f>
        <v>195461</v>
      </c>
      <c r="E39" s="88">
        <f t="shared" si="15"/>
        <v>272105.44000969955</v>
      </c>
      <c r="F39" s="88">
        <f t="shared" si="15"/>
        <v>230592.22617565119</v>
      </c>
      <c r="G39" s="88">
        <f t="shared" si="15"/>
        <v>243093.2262235604</v>
      </c>
      <c r="H39" s="88">
        <f t="shared" si="15"/>
        <v>255135.02707991656</v>
      </c>
      <c r="I39" s="88">
        <f t="shared" si="15"/>
        <v>251301.78785381967</v>
      </c>
      <c r="J39" s="88">
        <f t="shared" si="15"/>
        <v>328518.10025715502</v>
      </c>
      <c r="K39" s="88">
        <f t="shared" si="15"/>
        <v>417938.67193132732</v>
      </c>
      <c r="L39" s="89">
        <f t="shared" si="14"/>
        <v>2194145.4795311298</v>
      </c>
      <c r="N39" s="30" t="s">
        <v>14</v>
      </c>
      <c r="O39" s="30" t="s">
        <v>36</v>
      </c>
      <c r="P39" s="30" t="s">
        <v>37</v>
      </c>
      <c r="Q39" s="30" t="s">
        <v>2</v>
      </c>
      <c r="R39" s="80">
        <v>4083901.0900000003</v>
      </c>
      <c r="S39" s="79">
        <f>R39-L38</f>
        <v>-138257.40307911718</v>
      </c>
    </row>
    <row r="40" spans="1:19" x14ac:dyDescent="0.3">
      <c r="A40" s="85" t="s">
        <v>7</v>
      </c>
      <c r="B40" s="86"/>
      <c r="C40" s="87"/>
      <c r="D40" s="88">
        <f t="shared" ref="D40:K40" si="16">D33-D25</f>
        <v>368461</v>
      </c>
      <c r="E40" s="88">
        <f t="shared" si="16"/>
        <v>510092.82328670309</v>
      </c>
      <c r="F40" s="88">
        <f t="shared" si="16"/>
        <v>442133.59961292217</v>
      </c>
      <c r="G40" s="88">
        <f t="shared" si="16"/>
        <v>462598.36532867234</v>
      </c>
      <c r="H40" s="88">
        <f t="shared" si="16"/>
        <v>436684.59187238815</v>
      </c>
      <c r="I40" s="88">
        <f t="shared" si="16"/>
        <v>388907.16718470864</v>
      </c>
      <c r="J40" s="88">
        <f t="shared" si="16"/>
        <v>502896.95454627927</v>
      </c>
      <c r="K40" s="88">
        <f t="shared" si="16"/>
        <v>634073.11525944946</v>
      </c>
      <c r="L40" s="89">
        <f t="shared" si="14"/>
        <v>3745847.617091123</v>
      </c>
      <c r="N40" s="30" t="s">
        <v>15</v>
      </c>
      <c r="O40" s="30" t="s">
        <v>36</v>
      </c>
      <c r="P40" s="30" t="s">
        <v>37</v>
      </c>
      <c r="Q40" s="30" t="s">
        <v>2</v>
      </c>
      <c r="R40" s="80">
        <v>2222157.2800000003</v>
      </c>
      <c r="S40" s="79">
        <f>R40-L39</f>
        <v>28011.800468870439</v>
      </c>
    </row>
    <row r="41" spans="1:19" x14ac:dyDescent="0.3">
      <c r="A41" s="85" t="s">
        <v>9</v>
      </c>
      <c r="B41" s="86"/>
      <c r="C41" s="87"/>
      <c r="D41" s="88">
        <f>D34-D26</f>
        <v>44274</v>
      </c>
      <c r="E41" s="88">
        <f t="shared" ref="E41:K41" si="17">E34-E26</f>
        <v>63056.010000000009</v>
      </c>
      <c r="F41" s="88">
        <f t="shared" si="17"/>
        <v>48297</v>
      </c>
      <c r="G41" s="88">
        <f t="shared" si="17"/>
        <v>52388.402185905899</v>
      </c>
      <c r="H41" s="88">
        <f t="shared" si="17"/>
        <v>50432.617648441519</v>
      </c>
      <c r="I41" s="88">
        <f t="shared" si="17"/>
        <v>42626.464190088853</v>
      </c>
      <c r="J41" s="88">
        <f t="shared" si="17"/>
        <v>67710.236550434754</v>
      </c>
      <c r="K41" s="88">
        <f t="shared" si="17"/>
        <v>95632.74665532104</v>
      </c>
      <c r="L41" s="89">
        <f t="shared" si="14"/>
        <v>464417.4772301921</v>
      </c>
      <c r="N41" s="30" t="s">
        <v>16</v>
      </c>
      <c r="O41" s="30" t="s">
        <v>36</v>
      </c>
      <c r="P41" s="30" t="s">
        <v>37</v>
      </c>
      <c r="Q41" s="30" t="s">
        <v>2</v>
      </c>
      <c r="R41" s="80">
        <v>3745845.52</v>
      </c>
      <c r="S41" s="79">
        <f>R41-L40</f>
        <v>-2.097091122996062</v>
      </c>
    </row>
    <row r="42" spans="1:19" x14ac:dyDescent="0.3">
      <c r="A42" s="90" t="s">
        <v>50</v>
      </c>
      <c r="B42" s="86"/>
      <c r="C42" s="87"/>
      <c r="D42" s="91">
        <f>SUM(D37:D41)</f>
        <v>1072671.75</v>
      </c>
      <c r="E42" s="91">
        <f t="shared" ref="E42:K42" si="18">SUM(E37:E41)</f>
        <v>1497321.01</v>
      </c>
      <c r="F42" s="91">
        <f t="shared" si="18"/>
        <v>1207157.99</v>
      </c>
      <c r="G42" s="91">
        <f t="shared" si="18"/>
        <v>1280608.9999999998</v>
      </c>
      <c r="H42" s="91">
        <f t="shared" si="18"/>
        <v>1216079.0049143264</v>
      </c>
      <c r="I42" s="91">
        <f t="shared" si="18"/>
        <v>1059342.99</v>
      </c>
      <c r="J42" s="91">
        <f t="shared" si="18"/>
        <v>1538582</v>
      </c>
      <c r="K42" s="91">
        <f t="shared" si="18"/>
        <v>2091888.9999999998</v>
      </c>
      <c r="L42" s="92">
        <f t="shared" ref="L42" si="19">SUM(L37:L41)</f>
        <v>10963652.744914325</v>
      </c>
      <c r="N42" s="32" t="s">
        <v>38</v>
      </c>
      <c r="O42" s="32" t="s">
        <v>36</v>
      </c>
      <c r="P42" s="32" t="s">
        <v>37</v>
      </c>
      <c r="Q42" s="32" t="s">
        <v>39</v>
      </c>
      <c r="R42" s="80">
        <v>470755.01</v>
      </c>
      <c r="S42" s="79">
        <f>R42-L41</f>
        <v>6337.5327698079054</v>
      </c>
    </row>
    <row r="43" spans="1:19" x14ac:dyDescent="0.3">
      <c r="K43" s="50" t="s">
        <v>17</v>
      </c>
      <c r="L43" s="93">
        <f>R43</f>
        <v>10859742.310000001</v>
      </c>
      <c r="N43" s="34" t="s">
        <v>40</v>
      </c>
      <c r="O43" s="34"/>
      <c r="P43" s="34"/>
      <c r="Q43" s="34"/>
      <c r="R43" s="81">
        <f>SUM(R38:R42)</f>
        <v>10859742.310000001</v>
      </c>
      <c r="S43" s="79">
        <f>SUM(S38:S42)</f>
        <v>-103910.43491432542</v>
      </c>
    </row>
    <row r="44" spans="1:19" x14ac:dyDescent="0.3">
      <c r="J44" s="94" t="s">
        <v>61</v>
      </c>
      <c r="K44" s="94"/>
      <c r="L44" s="95">
        <f>L42-L43</f>
        <v>103910.43491432443</v>
      </c>
    </row>
    <row r="46" spans="1:19" x14ac:dyDescent="0.3">
      <c r="A46" s="82"/>
      <c r="B46" s="96" t="s">
        <v>63</v>
      </c>
    </row>
    <row r="47" spans="1:19" x14ac:dyDescent="0.3">
      <c r="A47" s="85" t="s">
        <v>5</v>
      </c>
      <c r="B47" s="86"/>
      <c r="C47" s="87"/>
      <c r="D47" s="88">
        <f>D30-D13</f>
        <v>31664.249999999884</v>
      </c>
      <c r="E47" s="88">
        <f t="shared" ref="E47:K47" si="20">E30-E13</f>
        <v>42720.678126839455</v>
      </c>
      <c r="F47" s="88">
        <f t="shared" si="20"/>
        <v>-22101.287891217391</v>
      </c>
      <c r="G47" s="88">
        <f t="shared" si="20"/>
        <v>-15708.5369582118</v>
      </c>
      <c r="H47" s="88">
        <f t="shared" si="20"/>
        <v>-57938.593920085113</v>
      </c>
      <c r="I47" s="88">
        <f t="shared" si="20"/>
        <v>-125802.77395025548</v>
      </c>
      <c r="J47" s="88">
        <f t="shared" si="20"/>
        <v>-63011.277455266099</v>
      </c>
      <c r="K47" s="88">
        <f t="shared" si="20"/>
        <v>7049.4241751434747</v>
      </c>
      <c r="L47" s="89">
        <f>SUM(D47:K47)</f>
        <v>-203128.11787305307</v>
      </c>
    </row>
    <row r="48" spans="1:19" x14ac:dyDescent="0.3">
      <c r="A48" s="85" t="s">
        <v>6</v>
      </c>
      <c r="B48" s="86"/>
      <c r="C48" s="87"/>
      <c r="D48" s="88">
        <f t="shared" ref="D48:K51" si="21">D31-D14</f>
        <v>420321.75</v>
      </c>
      <c r="E48" s="88">
        <f t="shared" si="21"/>
        <v>577456.6310767578</v>
      </c>
      <c r="F48" s="88">
        <f t="shared" si="21"/>
        <v>468374.01975514391</v>
      </c>
      <c r="G48" s="88">
        <f t="shared" si="21"/>
        <v>487648.76168440282</v>
      </c>
      <c r="H48" s="88">
        <f t="shared" si="21"/>
        <v>465798.57141188858</v>
      </c>
      <c r="I48" s="88">
        <f t="shared" si="21"/>
        <v>398598.1958742484</v>
      </c>
      <c r="J48" s="88">
        <f t="shared" si="21"/>
        <v>538025.54278858542</v>
      </c>
      <c r="K48" s="88">
        <f t="shared" si="21"/>
        <v>701860.10159331118</v>
      </c>
      <c r="L48" s="89">
        <f t="shared" ref="L48:L51" si="22">SUM(D48:K48)</f>
        <v>4058083.5741843386</v>
      </c>
    </row>
    <row r="49" spans="1:12" x14ac:dyDescent="0.3">
      <c r="A49" s="85" t="s">
        <v>8</v>
      </c>
      <c r="B49" s="86"/>
      <c r="C49" s="87"/>
      <c r="D49" s="88">
        <f t="shared" si="21"/>
        <v>189980</v>
      </c>
      <c r="E49" s="88">
        <f t="shared" si="21"/>
        <v>258184.51200969954</v>
      </c>
      <c r="F49" s="88">
        <f t="shared" si="21"/>
        <v>212892.00982365123</v>
      </c>
      <c r="G49" s="88">
        <f t="shared" si="21"/>
        <v>220308.60727533646</v>
      </c>
      <c r="H49" s="88">
        <f t="shared" si="21"/>
        <v>225061.06960957288</v>
      </c>
      <c r="I49" s="88">
        <f t="shared" si="21"/>
        <v>212942.42519153951</v>
      </c>
      <c r="J49" s="88">
        <f t="shared" si="21"/>
        <v>276827.95671500644</v>
      </c>
      <c r="K49" s="88">
        <f t="shared" si="21"/>
        <v>350687.06350874569</v>
      </c>
      <c r="L49" s="89">
        <f t="shared" si="22"/>
        <v>1946883.6441335517</v>
      </c>
    </row>
    <row r="50" spans="1:12" x14ac:dyDescent="0.3">
      <c r="A50" s="85" t="s">
        <v>7</v>
      </c>
      <c r="B50" s="86"/>
      <c r="C50" s="87"/>
      <c r="D50" s="88">
        <f t="shared" si="21"/>
        <v>218461</v>
      </c>
      <c r="E50" s="88">
        <f t="shared" si="21"/>
        <v>510092.82328670309</v>
      </c>
      <c r="F50" s="88">
        <f t="shared" si="21"/>
        <v>442133.59961292217</v>
      </c>
      <c r="G50" s="88">
        <f t="shared" si="21"/>
        <v>462598.36532867234</v>
      </c>
      <c r="H50" s="88">
        <f t="shared" si="21"/>
        <v>436684.59187238815</v>
      </c>
      <c r="I50" s="88">
        <f t="shared" si="21"/>
        <v>377507.16718470864</v>
      </c>
      <c r="J50" s="88">
        <f t="shared" si="21"/>
        <v>473154.95454627927</v>
      </c>
      <c r="K50" s="88">
        <f t="shared" si="21"/>
        <v>582919.88725944946</v>
      </c>
      <c r="L50" s="89">
        <f t="shared" si="22"/>
        <v>3503552.3890911229</v>
      </c>
    </row>
    <row r="51" spans="1:12" x14ac:dyDescent="0.3">
      <c r="A51" s="85" t="s">
        <v>9</v>
      </c>
      <c r="B51" s="86"/>
      <c r="C51" s="87"/>
      <c r="D51" s="88">
        <f t="shared" si="21"/>
        <v>44274</v>
      </c>
      <c r="E51" s="88">
        <f t="shared" si="21"/>
        <v>60176.010000000009</v>
      </c>
      <c r="F51" s="88">
        <f t="shared" si="21"/>
        <v>43771.080000000016</v>
      </c>
      <c r="G51" s="88">
        <f t="shared" si="21"/>
        <v>45648.171145905915</v>
      </c>
      <c r="H51" s="88">
        <f t="shared" si="21"/>
        <v>40517.802680761553</v>
      </c>
      <c r="I51" s="88">
        <f t="shared" si="21"/>
        <v>29103.267738022987</v>
      </c>
      <c r="J51" s="88">
        <f t="shared" si="21"/>
        <v>48381.344204806897</v>
      </c>
      <c r="K51" s="88">
        <f t="shared" si="21"/>
        <v>69526.671969941817</v>
      </c>
      <c r="L51" s="89">
        <f t="shared" si="22"/>
        <v>381398.34773943917</v>
      </c>
    </row>
    <row r="52" spans="1:12" x14ac:dyDescent="0.3">
      <c r="A52" s="90" t="s">
        <v>50</v>
      </c>
      <c r="B52" s="86"/>
      <c r="C52" s="87"/>
      <c r="D52" s="91">
        <f>SUM(D47:D51)</f>
        <v>904700.99999999988</v>
      </c>
      <c r="E52" s="91">
        <f t="shared" ref="E52:L52" si="23">SUM(E47:E51)</f>
        <v>1448630.6544999999</v>
      </c>
      <c r="F52" s="91">
        <f t="shared" si="23"/>
        <v>1145069.4213004999</v>
      </c>
      <c r="G52" s="91">
        <f t="shared" si="23"/>
        <v>1200495.3684761059</v>
      </c>
      <c r="H52" s="91">
        <f t="shared" si="23"/>
        <v>1110123.4416545262</v>
      </c>
      <c r="I52" s="91">
        <f t="shared" si="23"/>
        <v>892348.28203826409</v>
      </c>
      <c r="J52" s="91">
        <f t="shared" si="23"/>
        <v>1273378.5207994119</v>
      </c>
      <c r="K52" s="91">
        <f t="shared" si="23"/>
        <v>1712043.1485065916</v>
      </c>
      <c r="L52" s="91">
        <f t="shared" si="23"/>
        <v>9686789.8372754008</v>
      </c>
    </row>
    <row r="54" spans="1:12" x14ac:dyDescent="0.3">
      <c r="J54" s="97" t="s">
        <v>64</v>
      </c>
      <c r="K54" s="97"/>
      <c r="L54" s="98">
        <f>L42-L52</f>
        <v>1276862.9076389242</v>
      </c>
    </row>
  </sheetData>
  <phoneticPr fontId="3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02B36-DF8B-4862-B1FF-EA21555346CB}">
  <dimension ref="A1:CF51"/>
  <sheetViews>
    <sheetView topLeftCell="A34" zoomScale="90" zoomScaleNormal="90" workbookViewId="0">
      <pane xSplit="1" topLeftCell="AK1" activePane="topRight" state="frozen"/>
      <selection activeCell="BF27" sqref="BF27:BF28"/>
      <selection pane="topRight" activeCell="BI51" sqref="BI51"/>
    </sheetView>
  </sheetViews>
  <sheetFormatPr defaultRowHeight="14.4" outlineLevelCol="1" x14ac:dyDescent="0.3"/>
  <cols>
    <col min="1" max="1" width="28.44140625" customWidth="1"/>
    <col min="2" max="2" width="12.5546875" customWidth="1"/>
    <col min="3" max="3" width="10.5546875" bestFit="1" customWidth="1"/>
    <col min="4" max="4" width="13.21875" customWidth="1"/>
    <col min="5" max="5" width="12.44140625" style="112" customWidth="1"/>
    <col min="6" max="8" width="12.44140625" customWidth="1" outlineLevel="1"/>
    <col min="9" max="9" width="12.21875" style="16" bestFit="1" customWidth="1"/>
    <col min="10" max="10" width="2.44140625" customWidth="1"/>
    <col min="11" max="11" width="12.21875" customWidth="1"/>
    <col min="12" max="12" width="13.44140625" hidden="1" customWidth="1" outlineLevel="1"/>
    <col min="13" max="15" width="12.21875" hidden="1" customWidth="1" outlineLevel="1"/>
    <col min="16" max="16" width="12.21875" style="16" bestFit="1" customWidth="1" collapsed="1"/>
    <col min="17" max="17" width="2.44140625" customWidth="1"/>
    <col min="18" max="18" width="8.77734375" customWidth="1"/>
    <col min="19" max="22" width="12.21875" hidden="1" customWidth="1" outlineLevel="1"/>
    <col min="23" max="23" width="12.21875" style="16" bestFit="1" customWidth="1" collapsed="1"/>
    <col min="24" max="24" width="2.44140625" customWidth="1"/>
    <col min="25" max="25" width="10.21875" customWidth="1"/>
    <col min="26" max="29" width="12.21875" hidden="1" customWidth="1" outlineLevel="1"/>
    <col min="30" max="30" width="12.21875" style="16" bestFit="1" customWidth="1" collapsed="1"/>
    <col min="31" max="31" width="2.44140625" customWidth="1"/>
    <col min="32" max="32" width="8" customWidth="1"/>
    <col min="33" max="33" width="13.44140625" hidden="1" customWidth="1" outlineLevel="1"/>
    <col min="34" max="34" width="12.21875" hidden="1" customWidth="1" outlineLevel="1"/>
    <col min="35" max="36" width="12.77734375" hidden="1" customWidth="1" outlineLevel="1"/>
    <col min="37" max="37" width="12.21875" style="16" bestFit="1" customWidth="1" collapsed="1"/>
    <col min="38" max="38" width="2.44140625" customWidth="1"/>
    <col min="39" max="39" width="6.5546875" bestFit="1" customWidth="1"/>
    <col min="40" max="40" width="13.77734375" hidden="1" customWidth="1" outlineLevel="1"/>
    <col min="41" max="41" width="14.44140625" hidden="1" customWidth="1" outlineLevel="1"/>
    <col min="42" max="42" width="12.77734375" hidden="1" customWidth="1" outlineLevel="1"/>
    <col min="43" max="43" width="12.21875" hidden="1" customWidth="1" outlineLevel="1"/>
    <col min="44" max="44" width="12.21875" style="16" bestFit="1" customWidth="1" collapsed="1"/>
    <col min="45" max="45" width="2.44140625" customWidth="1"/>
    <col min="46" max="46" width="6.5546875" bestFit="1" customWidth="1"/>
    <col min="47" max="50" width="12.21875" customWidth="1" outlineLevel="1"/>
    <col min="51" max="51" width="12.21875" style="16" bestFit="1" customWidth="1"/>
    <col min="52" max="52" width="11.21875" customWidth="1"/>
    <col min="53" max="56" width="12.21875" hidden="1" customWidth="1" outlineLevel="1"/>
    <col min="57" max="57" width="12.21875" style="105" bestFit="1" customWidth="1" collapsed="1"/>
    <col min="58" max="58" width="13.44140625" style="2" customWidth="1"/>
    <col min="59" max="59" width="16.44140625" customWidth="1"/>
    <col min="60" max="61" width="14.77734375" customWidth="1"/>
    <col min="62" max="62" width="12.77734375" customWidth="1"/>
    <col min="63" max="63" width="18" customWidth="1"/>
  </cols>
  <sheetData>
    <row r="1" spans="1:84" ht="43.2" x14ac:dyDescent="0.3">
      <c r="BG1" s="29" t="s">
        <v>10</v>
      </c>
      <c r="BH1" s="29" t="s">
        <v>11</v>
      </c>
      <c r="BI1" s="29" t="s">
        <v>12</v>
      </c>
      <c r="BJ1" s="29" t="s">
        <v>35</v>
      </c>
      <c r="BK1" s="29" t="s">
        <v>65</v>
      </c>
    </row>
    <row r="2" spans="1:84" x14ac:dyDescent="0.3">
      <c r="A2" s="7"/>
      <c r="B2" s="7" t="s">
        <v>22</v>
      </c>
      <c r="C2" s="7" t="s">
        <v>20</v>
      </c>
      <c r="E2" s="113" t="s">
        <v>30</v>
      </c>
      <c r="F2" s="22" t="s">
        <v>43</v>
      </c>
      <c r="G2" s="22" t="s">
        <v>44</v>
      </c>
      <c r="H2" s="22" t="s">
        <v>45</v>
      </c>
      <c r="I2" s="23">
        <v>2016</v>
      </c>
      <c r="J2" s="22"/>
      <c r="K2" s="22" t="s">
        <v>29</v>
      </c>
      <c r="L2" s="22" t="s">
        <v>42</v>
      </c>
      <c r="M2" s="22" t="s">
        <v>43</v>
      </c>
      <c r="N2" s="22" t="s">
        <v>44</v>
      </c>
      <c r="O2" s="22" t="s">
        <v>45</v>
      </c>
      <c r="P2" s="23">
        <v>2017</v>
      </c>
      <c r="Q2" s="22"/>
      <c r="R2" s="22" t="s">
        <v>24</v>
      </c>
      <c r="S2" s="22" t="s">
        <v>42</v>
      </c>
      <c r="T2" s="22" t="s">
        <v>43</v>
      </c>
      <c r="U2" s="22" t="s">
        <v>44</v>
      </c>
      <c r="V2" s="22" t="s">
        <v>45</v>
      </c>
      <c r="W2" s="23">
        <v>2018</v>
      </c>
      <c r="X2" s="22"/>
      <c r="Y2" s="22" t="s">
        <v>25</v>
      </c>
      <c r="Z2" s="22" t="s">
        <v>42</v>
      </c>
      <c r="AA2" s="22" t="s">
        <v>43</v>
      </c>
      <c r="AB2" s="22" t="s">
        <v>44</v>
      </c>
      <c r="AC2" s="22" t="s">
        <v>45</v>
      </c>
      <c r="AD2" s="23">
        <v>2019</v>
      </c>
      <c r="AE2" s="22"/>
      <c r="AF2" s="1" t="s">
        <v>26</v>
      </c>
      <c r="AG2" s="22" t="s">
        <v>42</v>
      </c>
      <c r="AH2" s="22" t="s">
        <v>43</v>
      </c>
      <c r="AI2" s="22" t="s">
        <v>44</v>
      </c>
      <c r="AJ2" s="22" t="s">
        <v>45</v>
      </c>
      <c r="AK2" s="23">
        <v>2020</v>
      </c>
      <c r="AL2" s="22"/>
      <c r="AM2" s="1" t="s">
        <v>27</v>
      </c>
      <c r="AN2" s="22" t="s">
        <v>42</v>
      </c>
      <c r="AO2" s="22" t="s">
        <v>43</v>
      </c>
      <c r="AP2" s="22" t="s">
        <v>44</v>
      </c>
      <c r="AQ2" s="22" t="s">
        <v>45</v>
      </c>
      <c r="AR2" s="23">
        <v>2021</v>
      </c>
      <c r="AS2" s="22"/>
      <c r="AT2" s="1" t="s">
        <v>28</v>
      </c>
      <c r="AU2" s="22" t="s">
        <v>42</v>
      </c>
      <c r="AV2" s="22" t="s">
        <v>43</v>
      </c>
      <c r="AW2" s="22" t="s">
        <v>44</v>
      </c>
      <c r="AX2" s="22" t="s">
        <v>45</v>
      </c>
      <c r="AY2" s="23">
        <v>2022</v>
      </c>
      <c r="AZ2" s="1" t="s">
        <v>48</v>
      </c>
      <c r="BA2" s="22" t="s">
        <v>42</v>
      </c>
      <c r="BB2" s="22" t="s">
        <v>43</v>
      </c>
      <c r="BC2" s="22" t="s">
        <v>44</v>
      </c>
      <c r="BD2" s="22" t="s">
        <v>45</v>
      </c>
      <c r="BE2" s="23">
        <v>2023</v>
      </c>
      <c r="BF2" s="25" t="s">
        <v>47</v>
      </c>
      <c r="BG2" s="30" t="s">
        <v>13</v>
      </c>
      <c r="BH2" s="30" t="s">
        <v>36</v>
      </c>
      <c r="BI2" s="30" t="s">
        <v>37</v>
      </c>
      <c r="BJ2" s="30" t="s">
        <v>2</v>
      </c>
      <c r="BK2" s="31">
        <v>337083.41000000003</v>
      </c>
    </row>
    <row r="3" spans="1:84" x14ac:dyDescent="0.3">
      <c r="A3" s="7" t="s">
        <v>3</v>
      </c>
      <c r="B3" s="8">
        <v>406000</v>
      </c>
      <c r="C3" s="7">
        <v>2015</v>
      </c>
      <c r="D3" t="s">
        <v>20</v>
      </c>
      <c r="E3" s="114">
        <v>1.7999999999999999E-2</v>
      </c>
      <c r="F3" s="3">
        <f>($B3+$B3*$E3)/4</f>
        <v>103327</v>
      </c>
      <c r="G3" s="3">
        <f t="shared" ref="G3:H5" si="0">($B3+$B3*$E3)/4</f>
        <v>103327</v>
      </c>
      <c r="H3" s="3">
        <f t="shared" si="0"/>
        <v>103327</v>
      </c>
      <c r="I3" s="18">
        <f>SUM(F3:H3)</f>
        <v>309981</v>
      </c>
      <c r="J3" s="4"/>
      <c r="K3" s="61">
        <v>1.6E-2</v>
      </c>
      <c r="L3" s="4">
        <f>$F3*(1+$K3)</f>
        <v>104980.232</v>
      </c>
      <c r="M3" s="4">
        <f>F3*(1+$K3)</f>
        <v>104980.232</v>
      </c>
      <c r="N3" s="4">
        <f>G3*(1+$K3)</f>
        <v>104980.232</v>
      </c>
      <c r="O3" s="4">
        <f>H3*(1+$K3)</f>
        <v>104980.232</v>
      </c>
      <c r="P3" s="18">
        <f>SUM(L3:O3)</f>
        <v>419920.92800000001</v>
      </c>
      <c r="Q3" s="4"/>
      <c r="R3" s="61">
        <v>8.9999999999999993E-3</v>
      </c>
      <c r="S3" s="4">
        <f>L3*(1+$R$3)</f>
        <v>105925.05408799999</v>
      </c>
      <c r="T3" s="4">
        <f>M3*(1+$R$3)</f>
        <v>105925.05408799999</v>
      </c>
      <c r="U3" s="4">
        <f>N3*(1+$R$3)</f>
        <v>105925.05408799999</v>
      </c>
      <c r="V3" s="4">
        <f>O3*(1+$R$3)</f>
        <v>105925.05408799999</v>
      </c>
      <c r="W3" s="18">
        <f>SUM(S3:V3)</f>
        <v>423700.21635199996</v>
      </c>
      <c r="X3" s="4"/>
      <c r="Y3" s="61">
        <v>1.2E-2</v>
      </c>
      <c r="Z3" s="3">
        <f>S3*(1+$Y3)</f>
        <v>107196.15473705599</v>
      </c>
      <c r="AA3" s="3">
        <f t="shared" ref="AA3:AC5" si="1">T3*(1+$Y3)</f>
        <v>107196.15473705599</v>
      </c>
      <c r="AB3" s="3">
        <f t="shared" si="1"/>
        <v>107196.15473705599</v>
      </c>
      <c r="AC3" s="3">
        <f t="shared" si="1"/>
        <v>107196.15473705599</v>
      </c>
      <c r="AD3" s="18">
        <f>SUM(Z3:AC3)</f>
        <v>428784.61894822394</v>
      </c>
      <c r="AE3" s="4"/>
      <c r="AF3" s="61">
        <v>1.7000000000000001E-2</v>
      </c>
      <c r="AG3" s="4">
        <f>Z3*(1+$AF3)</f>
        <v>109018.48936758592</v>
      </c>
      <c r="AH3" s="4">
        <f t="shared" ref="AH3:AJ5" si="2">AA3*(1+$AF3)</f>
        <v>109018.48936758592</v>
      </c>
      <c r="AI3" s="4">
        <f t="shared" si="2"/>
        <v>109018.48936758592</v>
      </c>
      <c r="AJ3" s="4">
        <f t="shared" si="2"/>
        <v>109018.48936758592</v>
      </c>
      <c r="AK3" s="18">
        <f>SUM(AG3:AJ3)</f>
        <v>436073.95747034368</v>
      </c>
      <c r="AL3" s="4"/>
      <c r="AM3" s="61">
        <v>1.9E-2</v>
      </c>
      <c r="AN3" s="4">
        <f>AG3*(1+$AM3)</f>
        <v>111089.84066557004</v>
      </c>
      <c r="AO3" s="4">
        <f t="shared" ref="AO3:AQ7" si="3">AH3*(1+$AM3)</f>
        <v>111089.84066557004</v>
      </c>
      <c r="AP3" s="4">
        <f t="shared" si="3"/>
        <v>111089.84066557004</v>
      </c>
      <c r="AQ3" s="4">
        <f t="shared" si="3"/>
        <v>111089.84066557004</v>
      </c>
      <c r="AR3" s="18">
        <f>SUM(AN3:AQ3)</f>
        <v>444359.36266228015</v>
      </c>
      <c r="AS3" s="4"/>
      <c r="AT3" s="61">
        <v>0.03</v>
      </c>
      <c r="AU3" s="4">
        <f>AN3*(1+$AT3)</f>
        <v>114422.53588553715</v>
      </c>
      <c r="AV3" s="4">
        <f>AO3*(1+$AT3)</f>
        <v>114422.53588553715</v>
      </c>
      <c r="AW3" s="4">
        <f t="shared" ref="AW3:AX7" si="4">AP3*(1+$AT3)</f>
        <v>114422.53588553715</v>
      </c>
      <c r="AX3" s="4">
        <f t="shared" si="4"/>
        <v>114422.53588553715</v>
      </c>
      <c r="AY3" s="18">
        <f>SUM(AU3:AX3)</f>
        <v>457690.14354214858</v>
      </c>
      <c r="AZ3" s="61">
        <v>3.4000000000000002E-2</v>
      </c>
      <c r="BA3" s="4">
        <f>AU3*(1+$AZ3)</f>
        <v>118312.90210564541</v>
      </c>
      <c r="BB3" s="4">
        <f t="shared" ref="BB3:BD7" si="5">AV3*(1+$AZ3)</f>
        <v>118312.90210564541</v>
      </c>
      <c r="BC3" s="4">
        <f t="shared" si="5"/>
        <v>118312.90210564541</v>
      </c>
      <c r="BD3" s="4">
        <f t="shared" si="5"/>
        <v>118312.90210564541</v>
      </c>
      <c r="BE3" s="106">
        <f>SUM(BA3:BD3)</f>
        <v>473251.60842258163</v>
      </c>
      <c r="BF3" s="24">
        <f>I3+P3+W3+AD3+AK3+AR3+AY3+BE3</f>
        <v>3393761.8353975778</v>
      </c>
      <c r="BG3" s="30" t="s">
        <v>14</v>
      </c>
      <c r="BH3" s="30" t="s">
        <v>36</v>
      </c>
      <c r="BI3" s="30" t="s">
        <v>37</v>
      </c>
      <c r="BJ3" s="30" t="s">
        <v>2</v>
      </c>
      <c r="BK3" s="31">
        <v>4083901.0900000003</v>
      </c>
    </row>
    <row r="4" spans="1:84" x14ac:dyDescent="0.3">
      <c r="A4" s="7" t="s">
        <v>1</v>
      </c>
      <c r="B4" s="8">
        <v>854000</v>
      </c>
      <c r="C4" s="7">
        <v>2013</v>
      </c>
      <c r="D4" t="s">
        <v>20</v>
      </c>
      <c r="E4" s="114">
        <v>1.95E-2</v>
      </c>
      <c r="F4" s="3">
        <f>($B4+$B4*$E4)/4</f>
        <v>217663.25</v>
      </c>
      <c r="G4" s="3">
        <f t="shared" si="0"/>
        <v>217663.25</v>
      </c>
      <c r="H4" s="3">
        <f t="shared" si="0"/>
        <v>217663.25</v>
      </c>
      <c r="I4" s="18">
        <f t="shared" ref="I4:I7" si="6">SUM(F4:H4)</f>
        <v>652989.75</v>
      </c>
      <c r="J4" s="4"/>
      <c r="K4" s="61">
        <v>1.7500000000000002E-2</v>
      </c>
      <c r="L4" s="4">
        <f>$F4*(1+$K4)</f>
        <v>221472.35687500003</v>
      </c>
      <c r="M4" s="4">
        <f t="shared" ref="M4:O5" si="7">$F4*(1+$K4)</f>
        <v>221472.35687500003</v>
      </c>
      <c r="N4" s="4">
        <f t="shared" si="7"/>
        <v>221472.35687500003</v>
      </c>
      <c r="O4" s="4">
        <f t="shared" si="7"/>
        <v>221472.35687500003</v>
      </c>
      <c r="P4" s="18">
        <f t="shared" ref="P4:P5" si="8">SUM(L4:O4)</f>
        <v>885889.42750000011</v>
      </c>
      <c r="Q4" s="4"/>
      <c r="R4" s="6">
        <v>1.7500000000000002E-2</v>
      </c>
      <c r="S4" s="4">
        <f>L4*(1+$R$4)</f>
        <v>225348.12312031255</v>
      </c>
      <c r="T4" s="4">
        <f>M4*(1+$R$4)</f>
        <v>225348.12312031255</v>
      </c>
      <c r="U4" s="4">
        <f>N4*(1+$R$4)</f>
        <v>225348.12312031255</v>
      </c>
      <c r="V4" s="4">
        <f>O4*(1+$R$4)</f>
        <v>225348.12312031255</v>
      </c>
      <c r="W4" s="18">
        <f t="shared" ref="W4:W5" si="9">SUM(S4:V4)</f>
        <v>901392.4924812502</v>
      </c>
      <c r="X4" s="4"/>
      <c r="Y4" s="6">
        <v>9.0000000000000011E-3</v>
      </c>
      <c r="Z4" s="3">
        <f t="shared" ref="Z4:Z5" si="10">S4*(1+$Y4)</f>
        <v>227376.25622839533</v>
      </c>
      <c r="AA4" s="3">
        <f t="shared" si="1"/>
        <v>227376.25622839533</v>
      </c>
      <c r="AB4" s="3">
        <f t="shared" si="1"/>
        <v>227376.25622839533</v>
      </c>
      <c r="AC4" s="3">
        <f t="shared" si="1"/>
        <v>227376.25622839533</v>
      </c>
      <c r="AD4" s="18">
        <f t="shared" ref="AD4:AD7" si="11">SUM(Z4:AC4)</f>
        <v>909505.02491358132</v>
      </c>
      <c r="AE4" s="4"/>
      <c r="AF4" s="6">
        <v>1.7000000000000001E-2</v>
      </c>
      <c r="AG4" s="4">
        <f t="shared" ref="AG4:AJ7" si="12">Z4*(1+$AF4)</f>
        <v>231241.65258427802</v>
      </c>
      <c r="AH4" s="4">
        <f t="shared" si="2"/>
        <v>231241.65258427802</v>
      </c>
      <c r="AI4" s="4">
        <f t="shared" si="2"/>
        <v>231241.65258427802</v>
      </c>
      <c r="AJ4" s="4">
        <f t="shared" si="2"/>
        <v>231241.65258427802</v>
      </c>
      <c r="AK4" s="18">
        <f t="shared" ref="AK4:AK5" si="13">SUM(AG4:AJ4)</f>
        <v>924966.6103371121</v>
      </c>
      <c r="AL4" s="4"/>
      <c r="AM4" s="61">
        <v>1.9E-2</v>
      </c>
      <c r="AN4" s="4">
        <f t="shared" ref="AN4:AN7" si="14">AG4*(1+$AM4)</f>
        <v>235635.24398337927</v>
      </c>
      <c r="AO4" s="4">
        <f t="shared" si="3"/>
        <v>235635.24398337927</v>
      </c>
      <c r="AP4" s="4">
        <f t="shared" si="3"/>
        <v>235635.24398337927</v>
      </c>
      <c r="AQ4" s="4">
        <f t="shared" si="3"/>
        <v>235635.24398337927</v>
      </c>
      <c r="AR4" s="18">
        <f t="shared" ref="AR4:AR7" si="15">SUM(AN4:AQ4)</f>
        <v>942540.9759335171</v>
      </c>
      <c r="AS4" s="4"/>
      <c r="AT4" s="61">
        <v>3.0000000000000002E-2</v>
      </c>
      <c r="AU4" s="4">
        <f t="shared" ref="AU4:AV6" si="16">AN4*(1+$AT4)</f>
        <v>242704.30130288066</v>
      </c>
      <c r="AV4" s="4">
        <f t="shared" si="16"/>
        <v>242704.30130288066</v>
      </c>
      <c r="AW4" s="4">
        <f t="shared" si="4"/>
        <v>242704.30130288066</v>
      </c>
      <c r="AX4" s="4">
        <f t="shared" si="4"/>
        <v>242704.30130288066</v>
      </c>
      <c r="AY4" s="18">
        <f t="shared" ref="AY4:AY7" si="17">SUM(AU4:AX4)</f>
        <v>970817.20521152264</v>
      </c>
      <c r="AZ4" s="61">
        <v>3.4000000000000002E-2</v>
      </c>
      <c r="BA4" s="4">
        <f t="shared" ref="BA4:BA7" si="18">AU4*(1+$AZ4)</f>
        <v>250956.24754717862</v>
      </c>
      <c r="BB4" s="4">
        <f t="shared" si="5"/>
        <v>250956.24754717862</v>
      </c>
      <c r="BC4" s="4">
        <f t="shared" si="5"/>
        <v>250956.24754717862</v>
      </c>
      <c r="BD4" s="4">
        <f t="shared" si="5"/>
        <v>250956.24754717862</v>
      </c>
      <c r="BE4" s="106">
        <f t="shared" ref="BE4:BE7" si="19">SUM(BA4:BD4)</f>
        <v>1003824.9901887145</v>
      </c>
      <c r="BF4" s="24">
        <f t="shared" ref="BF4:BF7" si="20">I4+P4+W4+AD4+AK4+AR4+AY4+BE4</f>
        <v>7191926.4765656982</v>
      </c>
      <c r="BG4" s="30" t="s">
        <v>15</v>
      </c>
      <c r="BH4" s="30" t="s">
        <v>36</v>
      </c>
      <c r="BI4" s="30" t="s">
        <v>37</v>
      </c>
      <c r="BJ4" s="30" t="s">
        <v>2</v>
      </c>
      <c r="BK4" s="31">
        <v>2222157.2800000003</v>
      </c>
    </row>
    <row r="5" spans="1:84" x14ac:dyDescent="0.3">
      <c r="A5" s="7" t="s">
        <v>0</v>
      </c>
      <c r="B5" s="8">
        <v>600000</v>
      </c>
      <c r="C5" s="7" t="s">
        <v>32</v>
      </c>
      <c r="D5" t="s">
        <v>41</v>
      </c>
      <c r="E5" s="114">
        <v>0</v>
      </c>
      <c r="F5" s="3">
        <f>($B5+$B5*$E5)/4</f>
        <v>150000</v>
      </c>
      <c r="G5" s="3">
        <f t="shared" si="0"/>
        <v>150000</v>
      </c>
      <c r="H5" s="3">
        <f t="shared" si="0"/>
        <v>150000</v>
      </c>
      <c r="I5" s="18">
        <f t="shared" si="6"/>
        <v>450000</v>
      </c>
      <c r="J5" s="4"/>
      <c r="K5" s="9">
        <v>0</v>
      </c>
      <c r="L5" s="4">
        <f>$F5*(1+$K5)</f>
        <v>150000</v>
      </c>
      <c r="M5" s="4">
        <f t="shared" si="7"/>
        <v>150000</v>
      </c>
      <c r="N5" s="4">
        <f t="shared" si="7"/>
        <v>150000</v>
      </c>
      <c r="O5" s="4">
        <f t="shared" si="7"/>
        <v>150000</v>
      </c>
      <c r="P5" s="18">
        <f t="shared" si="8"/>
        <v>600000</v>
      </c>
      <c r="Q5" s="4"/>
      <c r="R5" s="9">
        <v>0</v>
      </c>
      <c r="S5" s="4">
        <f>L5*(1+$R$5)</f>
        <v>150000</v>
      </c>
      <c r="T5" s="4">
        <f>M5*(1+$R$5)</f>
        <v>150000</v>
      </c>
      <c r="U5" s="4">
        <f>N5*(1+$R$5)</f>
        <v>150000</v>
      </c>
      <c r="V5" s="4">
        <f>O5*(1+$R$5)</f>
        <v>150000</v>
      </c>
      <c r="W5" s="18">
        <f t="shared" si="9"/>
        <v>600000</v>
      </c>
      <c r="X5" s="4"/>
      <c r="Y5" s="9">
        <v>0</v>
      </c>
      <c r="Z5" s="3">
        <f t="shared" si="10"/>
        <v>150000</v>
      </c>
      <c r="AA5" s="3">
        <f t="shared" si="1"/>
        <v>150000</v>
      </c>
      <c r="AB5" s="3">
        <f t="shared" si="1"/>
        <v>150000</v>
      </c>
      <c r="AC5" s="3">
        <f t="shared" si="1"/>
        <v>150000</v>
      </c>
      <c r="AD5" s="18">
        <f t="shared" si="11"/>
        <v>600000</v>
      </c>
      <c r="AE5" s="4"/>
      <c r="AF5" s="9">
        <v>0</v>
      </c>
      <c r="AG5" s="4">
        <f t="shared" si="12"/>
        <v>150000</v>
      </c>
      <c r="AH5" s="4">
        <f t="shared" si="2"/>
        <v>150000</v>
      </c>
      <c r="AI5" s="4">
        <f t="shared" si="2"/>
        <v>150000</v>
      </c>
      <c r="AJ5" s="4">
        <f t="shared" si="2"/>
        <v>150000</v>
      </c>
      <c r="AK5" s="18">
        <f t="shared" si="13"/>
        <v>600000</v>
      </c>
      <c r="AL5" s="4"/>
      <c r="AM5" s="61">
        <v>1.9E-2</v>
      </c>
      <c r="AN5" s="4">
        <f t="shared" si="14"/>
        <v>152850</v>
      </c>
      <c r="AO5" s="4">
        <f t="shared" si="3"/>
        <v>152850</v>
      </c>
      <c r="AP5" s="4">
        <f t="shared" si="3"/>
        <v>152850</v>
      </c>
      <c r="AQ5" s="4">
        <f t="shared" si="3"/>
        <v>152850</v>
      </c>
      <c r="AR5" s="18">
        <f t="shared" si="15"/>
        <v>611400</v>
      </c>
      <c r="AS5" s="4"/>
      <c r="AT5" s="61">
        <v>3.0000000000000002E-2</v>
      </c>
      <c r="AU5" s="4">
        <f t="shared" si="16"/>
        <v>157435.5</v>
      </c>
      <c r="AV5" s="4">
        <f t="shared" si="16"/>
        <v>157435.5</v>
      </c>
      <c r="AW5" s="4">
        <f t="shared" si="4"/>
        <v>157435.5</v>
      </c>
      <c r="AX5" s="4">
        <f t="shared" si="4"/>
        <v>157435.5</v>
      </c>
      <c r="AY5" s="18">
        <f t="shared" si="17"/>
        <v>629742</v>
      </c>
      <c r="AZ5" s="61">
        <v>3.4000000000000002E-2</v>
      </c>
      <c r="BA5" s="4">
        <f t="shared" si="18"/>
        <v>162788.307</v>
      </c>
      <c r="BB5" s="4">
        <f t="shared" si="5"/>
        <v>162788.307</v>
      </c>
      <c r="BC5" s="4">
        <f t="shared" si="5"/>
        <v>162788.307</v>
      </c>
      <c r="BD5" s="4">
        <f t="shared" si="5"/>
        <v>162788.307</v>
      </c>
      <c r="BE5" s="106">
        <f t="shared" si="19"/>
        <v>651153.228</v>
      </c>
      <c r="BF5" s="24">
        <f t="shared" si="20"/>
        <v>4742295.2280000001</v>
      </c>
      <c r="BG5" s="30" t="s">
        <v>16</v>
      </c>
      <c r="BH5" s="30" t="s">
        <v>36</v>
      </c>
      <c r="BI5" s="30" t="s">
        <v>37</v>
      </c>
      <c r="BJ5" s="30" t="s">
        <v>2</v>
      </c>
      <c r="BK5" s="31">
        <v>3745845.52</v>
      </c>
    </row>
    <row r="6" spans="1:84" x14ac:dyDescent="0.3">
      <c r="A6" s="7" t="s">
        <v>18</v>
      </c>
      <c r="B6" s="8">
        <v>1066631</v>
      </c>
      <c r="C6" s="7">
        <v>2020</v>
      </c>
      <c r="D6" t="s">
        <v>46</v>
      </c>
      <c r="E6" s="114" t="s">
        <v>34</v>
      </c>
      <c r="F6" s="13">
        <f>F21</f>
        <v>256252.75</v>
      </c>
      <c r="G6" s="13">
        <f t="shared" ref="G6:H6" si="21">G21</f>
        <v>256252.75</v>
      </c>
      <c r="H6" s="13">
        <f t="shared" si="21"/>
        <v>256252.75</v>
      </c>
      <c r="I6" s="19">
        <f t="shared" si="6"/>
        <v>768758.25</v>
      </c>
      <c r="J6" s="4"/>
      <c r="K6" s="14" t="s">
        <v>34</v>
      </c>
      <c r="L6" s="12">
        <f>$P6/4</f>
        <v>258815.25</v>
      </c>
      <c r="M6" s="12">
        <f t="shared" ref="M6:O6" si="22">$P6/4</f>
        <v>258815.25</v>
      </c>
      <c r="N6" s="12">
        <f t="shared" si="22"/>
        <v>258815.25</v>
      </c>
      <c r="O6" s="12">
        <f t="shared" si="22"/>
        <v>258815.25</v>
      </c>
      <c r="P6" s="19">
        <v>1035261</v>
      </c>
      <c r="Q6" s="4"/>
      <c r="R6" s="14" t="s">
        <v>34</v>
      </c>
      <c r="S6" s="12">
        <f>$W$6/4</f>
        <v>261144.58724999998</v>
      </c>
      <c r="T6" s="12">
        <f t="shared" ref="T6:V6" si="23">$W$6/4</f>
        <v>261144.58724999998</v>
      </c>
      <c r="U6" s="12">
        <f t="shared" si="23"/>
        <v>261144.58724999998</v>
      </c>
      <c r="V6" s="12">
        <f t="shared" si="23"/>
        <v>261144.58724999998</v>
      </c>
      <c r="W6" s="19">
        <v>1044578.3489999999</v>
      </c>
      <c r="X6" s="4"/>
      <c r="Y6" s="14" t="s">
        <v>34</v>
      </c>
      <c r="Z6" s="12">
        <f>$AD$6/4</f>
        <v>264017.5</v>
      </c>
      <c r="AA6" s="12">
        <f t="shared" ref="AA6:AC6" si="24">$AD$6/4</f>
        <v>264017.5</v>
      </c>
      <c r="AB6" s="12">
        <f t="shared" si="24"/>
        <v>264017.5</v>
      </c>
      <c r="AC6" s="12">
        <f t="shared" si="24"/>
        <v>264017.5</v>
      </c>
      <c r="AD6" s="19">
        <v>1056070</v>
      </c>
      <c r="AE6" s="4"/>
      <c r="AF6" s="14" t="s">
        <v>34</v>
      </c>
      <c r="AG6" s="12">
        <f>$AK$6/4</f>
        <v>266657.75</v>
      </c>
      <c r="AH6" s="12">
        <f t="shared" ref="AH6:AJ6" si="25">$AK$6/4</f>
        <v>266657.75</v>
      </c>
      <c r="AI6" s="12">
        <f t="shared" si="25"/>
        <v>266657.75</v>
      </c>
      <c r="AJ6" s="12">
        <f t="shared" si="25"/>
        <v>266657.75</v>
      </c>
      <c r="AK6" s="19">
        <v>1066631</v>
      </c>
      <c r="AL6" s="4"/>
      <c r="AM6" s="61">
        <v>1.9E-2</v>
      </c>
      <c r="AN6" s="4">
        <f>AG6*(1+$AM6)</f>
        <v>271724.24724999996</v>
      </c>
      <c r="AO6" s="4">
        <f t="shared" si="3"/>
        <v>271724.24724999996</v>
      </c>
      <c r="AP6" s="4">
        <f t="shared" si="3"/>
        <v>271724.24724999996</v>
      </c>
      <c r="AQ6" s="4">
        <f t="shared" si="3"/>
        <v>271724.24724999996</v>
      </c>
      <c r="AR6" s="18">
        <f t="shared" si="15"/>
        <v>1086896.9889999998</v>
      </c>
      <c r="AS6" s="4"/>
      <c r="AT6" s="61">
        <v>3.0000000000000002E-2</v>
      </c>
      <c r="AU6" s="4">
        <f t="shared" si="16"/>
        <v>279875.97466749995</v>
      </c>
      <c r="AV6" s="4">
        <f t="shared" si="16"/>
        <v>279875.97466749995</v>
      </c>
      <c r="AW6" s="4">
        <f t="shared" si="4"/>
        <v>279875.97466749995</v>
      </c>
      <c r="AX6" s="4">
        <f t="shared" si="4"/>
        <v>279875.97466749995</v>
      </c>
      <c r="AY6" s="18">
        <f t="shared" si="17"/>
        <v>1119503.8986699998</v>
      </c>
      <c r="AZ6" s="61">
        <v>3.4000000000000002E-2</v>
      </c>
      <c r="BA6" s="4">
        <f t="shared" si="18"/>
        <v>289391.75780619495</v>
      </c>
      <c r="BB6" s="4">
        <f t="shared" si="5"/>
        <v>289391.75780619495</v>
      </c>
      <c r="BC6" s="4">
        <f t="shared" si="5"/>
        <v>289391.75780619495</v>
      </c>
      <c r="BD6" s="4">
        <f t="shared" si="5"/>
        <v>289391.75780619495</v>
      </c>
      <c r="BE6" s="106">
        <f t="shared" si="19"/>
        <v>1157567.0312247798</v>
      </c>
      <c r="BF6" s="24">
        <f t="shared" si="20"/>
        <v>8335266.5178947793</v>
      </c>
      <c r="BG6" s="32" t="s">
        <v>38</v>
      </c>
      <c r="BH6" s="32" t="s">
        <v>36</v>
      </c>
      <c r="BI6" s="32" t="s">
        <v>37</v>
      </c>
      <c r="BJ6" s="32" t="s">
        <v>39</v>
      </c>
      <c r="BK6" s="33">
        <v>470755.01</v>
      </c>
    </row>
    <row r="7" spans="1:84" x14ac:dyDescent="0.3">
      <c r="A7" s="7" t="s">
        <v>21</v>
      </c>
      <c r="B7" s="8">
        <v>180000</v>
      </c>
      <c r="C7" s="7">
        <v>2016</v>
      </c>
      <c r="D7" t="s">
        <v>20</v>
      </c>
      <c r="E7" s="114">
        <v>0</v>
      </c>
      <c r="F7" s="3">
        <f>($B7+$B7*$E7)/4</f>
        <v>45000</v>
      </c>
      <c r="G7" s="3">
        <f t="shared" ref="G7:H7" si="26">($B7+$B7*$E7)/4</f>
        <v>45000</v>
      </c>
      <c r="H7" s="3">
        <f t="shared" si="26"/>
        <v>45000</v>
      </c>
      <c r="I7" s="18">
        <f t="shared" si="6"/>
        <v>135000</v>
      </c>
      <c r="J7" s="4"/>
      <c r="K7" s="6">
        <v>1.6E-2</v>
      </c>
      <c r="L7" s="4">
        <f>$F7*(1+$K7)</f>
        <v>45720</v>
      </c>
      <c r="M7" s="4">
        <f>$F7*(1+$K7)</f>
        <v>45720</v>
      </c>
      <c r="N7" s="4">
        <f>$F7*(1+$K7)</f>
        <v>45720</v>
      </c>
      <c r="O7" s="4">
        <f>$F7*(1+$K7)</f>
        <v>45720</v>
      </c>
      <c r="P7" s="18">
        <f>SUM(L7:O7)</f>
        <v>182880</v>
      </c>
      <c r="Q7" s="4"/>
      <c r="R7" s="6">
        <v>8.9999999999999993E-3</v>
      </c>
      <c r="S7" s="4">
        <f>L7*(1+$R$7)</f>
        <v>46131.479999999996</v>
      </c>
      <c r="T7" s="4">
        <f>M7*(1+$R$7)</f>
        <v>46131.479999999996</v>
      </c>
      <c r="U7" s="4">
        <f>N7*(1+$R$7)</f>
        <v>46131.479999999996</v>
      </c>
      <c r="V7" s="4">
        <f>O7*(1+$R$7)</f>
        <v>46131.479999999996</v>
      </c>
      <c r="W7" s="18">
        <f>SUM(S7:V7)</f>
        <v>184525.91999999998</v>
      </c>
      <c r="X7" s="4"/>
      <c r="Y7" s="6">
        <v>1.2E-2</v>
      </c>
      <c r="Z7" s="3">
        <f>S7*(1+$Y7)</f>
        <v>46685.057759999996</v>
      </c>
      <c r="AA7" s="3">
        <f t="shared" ref="AA7:AC7" si="27">T7*(1+$Y7)</f>
        <v>46685.057759999996</v>
      </c>
      <c r="AB7" s="3">
        <f t="shared" si="27"/>
        <v>46685.057759999996</v>
      </c>
      <c r="AC7" s="3">
        <f t="shared" si="27"/>
        <v>46685.057759999996</v>
      </c>
      <c r="AD7" s="18">
        <f t="shared" si="11"/>
        <v>186740.23103999998</v>
      </c>
      <c r="AE7" s="4"/>
      <c r="AF7" s="6">
        <v>1.7000000000000001E-2</v>
      </c>
      <c r="AG7" s="4">
        <f t="shared" si="12"/>
        <v>47478.703741919991</v>
      </c>
      <c r="AH7" s="4">
        <f t="shared" si="12"/>
        <v>47478.703741919991</v>
      </c>
      <c r="AI7" s="4">
        <f t="shared" si="12"/>
        <v>47478.703741919991</v>
      </c>
      <c r="AJ7" s="4">
        <f t="shared" si="12"/>
        <v>47478.703741919991</v>
      </c>
      <c r="AK7" s="18">
        <f>SUM(AG7:AJ7)</f>
        <v>189914.81496767997</v>
      </c>
      <c r="AL7" s="4"/>
      <c r="AM7" s="61">
        <v>1.9E-2</v>
      </c>
      <c r="AN7" s="4">
        <f t="shared" si="14"/>
        <v>48380.799113016466</v>
      </c>
      <c r="AO7" s="4">
        <f t="shared" si="3"/>
        <v>48380.799113016466</v>
      </c>
      <c r="AP7" s="4">
        <f t="shared" si="3"/>
        <v>48380.799113016466</v>
      </c>
      <c r="AQ7" s="4">
        <f t="shared" si="3"/>
        <v>48380.799113016466</v>
      </c>
      <c r="AR7" s="18">
        <f t="shared" si="15"/>
        <v>193523.19645206587</v>
      </c>
      <c r="AS7" s="4"/>
      <c r="AT7" s="61">
        <v>3.0000000000000002E-2</v>
      </c>
      <c r="AU7" s="4">
        <f>AN7*(1+$AT7)</f>
        <v>49832.223086406964</v>
      </c>
      <c r="AV7" s="4">
        <f>AO7*(1+$AT7)</f>
        <v>49832.223086406964</v>
      </c>
      <c r="AW7" s="4">
        <f t="shared" si="4"/>
        <v>49832.223086406964</v>
      </c>
      <c r="AX7" s="4">
        <f t="shared" si="4"/>
        <v>49832.223086406964</v>
      </c>
      <c r="AY7" s="18">
        <f t="shared" si="17"/>
        <v>199328.89234562786</v>
      </c>
      <c r="AZ7" s="61">
        <v>3.4000000000000002E-2</v>
      </c>
      <c r="BA7" s="4">
        <f t="shared" si="18"/>
        <v>51526.518671344806</v>
      </c>
      <c r="BB7" s="4">
        <f t="shared" si="5"/>
        <v>51526.518671344806</v>
      </c>
      <c r="BC7" s="4">
        <f t="shared" si="5"/>
        <v>51526.518671344806</v>
      </c>
      <c r="BD7" s="4">
        <f t="shared" si="5"/>
        <v>51526.518671344806</v>
      </c>
      <c r="BE7" s="106">
        <f t="shared" si="19"/>
        <v>206106.07468537922</v>
      </c>
      <c r="BF7" s="24">
        <f t="shared" si="20"/>
        <v>1478019.1294907527</v>
      </c>
      <c r="BG7" s="34" t="s">
        <v>40</v>
      </c>
      <c r="BH7" s="34"/>
      <c r="BI7" s="34"/>
      <c r="BJ7" s="34"/>
      <c r="BK7" s="35">
        <v>10859742.310000001</v>
      </c>
    </row>
    <row r="8" spans="1:84" ht="15" thickBot="1" x14ac:dyDescent="0.35">
      <c r="A8" s="7"/>
      <c r="B8" s="8"/>
      <c r="C8" s="7"/>
      <c r="E8" s="115"/>
      <c r="F8" s="5">
        <f>SUM(F3:F7)</f>
        <v>772243</v>
      </c>
      <c r="G8" s="5">
        <f t="shared" ref="G8:I8" si="28">SUM(G3:G7)</f>
        <v>772243</v>
      </c>
      <c r="H8" s="5">
        <f t="shared" si="28"/>
        <v>772243</v>
      </c>
      <c r="I8" s="20">
        <f t="shared" si="28"/>
        <v>2316729</v>
      </c>
      <c r="J8" s="15"/>
      <c r="L8" s="5">
        <f>SUM(L3:L7)</f>
        <v>780987.83887500002</v>
      </c>
      <c r="M8" s="5">
        <f t="shared" ref="M8:P8" si="29">SUM(M3:M7)</f>
        <v>780987.83887500002</v>
      </c>
      <c r="N8" s="5">
        <f t="shared" si="29"/>
        <v>780987.83887500002</v>
      </c>
      <c r="O8" s="5">
        <f t="shared" si="29"/>
        <v>780987.83887500002</v>
      </c>
      <c r="P8" s="20">
        <f t="shared" si="29"/>
        <v>3123951.3555000001</v>
      </c>
      <c r="Q8" s="15"/>
      <c r="S8" s="5">
        <f>SUM(S3:S7)</f>
        <v>788549.24445831252</v>
      </c>
      <c r="T8" s="5">
        <f t="shared" ref="T8:W8" si="30">SUM(T3:T7)</f>
        <v>788549.24445831252</v>
      </c>
      <c r="U8" s="5">
        <f t="shared" si="30"/>
        <v>788549.24445831252</v>
      </c>
      <c r="V8" s="5">
        <f t="shared" si="30"/>
        <v>788549.24445831252</v>
      </c>
      <c r="W8" s="20">
        <f t="shared" si="30"/>
        <v>3154196.9778332501</v>
      </c>
      <c r="X8" s="15"/>
      <c r="Z8" s="5">
        <f>SUM(Z3:Z7)</f>
        <v>795274.96872545127</v>
      </c>
      <c r="AA8" s="5">
        <f t="shared" ref="AA8:AD8" si="31">SUM(AA3:AA7)</f>
        <v>795274.96872545127</v>
      </c>
      <c r="AB8" s="5">
        <f t="shared" si="31"/>
        <v>795274.96872545127</v>
      </c>
      <c r="AC8" s="5">
        <f t="shared" si="31"/>
        <v>795274.96872545127</v>
      </c>
      <c r="AD8" s="20">
        <f t="shared" si="31"/>
        <v>3181099.8749018051</v>
      </c>
      <c r="AE8" s="15"/>
      <c r="AG8" s="5">
        <f>SUM(AG3:AG7)</f>
        <v>804396.59569378383</v>
      </c>
      <c r="AH8" s="5">
        <f t="shared" ref="AH8:AK8" si="32">SUM(AH3:AH7)</f>
        <v>804396.59569378383</v>
      </c>
      <c r="AI8" s="5">
        <f t="shared" si="32"/>
        <v>804396.59569378383</v>
      </c>
      <c r="AJ8" s="5">
        <f t="shared" si="32"/>
        <v>804396.59569378383</v>
      </c>
      <c r="AK8" s="20">
        <f t="shared" si="32"/>
        <v>3217586.3827751353</v>
      </c>
      <c r="AL8" s="15"/>
      <c r="AN8" s="5">
        <f>SUM(AN3:AN7)</f>
        <v>819680.1310119658</v>
      </c>
      <c r="AO8" s="5">
        <f t="shared" ref="AO8:AR8" si="33">SUM(AO3:AO7)</f>
        <v>819680.1310119658</v>
      </c>
      <c r="AP8" s="5">
        <f t="shared" si="33"/>
        <v>819680.1310119658</v>
      </c>
      <c r="AQ8" s="5">
        <f t="shared" si="33"/>
        <v>819680.1310119658</v>
      </c>
      <c r="AR8" s="20">
        <f t="shared" si="33"/>
        <v>3278720.5240478632</v>
      </c>
      <c r="AS8" s="15"/>
      <c r="AU8" s="5">
        <f>SUM(AU3:AU7)</f>
        <v>844270.53494232474</v>
      </c>
      <c r="AV8" s="5">
        <f t="shared" ref="AV8:AY8" si="34">SUM(AV3:AV7)</f>
        <v>844270.53494232474</v>
      </c>
      <c r="AW8" s="5">
        <f t="shared" si="34"/>
        <v>844270.53494232474</v>
      </c>
      <c r="AX8" s="5">
        <f t="shared" si="34"/>
        <v>844270.53494232474</v>
      </c>
      <c r="AY8" s="20">
        <f t="shared" si="34"/>
        <v>3377082.139769299</v>
      </c>
      <c r="BA8" s="5">
        <f>SUM(BA3:BA7)</f>
        <v>872975.73313036386</v>
      </c>
      <c r="BB8" s="5">
        <f t="shared" ref="BB8:BE8" si="35">SUM(BB3:BB7)</f>
        <v>872975.73313036386</v>
      </c>
      <c r="BC8" s="5">
        <f t="shared" si="35"/>
        <v>872975.73313036386</v>
      </c>
      <c r="BD8" s="5">
        <f t="shared" si="35"/>
        <v>872975.73313036386</v>
      </c>
      <c r="BE8" s="20">
        <f t="shared" si="35"/>
        <v>3491902.9325214555</v>
      </c>
      <c r="BF8" s="26">
        <f>AY8+AR8+AK8+AD8+W8+P8+I8+BE8</f>
        <v>25141269.187348809</v>
      </c>
    </row>
    <row r="9" spans="1:84" ht="15" thickTop="1" x14ac:dyDescent="0.3">
      <c r="A9" s="1"/>
      <c r="B9" s="11"/>
      <c r="C9" s="1"/>
      <c r="E9" s="115"/>
      <c r="F9" s="15"/>
      <c r="G9" s="15"/>
      <c r="H9" s="15"/>
      <c r="I9" s="21"/>
      <c r="J9" s="15"/>
      <c r="L9" s="15"/>
      <c r="M9" s="15"/>
      <c r="N9" s="15"/>
      <c r="O9" s="15"/>
      <c r="P9" s="21"/>
      <c r="Q9" s="15"/>
      <c r="W9" s="21"/>
      <c r="X9" s="15"/>
      <c r="AD9" s="21"/>
      <c r="AE9" s="15"/>
      <c r="AK9" s="21"/>
      <c r="AL9" s="15"/>
      <c r="AR9" s="21"/>
      <c r="AS9" s="15"/>
      <c r="AY9" s="21"/>
      <c r="BE9" s="21"/>
    </row>
    <row r="10" spans="1:84" ht="22.5" customHeight="1" x14ac:dyDescent="0.3">
      <c r="A10" s="1" t="s">
        <v>19</v>
      </c>
      <c r="F10" t="s">
        <v>33</v>
      </c>
      <c r="I10" s="17">
        <v>2016</v>
      </c>
      <c r="J10" s="1"/>
      <c r="L10">
        <v>2017</v>
      </c>
      <c r="P10" s="17">
        <v>2017</v>
      </c>
      <c r="Q10" s="1"/>
      <c r="S10">
        <v>2018</v>
      </c>
      <c r="W10" s="17">
        <v>2018</v>
      </c>
      <c r="X10" s="1"/>
      <c r="Z10">
        <v>2019</v>
      </c>
      <c r="AD10" s="17">
        <v>2019</v>
      </c>
      <c r="AE10" s="1"/>
      <c r="AG10">
        <v>2020</v>
      </c>
      <c r="AK10" s="17">
        <v>2020</v>
      </c>
      <c r="AL10" s="1"/>
      <c r="AN10">
        <v>2021</v>
      </c>
      <c r="AR10" s="17">
        <v>2021</v>
      </c>
      <c r="AS10" s="1"/>
      <c r="AU10" s="22" t="s">
        <v>42</v>
      </c>
      <c r="AV10" s="22" t="s">
        <v>43</v>
      </c>
      <c r="AW10" s="22" t="s">
        <v>44</v>
      </c>
      <c r="AX10" s="22" t="s">
        <v>45</v>
      </c>
      <c r="AY10" s="17">
        <v>2022</v>
      </c>
      <c r="BA10" s="22" t="s">
        <v>42</v>
      </c>
      <c r="BB10" s="22" t="s">
        <v>43</v>
      </c>
      <c r="BC10" s="22" t="s">
        <v>44</v>
      </c>
      <c r="BD10" s="22" t="s">
        <v>45</v>
      </c>
      <c r="BE10" s="17">
        <v>2023</v>
      </c>
    </row>
    <row r="11" spans="1:84" x14ac:dyDescent="0.3">
      <c r="A11" t="s">
        <v>3</v>
      </c>
      <c r="E11" s="116">
        <f>129405</f>
        <v>129405</v>
      </c>
      <c r="F11" s="100">
        <f>55553*3</f>
        <v>166659</v>
      </c>
      <c r="G11" s="100">
        <f>55553*3</f>
        <v>166659</v>
      </c>
      <c r="H11" s="100">
        <v>166643</v>
      </c>
      <c r="I11" s="18">
        <f>SUM(F11:H11)</f>
        <v>499961</v>
      </c>
      <c r="J11" s="4"/>
      <c r="L11" s="100">
        <v>166643</v>
      </c>
      <c r="M11" s="100">
        <v>173533.65011579252</v>
      </c>
      <c r="N11" s="100">
        <v>173533.65011579252</v>
      </c>
      <c r="O11" s="100">
        <v>164395.13977811448</v>
      </c>
      <c r="P11" s="18">
        <f>SUM(L11:O11)</f>
        <v>678105.44000969955</v>
      </c>
      <c r="Q11" s="4"/>
      <c r="S11" s="100">
        <v>164394.98000000001</v>
      </c>
      <c r="T11" s="10">
        <v>166623.89193512613</v>
      </c>
      <c r="U11" s="10">
        <v>152786.67712026255</v>
      </c>
      <c r="V11" s="10">
        <v>152786.67712026255</v>
      </c>
      <c r="W11" s="18">
        <f>SUM(S11:V11)</f>
        <v>636592.22617565119</v>
      </c>
      <c r="X11" s="4"/>
      <c r="Z11" s="100">
        <v>152786.83374374514</v>
      </c>
      <c r="AA11" s="100">
        <v>166621.52109007278</v>
      </c>
      <c r="AB11" s="3">
        <v>164842.43569487127</v>
      </c>
      <c r="AC11" s="3">
        <v>164842.43569487127</v>
      </c>
      <c r="AD11" s="18">
        <f>SUM(Z11:AC11)</f>
        <v>649093.2262235604</v>
      </c>
      <c r="AE11" s="4"/>
      <c r="AG11" s="3">
        <v>164842.43569487127</v>
      </c>
      <c r="AH11" s="3">
        <v>160000.38</v>
      </c>
      <c r="AI11" s="3">
        <v>168098.7153738967</v>
      </c>
      <c r="AJ11" s="3">
        <v>168193.49601114859</v>
      </c>
      <c r="AK11" s="18">
        <f>SUM(AG11:AJ11)</f>
        <v>661135.02707991656</v>
      </c>
      <c r="AL11" s="4"/>
      <c r="AN11" s="3">
        <v>168216.94346618652</v>
      </c>
      <c r="AO11" s="3">
        <v>162394.94</v>
      </c>
      <c r="AP11" s="3">
        <v>163156.55465299764</v>
      </c>
      <c r="AQ11" s="3">
        <v>163533.34973463547</v>
      </c>
      <c r="AR11" s="18">
        <f>SUM(AN11:AQ11)</f>
        <v>657301.78785381967</v>
      </c>
      <c r="AS11" s="4"/>
      <c r="AU11" s="3">
        <v>163581.740117326</v>
      </c>
      <c r="AV11" s="3">
        <v>195210.0678679859</v>
      </c>
      <c r="AW11" s="10">
        <v>188795.32784762647</v>
      </c>
      <c r="AX11" s="10">
        <v>186930.96442421668</v>
      </c>
      <c r="AY11" s="18">
        <f>SUM(AU11:AX11)</f>
        <v>734518.10025715502</v>
      </c>
      <c r="BA11" s="3">
        <v>186993.93702534522</v>
      </c>
      <c r="BB11" s="3">
        <v>215223.46836133578</v>
      </c>
      <c r="BC11" s="10">
        <v>210821.34649601375</v>
      </c>
      <c r="BD11" s="10">
        <v>210899.92004863272</v>
      </c>
      <c r="BE11" s="106">
        <f>SUM(BA11:BD11)</f>
        <v>823938.67193132732</v>
      </c>
      <c r="BF11" s="24">
        <f>I11+P11+W11+AD11+AK11+AR11+AY11+BE11</f>
        <v>5340645.4795311298</v>
      </c>
      <c r="BK11" s="4"/>
    </row>
    <row r="12" spans="1:84" x14ac:dyDescent="0.3">
      <c r="A12" t="s">
        <v>1</v>
      </c>
      <c r="E12" s="116"/>
      <c r="F12" s="10">
        <v>228225</v>
      </c>
      <c r="G12" s="10">
        <v>228225</v>
      </c>
      <c r="H12" s="10">
        <v>228204</v>
      </c>
      <c r="I12" s="18">
        <f t="shared" ref="I12:I15" si="36">SUM(D12:H12)</f>
        <v>684654</v>
      </c>
      <c r="J12" s="4"/>
      <c r="L12" s="3">
        <v>228204</v>
      </c>
      <c r="M12" s="3">
        <v>237640.1834521961</v>
      </c>
      <c r="N12" s="3">
        <v>237640.1834521961</v>
      </c>
      <c r="O12" s="3">
        <v>225125.73872244757</v>
      </c>
      <c r="P12" s="18">
        <f t="shared" ref="P12:P15" si="37">SUM(L12:O12)</f>
        <v>928610.10562683968</v>
      </c>
      <c r="Q12" s="4"/>
      <c r="S12" s="100">
        <v>225125.52</v>
      </c>
      <c r="T12" s="100">
        <v>228177.83306327611</v>
      </c>
      <c r="U12" s="100">
        <v>209228.89569650328</v>
      </c>
      <c r="V12" s="100">
        <v>209228.89569650328</v>
      </c>
      <c r="W12" s="18">
        <f t="shared" ref="W12:W15" si="38">SUM(S12:V12)</f>
        <v>871761.14445628272</v>
      </c>
      <c r="X12" s="4"/>
      <c r="Z12" s="3">
        <v>209229.1101795912</v>
      </c>
      <c r="AA12" s="3">
        <v>228174.5863843004</v>
      </c>
      <c r="AB12" s="3">
        <v>225738.27400678341</v>
      </c>
      <c r="AC12" s="3">
        <v>225738.27400678341</v>
      </c>
      <c r="AD12" s="18">
        <f t="shared" ref="AD12:AD15" si="39">SUM(Z12:AC12)</f>
        <v>888880.24457745836</v>
      </c>
      <c r="AE12" s="4"/>
      <c r="AG12" s="3">
        <v>225738.27400678341</v>
      </c>
      <c r="AH12" s="3">
        <v>219107.46683659733</v>
      </c>
      <c r="AI12" s="3">
        <v>208646.73719898166</v>
      </c>
      <c r="AJ12" s="3">
        <v>208535.718859329</v>
      </c>
      <c r="AK12" s="18">
        <f t="shared" ref="AK12:AK15" si="40">SUM(AG12:AJ12)</f>
        <v>862028.19690169138</v>
      </c>
      <c r="AL12" s="4"/>
      <c r="AN12" s="3">
        <v>208342.50212665088</v>
      </c>
      <c r="AO12" s="3">
        <v>200207.6</v>
      </c>
      <c r="AP12" s="3">
        <v>201298.4098559031</v>
      </c>
      <c r="AQ12" s="3">
        <v>201794.87391458073</v>
      </c>
      <c r="AR12" s="18">
        <f t="shared" ref="AR12:AR15" si="41">SUM(AN12:AQ12)</f>
        <v>811643.38589713466</v>
      </c>
      <c r="AS12" s="4"/>
      <c r="AU12" s="3">
        <v>201738.07468651282</v>
      </c>
      <c r="AV12" s="3">
        <v>239852.37467164281</v>
      </c>
      <c r="AW12" s="10">
        <v>231727.59637528556</v>
      </c>
      <c r="AX12" s="10">
        <v>229240.22145410464</v>
      </c>
      <c r="AY12" s="18">
        <f t="shared" ref="AY12:AY15" si="42">SUM(AU12:AX12)</f>
        <v>902558.26718754577</v>
      </c>
      <c r="BA12" s="3">
        <v>229099.88605380655</v>
      </c>
      <c r="BB12" s="3">
        <v>262576.73759946285</v>
      </c>
      <c r="BC12" s="10">
        <v>256964.27139124437</v>
      </c>
      <c r="BD12" s="10">
        <v>256807.43829129735</v>
      </c>
      <c r="BE12" s="106">
        <f t="shared" ref="BE12:BE15" si="43">SUM(BA12:BD12)</f>
        <v>1005448.333335811</v>
      </c>
      <c r="BF12" s="24">
        <f t="shared" ref="BF12:BF15" si="44">I12+P12+W12+AD12+AK12+AR12+AY12+BE12</f>
        <v>6955583.6779827634</v>
      </c>
      <c r="BK12" s="4"/>
    </row>
    <row r="13" spans="1:84" x14ac:dyDescent="0.3">
      <c r="A13" t="s">
        <v>0</v>
      </c>
      <c r="F13" s="10">
        <v>272829</v>
      </c>
      <c r="G13" s="10">
        <v>272829</v>
      </c>
      <c r="H13" s="10">
        <v>272803</v>
      </c>
      <c r="I13" s="18">
        <f t="shared" si="36"/>
        <v>818461</v>
      </c>
      <c r="J13" s="4"/>
      <c r="L13" s="3">
        <v>272803</v>
      </c>
      <c r="M13" s="3">
        <v>284083.34194978816</v>
      </c>
      <c r="N13" s="3">
        <v>284083.34194978816</v>
      </c>
      <c r="O13" s="3">
        <v>269123.13938712672</v>
      </c>
      <c r="P13" s="18">
        <f t="shared" si="37"/>
        <v>1110092.8232867031</v>
      </c>
      <c r="Q13" s="4"/>
      <c r="S13" s="100">
        <v>269122.88</v>
      </c>
      <c r="T13" s="100">
        <v>272771.71913358622</v>
      </c>
      <c r="U13" s="100">
        <v>250119.50023966795</v>
      </c>
      <c r="V13" s="100">
        <v>250119.50023966795</v>
      </c>
      <c r="W13" s="18">
        <f t="shared" si="38"/>
        <v>1042133.5996129222</v>
      </c>
      <c r="X13" s="4"/>
      <c r="Z13" s="3">
        <v>250119.75664021232</v>
      </c>
      <c r="AA13" s="3">
        <v>272767.83794059831</v>
      </c>
      <c r="AB13" s="3">
        <v>269855.38537393091</v>
      </c>
      <c r="AC13" s="3">
        <v>269855.38537393091</v>
      </c>
      <c r="AD13" s="18">
        <f t="shared" si="39"/>
        <v>1062598.3653286723</v>
      </c>
      <c r="AE13" s="4"/>
      <c r="AG13" s="3">
        <v>269855.38537393091</v>
      </c>
      <c r="AH13" s="3">
        <v>261928.68782065285</v>
      </c>
      <c r="AI13" s="3">
        <v>252443.89189328087</v>
      </c>
      <c r="AJ13" s="3">
        <v>252456.62678452348</v>
      </c>
      <c r="AK13" s="18">
        <f t="shared" si="40"/>
        <v>1036684.5918723881</v>
      </c>
      <c r="AL13" s="4"/>
      <c r="AN13" s="3">
        <v>252628.62361531358</v>
      </c>
      <c r="AO13" s="3">
        <v>244583.65</v>
      </c>
      <c r="AP13" s="3">
        <v>245574.00893806914</v>
      </c>
      <c r="AQ13" s="3">
        <v>246120.8846313259</v>
      </c>
      <c r="AR13" s="18">
        <f t="shared" si="41"/>
        <v>988907.16718470864</v>
      </c>
      <c r="AS13" s="4"/>
      <c r="AU13" s="3">
        <v>246135.04103317592</v>
      </c>
      <c r="AV13" s="3">
        <v>293041.21059442236</v>
      </c>
      <c r="AW13" s="10">
        <v>283295.99900785403</v>
      </c>
      <c r="AX13" s="10">
        <v>280424.703910827</v>
      </c>
      <c r="AY13" s="18">
        <f t="shared" si="42"/>
        <v>1102896.9545462793</v>
      </c>
      <c r="BA13" s="3">
        <v>280410.8657700381</v>
      </c>
      <c r="BB13" s="3">
        <v>322350.00070350658</v>
      </c>
      <c r="BC13" s="10">
        <v>315663.91568264941</v>
      </c>
      <c r="BD13" s="10">
        <v>315648.33310325537</v>
      </c>
      <c r="BE13" s="106">
        <f t="shared" si="43"/>
        <v>1234073.1152594495</v>
      </c>
      <c r="BF13" s="24">
        <f t="shared" si="44"/>
        <v>8395847.617091123</v>
      </c>
      <c r="BK13" s="4"/>
    </row>
    <row r="14" spans="1:84" x14ac:dyDescent="0.3">
      <c r="A14" t="s">
        <v>18</v>
      </c>
      <c r="E14" s="116"/>
      <c r="F14" s="10">
        <v>396360</v>
      </c>
      <c r="G14" s="10">
        <v>396360</v>
      </c>
      <c r="H14" s="10">
        <v>396360</v>
      </c>
      <c r="I14" s="18">
        <f t="shared" si="36"/>
        <v>1189080</v>
      </c>
      <c r="J14" s="4"/>
      <c r="L14" s="3">
        <v>396322</v>
      </c>
      <c r="M14" s="3">
        <v>412709.82448222325</v>
      </c>
      <c r="N14" s="3">
        <v>412709.82448222325</v>
      </c>
      <c r="O14" s="3">
        <v>390975.98211231123</v>
      </c>
      <c r="P14" s="18">
        <f t="shared" si="37"/>
        <v>1612717.6310767578</v>
      </c>
      <c r="Q14" s="4"/>
      <c r="S14" s="100">
        <v>390975.61</v>
      </c>
      <c r="T14" s="100">
        <v>396276.55586801155</v>
      </c>
      <c r="U14" s="100">
        <v>363367.92694356618</v>
      </c>
      <c r="V14" s="100">
        <v>363367.92694356618</v>
      </c>
      <c r="W14" s="18">
        <f t="shared" si="38"/>
        <v>1513988.0197551439</v>
      </c>
      <c r="X14" s="4"/>
      <c r="Z14" s="3">
        <v>363368.29943645134</v>
      </c>
      <c r="AA14" s="3">
        <v>396270.91735902394</v>
      </c>
      <c r="AB14" s="3">
        <v>392039.77244446374</v>
      </c>
      <c r="AC14" s="3">
        <v>392039.77244446374</v>
      </c>
      <c r="AD14" s="18">
        <f t="shared" si="39"/>
        <v>1543718.7616844028</v>
      </c>
      <c r="AE14" s="4"/>
      <c r="AG14" s="3">
        <v>392039.77244446374</v>
      </c>
      <c r="AH14" s="3">
        <v>380524.04634280701</v>
      </c>
      <c r="AI14" s="3">
        <v>379913.5714209369</v>
      </c>
      <c r="AJ14" s="3">
        <v>379952.18120368104</v>
      </c>
      <c r="AK14" s="18">
        <f t="shared" si="40"/>
        <v>1532429.5714118886</v>
      </c>
      <c r="AL14" s="4"/>
      <c r="AN14" s="3">
        <v>380015.90414298378</v>
      </c>
      <c r="AO14" s="3">
        <v>367083.52000000002</v>
      </c>
      <c r="AP14" s="3">
        <v>368771.44620199146</v>
      </c>
      <c r="AQ14" s="3">
        <v>369624.31452927284</v>
      </c>
      <c r="AR14" s="18">
        <f t="shared" si="41"/>
        <v>1485495.1848742482</v>
      </c>
      <c r="AS14" s="4"/>
      <c r="AU14" s="3">
        <v>369650.77725484915</v>
      </c>
      <c r="AV14" s="3">
        <v>440417.77180336666</v>
      </c>
      <c r="AW14" s="10">
        <v>425836.35769732168</v>
      </c>
      <c r="AX14" s="10">
        <v>421624.53470304771</v>
      </c>
      <c r="AY14" s="18">
        <f t="shared" si="42"/>
        <v>1657529.4414585852</v>
      </c>
      <c r="BA14" s="3">
        <v>421788.99559848569</v>
      </c>
      <c r="BB14" s="3">
        <v>485797.23729892983</v>
      </c>
      <c r="BC14" s="10">
        <v>475848.14416567102</v>
      </c>
      <c r="BD14" s="10">
        <v>475992.75575500441</v>
      </c>
      <c r="BE14" s="106">
        <f t="shared" si="43"/>
        <v>1859427.132818091</v>
      </c>
      <c r="BF14" s="24">
        <f t="shared" si="44"/>
        <v>12394385.743079117</v>
      </c>
      <c r="BK14" s="4"/>
    </row>
    <row r="15" spans="1:84" x14ac:dyDescent="0.3">
      <c r="A15" t="s">
        <v>21</v>
      </c>
      <c r="F15" s="83">
        <v>59760</v>
      </c>
      <c r="G15" s="83">
        <v>59760</v>
      </c>
      <c r="H15" s="83">
        <v>59754</v>
      </c>
      <c r="I15" s="18">
        <f t="shared" si="36"/>
        <v>179274</v>
      </c>
      <c r="J15" s="4"/>
      <c r="L15" s="84">
        <v>59754</v>
      </c>
      <c r="M15" s="84">
        <v>62193</v>
      </c>
      <c r="N15" s="84">
        <v>62193</v>
      </c>
      <c r="O15" s="84">
        <v>58916.01</v>
      </c>
      <c r="P15" s="18">
        <f t="shared" si="37"/>
        <v>243056.01</v>
      </c>
      <c r="Q15" s="4"/>
      <c r="S15" s="84">
        <v>58917</v>
      </c>
      <c r="T15" s="84">
        <v>59644</v>
      </c>
      <c r="U15" s="84">
        <v>54868</v>
      </c>
      <c r="V15" s="84">
        <v>54868</v>
      </c>
      <c r="W15" s="18">
        <f t="shared" si="38"/>
        <v>228297</v>
      </c>
      <c r="X15" s="4"/>
      <c r="Z15" s="3">
        <v>54685</v>
      </c>
      <c r="AA15" s="3">
        <v>59659.137226004612</v>
      </c>
      <c r="AB15" s="3">
        <v>59022.132479950647</v>
      </c>
      <c r="AC15" s="3">
        <v>59022.132479950647</v>
      </c>
      <c r="AD15" s="18">
        <f t="shared" si="39"/>
        <v>232388.4021859059</v>
      </c>
      <c r="AE15" s="4"/>
      <c r="AG15" s="3">
        <v>59022.132479950647</v>
      </c>
      <c r="AH15" s="3">
        <v>57288.4239142691</v>
      </c>
      <c r="AI15" s="3">
        <v>57079.084112903874</v>
      </c>
      <c r="AJ15" s="3">
        <v>57042.977141317897</v>
      </c>
      <c r="AK15" s="18">
        <f t="shared" si="40"/>
        <v>230432.61764844152</v>
      </c>
      <c r="AL15" s="4"/>
      <c r="AN15" s="3">
        <v>56978.026648865212</v>
      </c>
      <c r="AO15" s="3">
        <v>55023.28</v>
      </c>
      <c r="AP15" s="3">
        <v>55257.580351038574</v>
      </c>
      <c r="AQ15" s="3">
        <v>55367.577190185097</v>
      </c>
      <c r="AR15" s="18">
        <f t="shared" si="41"/>
        <v>222626.46419008885</v>
      </c>
      <c r="AS15" s="4"/>
      <c r="AU15" s="3">
        <v>55335.36690813618</v>
      </c>
      <c r="AV15" s="3">
        <v>65863.575062582298</v>
      </c>
      <c r="AW15" s="10">
        <v>63605.719071912281</v>
      </c>
      <c r="AX15" s="10">
        <v>62905.575507803987</v>
      </c>
      <c r="AY15" s="18">
        <f t="shared" si="42"/>
        <v>247710.23655043475</v>
      </c>
      <c r="BA15" s="3">
        <v>62832.315552324493</v>
      </c>
      <c r="BB15" s="3">
        <v>71992.556036765003</v>
      </c>
      <c r="BC15" s="10">
        <v>70429.322264421367</v>
      </c>
      <c r="BD15" s="10">
        <v>70378.552801810147</v>
      </c>
      <c r="BE15" s="106">
        <f t="shared" si="43"/>
        <v>275632.74665532104</v>
      </c>
      <c r="BF15" s="24">
        <f t="shared" si="44"/>
        <v>1859417.4772301922</v>
      </c>
      <c r="BK15" s="4"/>
    </row>
    <row r="16" spans="1:84" s="36" customFormat="1" ht="15" thickBot="1" x14ac:dyDescent="0.35">
      <c r="E16" s="117">
        <f>SUM(E11:E15)</f>
        <v>129405</v>
      </c>
      <c r="F16" s="44">
        <f t="shared" ref="F16:H16" si="45">SUM(F11:F15)</f>
        <v>1123833</v>
      </c>
      <c r="G16" s="44">
        <f t="shared" si="45"/>
        <v>1123833</v>
      </c>
      <c r="H16" s="44">
        <f t="shared" si="45"/>
        <v>1123764</v>
      </c>
      <c r="I16" s="45">
        <f>SUM(F16:H16)</f>
        <v>3371430</v>
      </c>
      <c r="J16" s="46"/>
      <c r="L16" s="44">
        <f t="shared" ref="L16:V16" si="46">SUM(L11:L15)</f>
        <v>1123726</v>
      </c>
      <c r="M16" s="44">
        <f t="shared" si="46"/>
        <v>1170160</v>
      </c>
      <c r="N16" s="44">
        <f t="shared" si="46"/>
        <v>1170160</v>
      </c>
      <c r="O16" s="44">
        <f t="shared" si="46"/>
        <v>1108536.01</v>
      </c>
      <c r="P16" s="45">
        <f>SUM(L16:O16)</f>
        <v>4572582.01</v>
      </c>
      <c r="Q16" s="46"/>
      <c r="S16" s="44">
        <f t="shared" si="46"/>
        <v>1108535.99</v>
      </c>
      <c r="T16" s="44">
        <f t="shared" si="46"/>
        <v>1123494</v>
      </c>
      <c r="U16" s="44">
        <f t="shared" si="46"/>
        <v>1030371</v>
      </c>
      <c r="V16" s="44">
        <f t="shared" si="46"/>
        <v>1030371</v>
      </c>
      <c r="W16" s="45">
        <f>SUM(S16:V16)</f>
        <v>4292771.99</v>
      </c>
      <c r="X16" s="46"/>
      <c r="Z16" s="44">
        <f>SUM(Z11:Z15)</f>
        <v>1030189</v>
      </c>
      <c r="AA16" s="44">
        <f t="shared" ref="AA16:AC16" si="47">SUM(AA11:AA15)</f>
        <v>1123494</v>
      </c>
      <c r="AB16" s="44">
        <f t="shared" si="47"/>
        <v>1111498</v>
      </c>
      <c r="AC16" s="44">
        <f t="shared" si="47"/>
        <v>1111498</v>
      </c>
      <c r="AD16" s="45">
        <f>SUM(Z16:AC16)</f>
        <v>4376679</v>
      </c>
      <c r="AE16" s="46"/>
      <c r="AG16" s="44">
        <f t="shared" ref="AG16:AJ16" si="48">SUM(AG11:AG15)</f>
        <v>1111498</v>
      </c>
      <c r="AH16" s="44">
        <f t="shared" si="48"/>
        <v>1078849.0049143264</v>
      </c>
      <c r="AI16" s="44">
        <f t="shared" si="48"/>
        <v>1066182</v>
      </c>
      <c r="AJ16" s="44">
        <f t="shared" si="48"/>
        <v>1066181</v>
      </c>
      <c r="AK16" s="45">
        <f>SUM(AG16:AJ16)</f>
        <v>4322710.0049143266</v>
      </c>
      <c r="AL16" s="46"/>
      <c r="AN16" s="44">
        <f t="shared" ref="AN16:AQ16" si="49">SUM(AN11:AN15)</f>
        <v>1066182</v>
      </c>
      <c r="AO16" s="44">
        <f t="shared" si="49"/>
        <v>1029292.9900000001</v>
      </c>
      <c r="AP16" s="44">
        <f t="shared" si="49"/>
        <v>1034058</v>
      </c>
      <c r="AQ16" s="44">
        <f t="shared" si="49"/>
        <v>1036441</v>
      </c>
      <c r="AR16" s="45">
        <f>SUM(AN16:AQ16)</f>
        <v>4165973.99</v>
      </c>
      <c r="AS16" s="46"/>
      <c r="AU16" s="44">
        <f>SUM(AU11:AU15)</f>
        <v>1036441.0000000001</v>
      </c>
      <c r="AV16" s="44">
        <f t="shared" ref="AV16:AX16" si="50">SUM(AV11:AV15)</f>
        <v>1234385</v>
      </c>
      <c r="AW16" s="44">
        <f t="shared" si="50"/>
        <v>1193261.0000000002</v>
      </c>
      <c r="AX16" s="44">
        <f t="shared" si="50"/>
        <v>1181126</v>
      </c>
      <c r="AY16" s="45">
        <f>SUM(AU16:AX16)</f>
        <v>4645213</v>
      </c>
      <c r="BA16" s="44">
        <f>SUM(BA11:BA15)</f>
        <v>1181126</v>
      </c>
      <c r="BB16" s="44">
        <f t="shared" ref="BB16:BD16" si="51">SUM(BB11:BB15)</f>
        <v>1357940</v>
      </c>
      <c r="BC16" s="44">
        <f t="shared" si="51"/>
        <v>1329726.9999999998</v>
      </c>
      <c r="BD16" s="44">
        <f t="shared" si="51"/>
        <v>1329727</v>
      </c>
      <c r="BE16" s="45">
        <f>SUM(BA16:BD16)</f>
        <v>5198520</v>
      </c>
      <c r="BF16" s="43">
        <f>AY16+AR16+AK16+AD16+W16+P16+I16+BE16</f>
        <v>34945879.994914323</v>
      </c>
      <c r="BG16" s="4"/>
      <c r="BH16"/>
      <c r="BI16"/>
      <c r="BJ16"/>
      <c r="BK16" s="4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</row>
    <row r="17" spans="1:84" ht="15" thickTop="1" x14ac:dyDescent="0.3">
      <c r="A17" s="1" t="s">
        <v>31</v>
      </c>
      <c r="B17" s="1"/>
      <c r="C17" s="1"/>
      <c r="BF17" s="24"/>
      <c r="BK17" s="4"/>
    </row>
    <row r="18" spans="1:84" x14ac:dyDescent="0.3">
      <c r="A18" t="s">
        <v>3</v>
      </c>
      <c r="E18" s="118">
        <f>101500</f>
        <v>101500</v>
      </c>
      <c r="F18" s="4">
        <f t="shared" ref="F18:H20" si="52">$B3/4</f>
        <v>101500</v>
      </c>
      <c r="G18" s="4">
        <f t="shared" si="52"/>
        <v>101500</v>
      </c>
      <c r="H18" s="4">
        <f t="shared" si="52"/>
        <v>101500</v>
      </c>
      <c r="I18" s="18">
        <f>SUM(F18:H18)</f>
        <v>304500</v>
      </c>
      <c r="J18" s="4"/>
      <c r="L18" s="4">
        <f t="shared" ref="L18:O20" si="53">$B3/4</f>
        <v>101500</v>
      </c>
      <c r="M18" s="4">
        <f t="shared" si="53"/>
        <v>101500</v>
      </c>
      <c r="N18" s="4">
        <f t="shared" si="53"/>
        <v>101500</v>
      </c>
      <c r="O18" s="4">
        <f t="shared" si="53"/>
        <v>101500</v>
      </c>
      <c r="P18" s="18">
        <f>SUM(L18:O18)</f>
        <v>406000</v>
      </c>
      <c r="Q18" s="4"/>
      <c r="S18" s="4">
        <f t="shared" ref="S18:V20" si="54">$B3/4</f>
        <v>101500</v>
      </c>
      <c r="T18" s="4">
        <f t="shared" si="54"/>
        <v>101500</v>
      </c>
      <c r="U18" s="4">
        <f t="shared" si="54"/>
        <v>101500</v>
      </c>
      <c r="V18" s="4">
        <f t="shared" si="54"/>
        <v>101500</v>
      </c>
      <c r="W18" s="18">
        <f>SUM(S18:V18)</f>
        <v>406000</v>
      </c>
      <c r="X18" s="4"/>
      <c r="Z18" s="4">
        <f t="shared" ref="Z18:AC20" si="55">$B3/4</f>
        <v>101500</v>
      </c>
      <c r="AA18" s="4">
        <f t="shared" si="55"/>
        <v>101500</v>
      </c>
      <c r="AB18" s="4">
        <f t="shared" si="55"/>
        <v>101500</v>
      </c>
      <c r="AC18" s="4">
        <f t="shared" si="55"/>
        <v>101500</v>
      </c>
      <c r="AD18" s="18">
        <f>SUM(Z18:AC18)</f>
        <v>406000</v>
      </c>
      <c r="AE18" s="4"/>
      <c r="AG18" s="4">
        <f t="shared" ref="AG18:AJ20" si="56">$B3/4</f>
        <v>101500</v>
      </c>
      <c r="AH18" s="4">
        <f t="shared" si="56"/>
        <v>101500</v>
      </c>
      <c r="AI18" s="4">
        <f t="shared" si="56"/>
        <v>101500</v>
      </c>
      <c r="AJ18" s="4">
        <f t="shared" si="56"/>
        <v>101500</v>
      </c>
      <c r="AK18" s="18">
        <f>SUM(AG18:AJ18)</f>
        <v>406000</v>
      </c>
      <c r="AL18" s="4"/>
      <c r="AN18" s="4">
        <f t="shared" ref="AN18:AQ22" si="57">$B3/4</f>
        <v>101500</v>
      </c>
      <c r="AO18" s="4">
        <f t="shared" si="57"/>
        <v>101500</v>
      </c>
      <c r="AP18" s="4">
        <f t="shared" si="57"/>
        <v>101500</v>
      </c>
      <c r="AQ18" s="4">
        <f t="shared" si="57"/>
        <v>101500</v>
      </c>
      <c r="AR18" s="18">
        <f>SUM(AN18:AQ18)</f>
        <v>406000</v>
      </c>
      <c r="AS18" s="4"/>
      <c r="AU18" s="4">
        <f>$B3/4</f>
        <v>101500</v>
      </c>
      <c r="AV18" s="4">
        <f>($B3/4)</f>
        <v>101500</v>
      </c>
      <c r="AW18" s="4">
        <f t="shared" ref="AW18:AX18" si="58">($B3/4)</f>
        <v>101500</v>
      </c>
      <c r="AX18" s="4">
        <f t="shared" si="58"/>
        <v>101500</v>
      </c>
      <c r="AY18" s="18">
        <f>SUM(AU18:AX18)</f>
        <v>406000</v>
      </c>
      <c r="BA18" s="4">
        <f>$B3/4</f>
        <v>101500</v>
      </c>
      <c r="BB18" s="4">
        <f>($B3/4)</f>
        <v>101500</v>
      </c>
      <c r="BC18" s="4">
        <f t="shared" ref="BC18" si="59">($B3/4)</f>
        <v>101500</v>
      </c>
      <c r="BD18" s="4">
        <f>($B3/4)</f>
        <v>101500</v>
      </c>
      <c r="BE18" s="106">
        <f>SUM(BA18:BD18)</f>
        <v>406000</v>
      </c>
      <c r="BF18" s="24">
        <f>I18+P18+W18+AD18+AK18+AR18+AY18+BE18</f>
        <v>3146500</v>
      </c>
      <c r="BK18" s="4"/>
    </row>
    <row r="19" spans="1:84" x14ac:dyDescent="0.3">
      <c r="A19" t="s">
        <v>1</v>
      </c>
      <c r="E19" s="118"/>
      <c r="F19" s="4">
        <f t="shared" si="52"/>
        <v>213500</v>
      </c>
      <c r="G19" s="4">
        <f t="shared" si="52"/>
        <v>213500</v>
      </c>
      <c r="H19" s="4">
        <f t="shared" si="52"/>
        <v>213500</v>
      </c>
      <c r="I19" s="18">
        <f>SUM(F19:H19)</f>
        <v>640500</v>
      </c>
      <c r="J19" s="4"/>
      <c r="L19" s="4">
        <f t="shared" si="53"/>
        <v>213500</v>
      </c>
      <c r="M19" s="4">
        <f t="shared" si="53"/>
        <v>213500</v>
      </c>
      <c r="N19" s="4">
        <f t="shared" si="53"/>
        <v>213500</v>
      </c>
      <c r="O19" s="4">
        <f t="shared" si="53"/>
        <v>213500</v>
      </c>
      <c r="P19" s="18">
        <f t="shared" ref="P19:P22" si="60">SUM(L19:O19)</f>
        <v>854000</v>
      </c>
      <c r="Q19" s="4"/>
      <c r="S19" s="4">
        <f t="shared" si="54"/>
        <v>213500</v>
      </c>
      <c r="T19" s="4">
        <f t="shared" si="54"/>
        <v>213500</v>
      </c>
      <c r="U19" s="4">
        <f t="shared" si="54"/>
        <v>213500</v>
      </c>
      <c r="V19" s="4">
        <f t="shared" si="54"/>
        <v>213500</v>
      </c>
      <c r="W19" s="18">
        <f t="shared" ref="W19:W22" si="61">SUM(S19:V19)</f>
        <v>854000</v>
      </c>
      <c r="X19" s="4"/>
      <c r="Z19" s="4">
        <f t="shared" si="55"/>
        <v>213500</v>
      </c>
      <c r="AA19" s="4">
        <f t="shared" si="55"/>
        <v>213500</v>
      </c>
      <c r="AB19" s="4">
        <f t="shared" si="55"/>
        <v>213500</v>
      </c>
      <c r="AC19" s="4">
        <f t="shared" si="55"/>
        <v>213500</v>
      </c>
      <c r="AD19" s="18">
        <f t="shared" ref="AD19:AD22" si="62">SUM(Z19:AC19)</f>
        <v>854000</v>
      </c>
      <c r="AE19" s="4"/>
      <c r="AG19" s="4">
        <f t="shared" si="56"/>
        <v>213500</v>
      </c>
      <c r="AH19" s="4">
        <f t="shared" si="56"/>
        <v>213500</v>
      </c>
      <c r="AI19" s="4">
        <f t="shared" si="56"/>
        <v>213500</v>
      </c>
      <c r="AJ19" s="4">
        <f t="shared" si="56"/>
        <v>213500</v>
      </c>
      <c r="AK19" s="18">
        <f t="shared" ref="AK19:AK22" si="63">SUM(AG19:AJ19)</f>
        <v>854000</v>
      </c>
      <c r="AL19" s="4"/>
      <c r="AN19" s="4">
        <f t="shared" si="57"/>
        <v>213500</v>
      </c>
      <c r="AO19" s="4">
        <f t="shared" si="57"/>
        <v>213500</v>
      </c>
      <c r="AP19" s="4">
        <f t="shared" si="57"/>
        <v>213500</v>
      </c>
      <c r="AQ19" s="4">
        <f t="shared" si="57"/>
        <v>213500</v>
      </c>
      <c r="AR19" s="18">
        <f t="shared" ref="AR19:AR22" si="64">SUM(AN19:AQ19)</f>
        <v>854000</v>
      </c>
      <c r="AS19" s="4"/>
      <c r="AU19" s="4">
        <f>$B4/4</f>
        <v>213500</v>
      </c>
      <c r="AV19" s="4">
        <f t="shared" ref="AV19:AX22" si="65">($B4/4)</f>
        <v>213500</v>
      </c>
      <c r="AW19" s="4">
        <f t="shared" si="65"/>
        <v>213500</v>
      </c>
      <c r="AX19" s="4">
        <f t="shared" si="65"/>
        <v>213500</v>
      </c>
      <c r="AY19" s="18">
        <f t="shared" ref="AY19:AY21" si="66">SUM(AU19:AX19)</f>
        <v>854000</v>
      </c>
      <c r="BA19" s="4">
        <f>$B4/4</f>
        <v>213500</v>
      </c>
      <c r="BB19" s="4">
        <f t="shared" ref="BB19:BD22" si="67">($B4/4)</f>
        <v>213500</v>
      </c>
      <c r="BC19" s="4">
        <f t="shared" si="67"/>
        <v>213500</v>
      </c>
      <c r="BD19" s="4">
        <f t="shared" si="67"/>
        <v>213500</v>
      </c>
      <c r="BE19" s="106">
        <f t="shared" ref="BE19:BE21" si="68">SUM(BA19:BD19)</f>
        <v>854000</v>
      </c>
      <c r="BF19" s="24">
        <f t="shared" ref="BF19:BF22" si="69">I19+P19+W19+AD19+AK19+AR19+AY19+BE19</f>
        <v>6618500</v>
      </c>
      <c r="BK19" s="4"/>
    </row>
    <row r="20" spans="1:84" x14ac:dyDescent="0.3">
      <c r="A20" t="s">
        <v>0</v>
      </c>
      <c r="E20" s="118"/>
      <c r="F20" s="4">
        <f t="shared" si="52"/>
        <v>150000</v>
      </c>
      <c r="G20" s="4">
        <f t="shared" si="52"/>
        <v>150000</v>
      </c>
      <c r="H20" s="4">
        <f t="shared" si="52"/>
        <v>150000</v>
      </c>
      <c r="I20" s="18">
        <f t="shared" ref="I20:I22" si="70">SUM(F20:H20)</f>
        <v>450000</v>
      </c>
      <c r="J20" s="4"/>
      <c r="L20" s="4">
        <f t="shared" si="53"/>
        <v>150000</v>
      </c>
      <c r="M20" s="4">
        <f t="shared" si="53"/>
        <v>150000</v>
      </c>
      <c r="N20" s="4">
        <f t="shared" si="53"/>
        <v>150000</v>
      </c>
      <c r="O20" s="4">
        <f t="shared" si="53"/>
        <v>150000</v>
      </c>
      <c r="P20" s="18">
        <f t="shared" si="60"/>
        <v>600000</v>
      </c>
      <c r="Q20" s="4"/>
      <c r="S20" s="4">
        <f t="shared" si="54"/>
        <v>150000</v>
      </c>
      <c r="T20" s="4">
        <f t="shared" si="54"/>
        <v>150000</v>
      </c>
      <c r="U20" s="4">
        <f t="shared" si="54"/>
        <v>150000</v>
      </c>
      <c r="V20" s="4">
        <f t="shared" si="54"/>
        <v>150000</v>
      </c>
      <c r="W20" s="18">
        <f t="shared" si="61"/>
        <v>600000</v>
      </c>
      <c r="X20" s="4"/>
      <c r="Z20" s="4">
        <f t="shared" si="55"/>
        <v>150000</v>
      </c>
      <c r="AA20" s="4">
        <f t="shared" si="55"/>
        <v>150000</v>
      </c>
      <c r="AB20" s="4">
        <f t="shared" si="55"/>
        <v>150000</v>
      </c>
      <c r="AC20" s="4">
        <f t="shared" si="55"/>
        <v>150000</v>
      </c>
      <c r="AD20" s="18">
        <f t="shared" si="62"/>
        <v>600000</v>
      </c>
      <c r="AE20" s="4"/>
      <c r="AG20" s="4">
        <f t="shared" si="56"/>
        <v>150000</v>
      </c>
      <c r="AH20" s="4">
        <f t="shared" si="56"/>
        <v>150000</v>
      </c>
      <c r="AI20" s="4">
        <f t="shared" si="56"/>
        <v>150000</v>
      </c>
      <c r="AJ20" s="4">
        <f t="shared" si="56"/>
        <v>150000</v>
      </c>
      <c r="AK20" s="18">
        <f t="shared" si="63"/>
        <v>600000</v>
      </c>
      <c r="AL20" s="4"/>
      <c r="AN20" s="4">
        <f t="shared" si="57"/>
        <v>150000</v>
      </c>
      <c r="AO20" s="4">
        <f t="shared" si="57"/>
        <v>150000</v>
      </c>
      <c r="AP20" s="4">
        <f t="shared" si="57"/>
        <v>150000</v>
      </c>
      <c r="AQ20" s="4">
        <f t="shared" si="57"/>
        <v>150000</v>
      </c>
      <c r="AR20" s="18">
        <f t="shared" si="64"/>
        <v>600000</v>
      </c>
      <c r="AS20" s="4"/>
      <c r="AU20" s="4">
        <f>$B5/4</f>
        <v>150000</v>
      </c>
      <c r="AV20" s="4">
        <f t="shared" si="65"/>
        <v>150000</v>
      </c>
      <c r="AW20" s="4">
        <f t="shared" si="65"/>
        <v>150000</v>
      </c>
      <c r="AX20" s="4">
        <f t="shared" si="65"/>
        <v>150000</v>
      </c>
      <c r="AY20" s="18">
        <f t="shared" si="66"/>
        <v>600000</v>
      </c>
      <c r="BA20" s="4">
        <f>$B5/4</f>
        <v>150000</v>
      </c>
      <c r="BB20" s="4">
        <f t="shared" si="67"/>
        <v>150000</v>
      </c>
      <c r="BC20" s="4">
        <f t="shared" si="67"/>
        <v>150000</v>
      </c>
      <c r="BD20" s="4">
        <f t="shared" si="67"/>
        <v>150000</v>
      </c>
      <c r="BE20" s="106">
        <f t="shared" si="68"/>
        <v>600000</v>
      </c>
      <c r="BF20" s="24">
        <f t="shared" si="69"/>
        <v>4650000</v>
      </c>
      <c r="BK20" s="4"/>
    </row>
    <row r="21" spans="1:84" x14ac:dyDescent="0.3">
      <c r="A21" t="s">
        <v>18</v>
      </c>
      <c r="E21" s="118"/>
      <c r="F21" s="4">
        <v>256252.75</v>
      </c>
      <c r="G21" s="4">
        <v>256252.75</v>
      </c>
      <c r="H21" s="4">
        <v>256252.75</v>
      </c>
      <c r="I21" s="18">
        <f t="shared" si="70"/>
        <v>768758.25</v>
      </c>
      <c r="J21" s="4"/>
      <c r="L21" s="4">
        <v>258815.25</v>
      </c>
      <c r="M21" s="4">
        <v>258815.25</v>
      </c>
      <c r="N21" s="4">
        <v>258815.25</v>
      </c>
      <c r="O21" s="4">
        <v>258815.25</v>
      </c>
      <c r="P21" s="18">
        <f t="shared" si="60"/>
        <v>1035261</v>
      </c>
      <c r="Q21" s="4"/>
      <c r="S21" s="4">
        <f>$W$21/4</f>
        <v>261403.5</v>
      </c>
      <c r="T21" s="4">
        <f t="shared" ref="T21:V21" si="71">$W$21/4</f>
        <v>261403.5</v>
      </c>
      <c r="U21" s="4">
        <f t="shared" si="71"/>
        <v>261403.5</v>
      </c>
      <c r="V21" s="4">
        <f t="shared" si="71"/>
        <v>261403.5</v>
      </c>
      <c r="W21" s="18">
        <v>1045614</v>
      </c>
      <c r="X21" s="4"/>
      <c r="Z21" s="4">
        <v>264017.5</v>
      </c>
      <c r="AA21" s="4">
        <v>264017.5</v>
      </c>
      <c r="AB21" s="4">
        <v>264017.5</v>
      </c>
      <c r="AC21" s="4">
        <v>264017.5</v>
      </c>
      <c r="AD21" s="18">
        <f t="shared" si="62"/>
        <v>1056070</v>
      </c>
      <c r="AE21" s="4"/>
      <c r="AG21" s="4">
        <v>266657.75</v>
      </c>
      <c r="AH21" s="4">
        <v>266657.75</v>
      </c>
      <c r="AI21" s="4">
        <v>266657.75</v>
      </c>
      <c r="AJ21" s="4">
        <v>266657.75</v>
      </c>
      <c r="AK21" s="18">
        <f t="shared" si="63"/>
        <v>1066631</v>
      </c>
      <c r="AL21" s="4"/>
      <c r="AN21" s="4">
        <f t="shared" si="57"/>
        <v>266657.75</v>
      </c>
      <c r="AO21" s="4">
        <f t="shared" si="57"/>
        <v>266657.75</v>
      </c>
      <c r="AP21" s="4">
        <f t="shared" si="57"/>
        <v>266657.75</v>
      </c>
      <c r="AQ21" s="4">
        <f t="shared" si="57"/>
        <v>266657.75</v>
      </c>
      <c r="AR21" s="18">
        <f t="shared" si="64"/>
        <v>1066631</v>
      </c>
      <c r="AS21" s="4"/>
      <c r="AU21" s="4">
        <f>$B6/4</f>
        <v>266657.75</v>
      </c>
      <c r="AV21" s="4">
        <f t="shared" si="65"/>
        <v>266657.75</v>
      </c>
      <c r="AW21" s="4">
        <f t="shared" si="65"/>
        <v>266657.75</v>
      </c>
      <c r="AX21" s="4">
        <f t="shared" si="65"/>
        <v>266657.75</v>
      </c>
      <c r="AY21" s="18">
        <f t="shared" si="66"/>
        <v>1066631</v>
      </c>
      <c r="BA21" s="4">
        <f>$B6/4</f>
        <v>266657.75</v>
      </c>
      <c r="BB21" s="4">
        <f t="shared" si="67"/>
        <v>266657.75</v>
      </c>
      <c r="BC21" s="4">
        <f t="shared" si="67"/>
        <v>266657.75</v>
      </c>
      <c r="BD21" s="4">
        <f t="shared" si="67"/>
        <v>266657.75</v>
      </c>
      <c r="BE21" s="106">
        <f t="shared" si="68"/>
        <v>1066631</v>
      </c>
      <c r="BF21" s="24">
        <f t="shared" si="69"/>
        <v>8172227.25</v>
      </c>
      <c r="BK21" s="4"/>
    </row>
    <row r="22" spans="1:84" x14ac:dyDescent="0.3">
      <c r="A22" t="s">
        <v>21</v>
      </c>
      <c r="E22" s="118"/>
      <c r="F22" s="4">
        <f>$B$7/4</f>
        <v>45000</v>
      </c>
      <c r="G22" s="4">
        <f t="shared" ref="G22:H22" si="72">$B$7/4</f>
        <v>45000</v>
      </c>
      <c r="H22" s="4">
        <f t="shared" si="72"/>
        <v>45000</v>
      </c>
      <c r="I22" s="18">
        <f t="shared" si="70"/>
        <v>135000</v>
      </c>
      <c r="J22" s="4"/>
      <c r="L22" s="4">
        <f>$B7/4</f>
        <v>45000</v>
      </c>
      <c r="M22" s="4">
        <f>$B7/4</f>
        <v>45000</v>
      </c>
      <c r="N22" s="4">
        <f>$B7/4</f>
        <v>45000</v>
      </c>
      <c r="O22" s="4">
        <f>$B7/4</f>
        <v>45000</v>
      </c>
      <c r="P22" s="18">
        <f t="shared" si="60"/>
        <v>180000</v>
      </c>
      <c r="Q22" s="4"/>
      <c r="S22" s="4">
        <f>$B7/4</f>
        <v>45000</v>
      </c>
      <c r="T22" s="4">
        <f>$B7/4</f>
        <v>45000</v>
      </c>
      <c r="U22" s="4">
        <f>$B7/4</f>
        <v>45000</v>
      </c>
      <c r="V22" s="4">
        <f>$B7/4</f>
        <v>45000</v>
      </c>
      <c r="W22" s="18">
        <f t="shared" si="61"/>
        <v>180000</v>
      </c>
      <c r="X22" s="4"/>
      <c r="Z22" s="4">
        <f>$B7/4</f>
        <v>45000</v>
      </c>
      <c r="AA22" s="4">
        <f>$B7/4</f>
        <v>45000</v>
      </c>
      <c r="AB22" s="4">
        <f>$B7/4</f>
        <v>45000</v>
      </c>
      <c r="AC22" s="4">
        <f>$B7/4</f>
        <v>45000</v>
      </c>
      <c r="AD22" s="18">
        <f t="shared" si="62"/>
        <v>180000</v>
      </c>
      <c r="AE22" s="4"/>
      <c r="AG22" s="4">
        <f>$B7/4</f>
        <v>45000</v>
      </c>
      <c r="AH22" s="4">
        <f>$B7/4</f>
        <v>45000</v>
      </c>
      <c r="AI22" s="4">
        <f>$B7/4</f>
        <v>45000</v>
      </c>
      <c r="AJ22" s="4">
        <f>$B7/4</f>
        <v>45000</v>
      </c>
      <c r="AK22" s="18">
        <f t="shared" si="63"/>
        <v>180000</v>
      </c>
      <c r="AL22" s="4"/>
      <c r="AN22" s="4">
        <f t="shared" si="57"/>
        <v>45000</v>
      </c>
      <c r="AO22" s="4">
        <f t="shared" si="57"/>
        <v>45000</v>
      </c>
      <c r="AP22" s="4">
        <f t="shared" si="57"/>
        <v>45000</v>
      </c>
      <c r="AQ22" s="4">
        <f t="shared" si="57"/>
        <v>45000</v>
      </c>
      <c r="AR22" s="18">
        <f t="shared" si="64"/>
        <v>180000</v>
      </c>
      <c r="AS22" s="4"/>
      <c r="AU22" s="4">
        <f>$B7/4</f>
        <v>45000</v>
      </c>
      <c r="AV22" s="4">
        <f t="shared" si="65"/>
        <v>45000</v>
      </c>
      <c r="AW22" s="4">
        <f t="shared" si="65"/>
        <v>45000</v>
      </c>
      <c r="AX22" s="4">
        <f t="shared" si="65"/>
        <v>45000</v>
      </c>
      <c r="AY22" s="18">
        <f>SUM(AU22:AX22)</f>
        <v>180000</v>
      </c>
      <c r="BA22" s="4">
        <f>$B7/4</f>
        <v>45000</v>
      </c>
      <c r="BB22" s="4">
        <f t="shared" si="67"/>
        <v>45000</v>
      </c>
      <c r="BC22" s="4">
        <f t="shared" si="67"/>
        <v>45000</v>
      </c>
      <c r="BD22" s="4">
        <f t="shared" si="67"/>
        <v>45000</v>
      </c>
      <c r="BE22" s="106">
        <f>SUM(BA22:BD22)</f>
        <v>180000</v>
      </c>
      <c r="BF22" s="24">
        <f t="shared" si="69"/>
        <v>1395000</v>
      </c>
      <c r="BK22" s="4"/>
    </row>
    <row r="23" spans="1:84" s="1" customFormat="1" ht="15" thickBot="1" x14ac:dyDescent="0.35">
      <c r="E23" s="119">
        <f>SUM(E18:E22)</f>
        <v>101500</v>
      </c>
      <c r="F23" s="5">
        <f t="shared" ref="F23:H23" si="73">SUM(F18:F22)</f>
        <v>766252.75</v>
      </c>
      <c r="G23" s="5">
        <f t="shared" si="73"/>
        <v>766252.75</v>
      </c>
      <c r="H23" s="5">
        <f t="shared" si="73"/>
        <v>766252.75</v>
      </c>
      <c r="I23" s="20">
        <f>SUM(F23:H23)</f>
        <v>2298758.25</v>
      </c>
      <c r="J23" s="15"/>
      <c r="L23" s="5">
        <f>SUM(L18:L22)</f>
        <v>768815.25</v>
      </c>
      <c r="M23" s="5">
        <f t="shared" ref="M23:AX23" si="74">SUM(M18:M22)</f>
        <v>768815.25</v>
      </c>
      <c r="N23" s="5">
        <f t="shared" si="74"/>
        <v>768815.25</v>
      </c>
      <c r="O23" s="5">
        <f t="shared" si="74"/>
        <v>768815.25</v>
      </c>
      <c r="P23" s="20">
        <f>SUM(L23:O23)</f>
        <v>3075261</v>
      </c>
      <c r="Q23" s="15"/>
      <c r="S23" s="5">
        <f t="shared" si="74"/>
        <v>771403.5</v>
      </c>
      <c r="T23" s="5">
        <f t="shared" si="74"/>
        <v>771403.5</v>
      </c>
      <c r="U23" s="5">
        <f t="shared" si="74"/>
        <v>771403.5</v>
      </c>
      <c r="V23" s="5">
        <f t="shared" si="74"/>
        <v>771403.5</v>
      </c>
      <c r="W23" s="20">
        <f>SUM(S23:V23)</f>
        <v>3085614</v>
      </c>
      <c r="X23" s="15"/>
      <c r="Z23" s="5">
        <f t="shared" si="74"/>
        <v>774017.5</v>
      </c>
      <c r="AA23" s="5">
        <f t="shared" si="74"/>
        <v>774017.5</v>
      </c>
      <c r="AB23" s="5">
        <f t="shared" si="74"/>
        <v>774017.5</v>
      </c>
      <c r="AC23" s="5">
        <f t="shared" si="74"/>
        <v>774017.5</v>
      </c>
      <c r="AD23" s="20">
        <f>SUM(Z23:AC23)</f>
        <v>3096070</v>
      </c>
      <c r="AE23" s="15"/>
      <c r="AG23" s="5">
        <f t="shared" si="74"/>
        <v>776657.75</v>
      </c>
      <c r="AH23" s="5">
        <f t="shared" si="74"/>
        <v>776657.75</v>
      </c>
      <c r="AI23" s="5">
        <f t="shared" si="74"/>
        <v>776657.75</v>
      </c>
      <c r="AJ23" s="5">
        <f t="shared" si="74"/>
        <v>776657.75</v>
      </c>
      <c r="AK23" s="20">
        <f>SUM(AG23:AJ23)</f>
        <v>3106631</v>
      </c>
      <c r="AL23" s="15"/>
      <c r="AN23" s="5">
        <f t="shared" si="74"/>
        <v>776657.75</v>
      </c>
      <c r="AO23" s="5">
        <f t="shared" si="74"/>
        <v>776657.75</v>
      </c>
      <c r="AP23" s="5">
        <f t="shared" si="74"/>
        <v>776657.75</v>
      </c>
      <c r="AQ23" s="5">
        <f t="shared" si="74"/>
        <v>776657.75</v>
      </c>
      <c r="AR23" s="20">
        <f>SUM(AN23:AQ23)</f>
        <v>3106631</v>
      </c>
      <c r="AS23" s="15"/>
      <c r="AU23" s="5">
        <f t="shared" si="74"/>
        <v>776657.75</v>
      </c>
      <c r="AV23" s="5">
        <f t="shared" si="74"/>
        <v>776657.75</v>
      </c>
      <c r="AW23" s="5">
        <f t="shared" si="74"/>
        <v>776657.75</v>
      </c>
      <c r="AX23" s="5">
        <f t="shared" si="74"/>
        <v>776657.75</v>
      </c>
      <c r="AY23" s="20">
        <f>SUM(AU23:AX23)</f>
        <v>3106631</v>
      </c>
      <c r="BA23" s="5">
        <f t="shared" ref="BA23:BD23" si="75">SUM(BA18:BA22)</f>
        <v>776657.75</v>
      </c>
      <c r="BB23" s="5">
        <f t="shared" si="75"/>
        <v>776657.75</v>
      </c>
      <c r="BC23" s="5">
        <f t="shared" si="75"/>
        <v>776657.75</v>
      </c>
      <c r="BD23" s="5">
        <f t="shared" si="75"/>
        <v>776657.75</v>
      </c>
      <c r="BE23" s="20">
        <f>SUM(BA23:BD23)</f>
        <v>3106631</v>
      </c>
      <c r="BF23" s="26">
        <f>AY23+AR23+AK23+AD23+W23+P23+I23+BE23</f>
        <v>23982227.25</v>
      </c>
      <c r="BK23" s="4"/>
    </row>
    <row r="24" spans="1:84" s="36" customFormat="1" ht="15" thickTop="1" x14ac:dyDescent="0.3">
      <c r="A24" s="36" t="s">
        <v>23</v>
      </c>
      <c r="D24" s="37">
        <f>E11-E18</f>
        <v>27905</v>
      </c>
      <c r="E24" s="118">
        <f>E16-E23</f>
        <v>27905</v>
      </c>
      <c r="F24" s="37">
        <f>F16-F23</f>
        <v>357580.25</v>
      </c>
      <c r="G24" s="37">
        <f>G16-G23</f>
        <v>357580.25</v>
      </c>
      <c r="H24" s="37">
        <f>H16-H23</f>
        <v>357511.25</v>
      </c>
      <c r="I24" s="38">
        <f>I16-I23</f>
        <v>1072671.75</v>
      </c>
      <c r="J24" s="39"/>
      <c r="L24" s="37">
        <f>L16-L23</f>
        <v>354910.75</v>
      </c>
      <c r="M24" s="37">
        <f>M16-M23</f>
        <v>401344.75</v>
      </c>
      <c r="N24" s="37">
        <f>N16-N23</f>
        <v>401344.75</v>
      </c>
      <c r="O24" s="37">
        <f>O16-O23</f>
        <v>339720.76</v>
      </c>
      <c r="P24" s="38">
        <f>P16-P23</f>
        <v>1497321.0099999998</v>
      </c>
      <c r="Q24" s="39"/>
      <c r="S24" s="37">
        <f>S16-S23</f>
        <v>337132.49</v>
      </c>
      <c r="T24" s="37">
        <f>T16-T23</f>
        <v>352090.5</v>
      </c>
      <c r="U24" s="37">
        <f>U16-U23</f>
        <v>258967.5</v>
      </c>
      <c r="V24" s="37">
        <f>V16-V23</f>
        <v>258967.5</v>
      </c>
      <c r="W24" s="38">
        <f>W16-W23</f>
        <v>1207157.9900000002</v>
      </c>
      <c r="X24" s="39"/>
      <c r="Z24" s="37">
        <f>Z16-Z23</f>
        <v>256171.5</v>
      </c>
      <c r="AA24" s="37">
        <f>AA16-AA23</f>
        <v>349476.5</v>
      </c>
      <c r="AB24" s="37">
        <f>AB16-AB23</f>
        <v>337480.5</v>
      </c>
      <c r="AC24" s="37">
        <f>AC16-AC23</f>
        <v>337480.5</v>
      </c>
      <c r="AD24" s="38">
        <f>AD16-AD23</f>
        <v>1280609</v>
      </c>
      <c r="AE24" s="39"/>
      <c r="AG24" s="37">
        <f>AG16-AG23</f>
        <v>334840.25</v>
      </c>
      <c r="AH24" s="37">
        <f>AH16-AH23</f>
        <v>302191.25491432636</v>
      </c>
      <c r="AI24" s="37">
        <f>AI16-AI23</f>
        <v>289524.25</v>
      </c>
      <c r="AJ24" s="37">
        <f>AJ16-AJ23</f>
        <v>289523.25</v>
      </c>
      <c r="AK24" s="38">
        <f>AK16-AK23</f>
        <v>1216079.0049143266</v>
      </c>
      <c r="AL24" s="39"/>
      <c r="AN24" s="37">
        <f>AN16-AN23</f>
        <v>289524.25</v>
      </c>
      <c r="AO24" s="37">
        <f>AO16-AO23</f>
        <v>252635.24000000011</v>
      </c>
      <c r="AP24" s="37">
        <f>AP16-AP23</f>
        <v>257400.25</v>
      </c>
      <c r="AQ24" s="37">
        <f>AQ16-AQ23</f>
        <v>259783.25</v>
      </c>
      <c r="AR24" s="38">
        <f>AR16-AR23</f>
        <v>1059342.9900000002</v>
      </c>
      <c r="AS24" s="39"/>
      <c r="AU24" s="37">
        <f>AU16-AU23</f>
        <v>259783.25000000012</v>
      </c>
      <c r="AV24" s="37">
        <f>AV16-AV23</f>
        <v>457727.25</v>
      </c>
      <c r="AW24" s="37">
        <f>AW16-AW23</f>
        <v>416603.25000000023</v>
      </c>
      <c r="AX24" s="37">
        <f>AX16-AX23</f>
        <v>404468.25</v>
      </c>
      <c r="AY24" s="38">
        <f>AY16-AY23</f>
        <v>1538582</v>
      </c>
      <c r="BA24" s="37">
        <f t="shared" ref="BA24:BE24" si="76">BA16-BA23</f>
        <v>404468.25</v>
      </c>
      <c r="BB24" s="37">
        <f t="shared" si="76"/>
        <v>581282.25</v>
      </c>
      <c r="BC24" s="37">
        <f t="shared" si="76"/>
        <v>553069.24999999977</v>
      </c>
      <c r="BD24" s="37">
        <f t="shared" si="76"/>
        <v>553069.25</v>
      </c>
      <c r="BE24" s="38">
        <f t="shared" si="76"/>
        <v>2091889</v>
      </c>
      <c r="BF24" s="40">
        <f>BF16-BF23</f>
        <v>10963652.744914323</v>
      </c>
      <c r="BG24" s="4"/>
      <c r="BH24"/>
      <c r="BI24"/>
      <c r="BJ24"/>
      <c r="BK24" s="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</row>
    <row r="25" spans="1:84" x14ac:dyDescent="0.3">
      <c r="A25" s="1"/>
      <c r="B25" s="1"/>
      <c r="C25" s="1"/>
      <c r="D25" s="4"/>
      <c r="I25" s="109"/>
      <c r="BK25" s="4"/>
    </row>
    <row r="26" spans="1:84" x14ac:dyDescent="0.3">
      <c r="A26" s="108" t="s">
        <v>68</v>
      </c>
      <c r="F26" s="4"/>
      <c r="G26" s="4"/>
      <c r="I26" s="23">
        <v>2016</v>
      </c>
      <c r="P26" s="23">
        <v>2017</v>
      </c>
      <c r="W26" s="23">
        <v>2018</v>
      </c>
      <c r="AD26" s="23">
        <v>2019</v>
      </c>
      <c r="AK26" s="23">
        <v>2020</v>
      </c>
      <c r="AR26" s="23">
        <v>2021</v>
      </c>
      <c r="AY26" s="23">
        <v>2022</v>
      </c>
      <c r="BE26" s="23">
        <v>2023</v>
      </c>
      <c r="BF26" s="28" t="s">
        <v>66</v>
      </c>
      <c r="BG26" s="101"/>
      <c r="BH26" t="s">
        <v>67</v>
      </c>
      <c r="BK26" s="4"/>
    </row>
    <row r="27" spans="1:84" x14ac:dyDescent="0.3">
      <c r="A27" t="s">
        <v>3</v>
      </c>
      <c r="E27" s="118"/>
      <c r="F27" s="103">
        <f>21280*3</f>
        <v>63840</v>
      </c>
      <c r="G27" s="103">
        <f>20604+21111*2</f>
        <v>62826</v>
      </c>
      <c r="H27" s="110">
        <f>21111+21653.78+53935.22</f>
        <v>96700</v>
      </c>
      <c r="I27" s="104">
        <f>SUM(E27:H27)</f>
        <v>223366</v>
      </c>
      <c r="J27" s="4"/>
      <c r="K27" s="99"/>
      <c r="L27" s="103">
        <f>21750*3</f>
        <v>65250</v>
      </c>
      <c r="M27" s="103">
        <f>24046.88+23975.55+24011.22</f>
        <v>72033.649999999994</v>
      </c>
      <c r="N27" s="103">
        <f>24011.22*3</f>
        <v>72033.66</v>
      </c>
      <c r="O27" s="103">
        <f>24011.22+17918.87+20965.05</f>
        <v>62895.14</v>
      </c>
      <c r="P27" s="104">
        <f>SUM(L27:O27)</f>
        <v>272212.45</v>
      </c>
      <c r="Q27" s="4"/>
      <c r="R27" s="4"/>
      <c r="S27" s="103">
        <f>20963.99*3</f>
        <v>62891.97</v>
      </c>
      <c r="T27" s="103">
        <f>20963.99+20963.99+23198.92</f>
        <v>65126.9</v>
      </c>
      <c r="U27" s="103">
        <f>17095.56*3</f>
        <v>51286.680000000008</v>
      </c>
      <c r="V27" s="103">
        <f>17095.56*3</f>
        <v>51286.680000000008</v>
      </c>
      <c r="W27" s="104">
        <f>SUM(S27:V27)</f>
        <v>230592.22999999998</v>
      </c>
      <c r="X27" s="4"/>
      <c r="Y27" s="4"/>
      <c r="Z27" s="103">
        <f>17095.61*3</f>
        <v>51286.83</v>
      </c>
      <c r="AA27" s="103">
        <f>21707.17*3</f>
        <v>65121.509999999995</v>
      </c>
      <c r="AB27" s="103">
        <v>63342.435694871267</v>
      </c>
      <c r="AC27" s="103">
        <v>63342.435694871267</v>
      </c>
      <c r="AD27" s="104">
        <f>SUM(Z27:AC27)</f>
        <v>243093.21138974253</v>
      </c>
      <c r="AE27" s="4"/>
      <c r="AF27" s="4"/>
      <c r="AG27" s="103">
        <v>63342.435694871267</v>
      </c>
      <c r="AH27" s="103">
        <v>58500.380000000005</v>
      </c>
      <c r="AI27" s="103">
        <v>66598.715373896703</v>
      </c>
      <c r="AJ27" s="103">
        <v>66693.496011148585</v>
      </c>
      <c r="AK27" s="104">
        <f>SUM(AG27:AJ27)</f>
        <v>255135.02707991656</v>
      </c>
      <c r="AL27" s="4"/>
      <c r="AM27" s="4"/>
      <c r="AN27" s="103">
        <v>66716.943466186523</v>
      </c>
      <c r="AO27" s="103">
        <v>60894.94</v>
      </c>
      <c r="AP27" s="103">
        <v>61656.554652997642</v>
      </c>
      <c r="AQ27" s="103">
        <v>62033.349734635471</v>
      </c>
      <c r="AR27" s="104">
        <f>SUM(AN27:AQ27)</f>
        <v>251301.78785381964</v>
      </c>
      <c r="AS27" s="4"/>
      <c r="AT27" s="4"/>
      <c r="AU27" s="103">
        <v>62081.740117326</v>
      </c>
      <c r="AV27" s="103">
        <v>93710.067867985897</v>
      </c>
      <c r="AW27" s="103">
        <v>87295.327847626468</v>
      </c>
      <c r="AX27" s="103">
        <v>85430.964424216683</v>
      </c>
      <c r="AY27" s="104">
        <f>SUM(AU27:AX27)</f>
        <v>328518.10025715502</v>
      </c>
      <c r="AZ27" s="4"/>
      <c r="BA27" s="103">
        <v>85493.937025345222</v>
      </c>
      <c r="BB27" s="103">
        <v>113723.46836133578</v>
      </c>
      <c r="BC27" s="103">
        <v>109321.34649601375</v>
      </c>
      <c r="BD27" s="103">
        <v>109399.92004863272</v>
      </c>
      <c r="BE27" s="107">
        <f>SUM(BA27:BD27)</f>
        <v>417938.6719313275</v>
      </c>
      <c r="BF27" s="28">
        <f>I27+P27+W27+AD27+AK27+AR27+AY27+BE27</f>
        <v>2222157.4785119612</v>
      </c>
      <c r="BG27" s="11">
        <f>BK4</f>
        <v>2222157.2800000003</v>
      </c>
      <c r="BH27" s="4">
        <f>BF27-BG27</f>
        <v>0.19851196091622114</v>
      </c>
      <c r="BI27" s="4"/>
      <c r="BK27" s="4"/>
    </row>
    <row r="28" spans="1:84" x14ac:dyDescent="0.3">
      <c r="A28" t="s">
        <v>1</v>
      </c>
      <c r="E28" s="118"/>
      <c r="F28" s="103">
        <v>14725</v>
      </c>
      <c r="G28" s="103">
        <v>14725</v>
      </c>
      <c r="H28" s="103">
        <v>14704</v>
      </c>
      <c r="I28" s="104">
        <f t="shared" ref="I28:I31" si="77">SUM(E28:H28)</f>
        <v>44154</v>
      </c>
      <c r="J28" s="4"/>
      <c r="K28" s="4"/>
      <c r="L28" s="103">
        <v>14704</v>
      </c>
      <c r="M28" s="103">
        <v>24140.183452196099</v>
      </c>
      <c r="N28" s="103">
        <v>24140.183452196099</v>
      </c>
      <c r="O28" s="103">
        <v>11625.738722447568</v>
      </c>
      <c r="P28" s="104">
        <f t="shared" ref="P28:P31" si="78">SUM(L28:O28)</f>
        <v>74610.105626839766</v>
      </c>
      <c r="Q28" s="4"/>
      <c r="R28" s="4"/>
      <c r="S28" s="103">
        <v>11625.51999999999</v>
      </c>
      <c r="T28" s="103">
        <v>14677.833063276106</v>
      </c>
      <c r="U28" s="103">
        <v>-4271.1043034967151</v>
      </c>
      <c r="V28" s="103">
        <v>-4271.1043034967151</v>
      </c>
      <c r="W28" s="104">
        <f t="shared" ref="W28:W30" si="79">SUM(S28:V28)</f>
        <v>17761.144456282665</v>
      </c>
      <c r="X28" s="4"/>
      <c r="Y28" s="4"/>
      <c r="Z28" s="103">
        <v>-4270.8898204088036</v>
      </c>
      <c r="AA28" s="103">
        <v>14674.586384300404</v>
      </c>
      <c r="AB28" s="103">
        <v>12238.274006783409</v>
      </c>
      <c r="AC28" s="103">
        <v>12238.274006783409</v>
      </c>
      <c r="AD28" s="104">
        <f t="shared" ref="AD28:AD30" si="80">SUM(Z28:AC28)</f>
        <v>34880.244577458419</v>
      </c>
      <c r="AE28" s="4"/>
      <c r="AF28" s="4"/>
      <c r="AG28" s="103">
        <v>12238.274006783409</v>
      </c>
      <c r="AH28" s="103">
        <v>5607.4668365973339</v>
      </c>
      <c r="AI28" s="103">
        <v>-4853.2628010183398</v>
      </c>
      <c r="AJ28" s="103">
        <v>-4964.2811406709952</v>
      </c>
      <c r="AK28" s="104">
        <f t="shared" ref="AK28:AK31" si="81">SUM(AG28:AJ28)</f>
        <v>8028.1969016914081</v>
      </c>
      <c r="AL28" s="4"/>
      <c r="AM28" s="4"/>
      <c r="AN28" s="103">
        <v>-5157.4978733491153</v>
      </c>
      <c r="AO28" s="103">
        <v>-13292.399999999994</v>
      </c>
      <c r="AP28" s="103">
        <v>-12201.590144096903</v>
      </c>
      <c r="AQ28" s="103">
        <v>-11705.126085419266</v>
      </c>
      <c r="AR28" s="104">
        <f t="shared" ref="AR28:AR31" si="82">SUM(AN28:AQ28)</f>
        <v>-42356.614102865278</v>
      </c>
      <c r="AS28" s="4"/>
      <c r="AT28" s="4"/>
      <c r="AU28" s="103">
        <v>-11761.925313487183</v>
      </c>
      <c r="AV28" s="103">
        <v>26352.374671642814</v>
      </c>
      <c r="AW28" s="103">
        <v>18227.59637528556</v>
      </c>
      <c r="AX28" s="103">
        <v>15740.221454104641</v>
      </c>
      <c r="AY28" s="104">
        <f t="shared" ref="AY28:AY31" si="83">SUM(AU28:AX28)</f>
        <v>48558.267187545833</v>
      </c>
      <c r="AZ28" s="4"/>
      <c r="BA28" s="103">
        <v>15599.886053806549</v>
      </c>
      <c r="BB28" s="103">
        <v>49076.737599462853</v>
      </c>
      <c r="BC28" s="103">
        <v>43464.271391244372</v>
      </c>
      <c r="BD28" s="103">
        <v>43307.438291297352</v>
      </c>
      <c r="BE28" s="107">
        <f t="shared" ref="BE28:BE31" si="84">SUM(BA28:BD28)</f>
        <v>151448.33333581113</v>
      </c>
      <c r="BF28" s="28">
        <f>I28+P28+W28+AD28+AK28+AR28+AY28+BE28</f>
        <v>337083.67798276397</v>
      </c>
      <c r="BG28" s="11">
        <f>BK2</f>
        <v>337083.41000000003</v>
      </c>
      <c r="BH28" s="4">
        <f t="shared" ref="BH28:BH31" si="85">BF28-BG28</f>
        <v>0.26798276393674314</v>
      </c>
      <c r="BI28" s="4"/>
      <c r="BJ28" s="102"/>
      <c r="BK28" s="4"/>
    </row>
    <row r="29" spans="1:84" x14ac:dyDescent="0.3">
      <c r="A29" t="s">
        <v>0</v>
      </c>
      <c r="E29" s="118"/>
      <c r="F29" s="103">
        <v>122829</v>
      </c>
      <c r="G29" s="103">
        <v>122829</v>
      </c>
      <c r="H29" s="103">
        <v>122803</v>
      </c>
      <c r="I29" s="104">
        <f>SUM(E29:H29)</f>
        <v>368461</v>
      </c>
      <c r="J29" s="4"/>
      <c r="K29" s="4"/>
      <c r="L29" s="103">
        <v>122802.99999999999</v>
      </c>
      <c r="M29" s="103">
        <v>134083.34194978816</v>
      </c>
      <c r="N29" s="103">
        <v>134083.34194978816</v>
      </c>
      <c r="O29" s="103">
        <v>119123.13938712672</v>
      </c>
      <c r="P29" s="104">
        <f>SUM(L29:O29)</f>
        <v>510092.82328670303</v>
      </c>
      <c r="Q29" s="4"/>
      <c r="R29" s="4"/>
      <c r="S29" s="103">
        <v>119122.88</v>
      </c>
      <c r="T29" s="103">
        <v>122771.71913358622</v>
      </c>
      <c r="U29" s="103">
        <v>100119.50023966795</v>
      </c>
      <c r="V29" s="103">
        <v>100119.50023966795</v>
      </c>
      <c r="W29" s="104">
        <f t="shared" si="79"/>
        <v>442133.59961292212</v>
      </c>
      <c r="X29" s="4"/>
      <c r="Y29" s="4"/>
      <c r="Z29" s="103">
        <v>100119.75664021232</v>
      </c>
      <c r="AA29" s="103">
        <v>122767.83794059831</v>
      </c>
      <c r="AB29" s="103">
        <v>119855.38537393091</v>
      </c>
      <c r="AC29" s="103">
        <v>119855.38537393091</v>
      </c>
      <c r="AD29" s="104">
        <f t="shared" si="80"/>
        <v>462598.36532867246</v>
      </c>
      <c r="AE29" s="4"/>
      <c r="AF29" s="4"/>
      <c r="AG29" s="103">
        <v>119855.38537393091</v>
      </c>
      <c r="AH29" s="103">
        <v>111928.68782065285</v>
      </c>
      <c r="AI29" s="103">
        <v>102443.89189328087</v>
      </c>
      <c r="AJ29" s="103">
        <v>102456.62678452348</v>
      </c>
      <c r="AK29" s="104">
        <f t="shared" si="81"/>
        <v>436684.59187238815</v>
      </c>
      <c r="AL29" s="4"/>
      <c r="AM29" s="4"/>
      <c r="AN29" s="103">
        <v>102628.62361531358</v>
      </c>
      <c r="AO29" s="103">
        <v>94583.65</v>
      </c>
      <c r="AP29" s="103">
        <v>95574.008938069135</v>
      </c>
      <c r="AQ29" s="103">
        <v>96120.884631325898</v>
      </c>
      <c r="AR29" s="104">
        <f t="shared" si="82"/>
        <v>388907.16718470858</v>
      </c>
      <c r="AS29" s="4"/>
      <c r="AT29" s="4"/>
      <c r="AU29" s="103">
        <v>96135.041033175919</v>
      </c>
      <c r="AV29" s="103">
        <v>143041.21059442236</v>
      </c>
      <c r="AW29" s="103">
        <v>133295.99900785403</v>
      </c>
      <c r="AX29" s="103">
        <v>130424.703910827</v>
      </c>
      <c r="AY29" s="104">
        <f t="shared" si="83"/>
        <v>502896.95454627933</v>
      </c>
      <c r="AZ29" s="4"/>
      <c r="BA29" s="103">
        <v>130410.8657700381</v>
      </c>
      <c r="BB29" s="103">
        <v>172350.00070350658</v>
      </c>
      <c r="BC29" s="103">
        <v>165663.91568264941</v>
      </c>
      <c r="BD29" s="103">
        <v>165648.33310325537</v>
      </c>
      <c r="BE29" s="107">
        <f t="shared" si="84"/>
        <v>634073.11525944946</v>
      </c>
      <c r="BF29" s="28">
        <f t="shared" ref="BF29:BF31" si="86">I29+P29+W29+AD29+AK29+AR29+AY29+BE29</f>
        <v>3745847.617091123</v>
      </c>
      <c r="BG29" s="11">
        <f>BK5</f>
        <v>3745845.52</v>
      </c>
      <c r="BH29" s="4">
        <f t="shared" si="85"/>
        <v>2.097091122996062</v>
      </c>
      <c r="BI29" s="4"/>
      <c r="BK29" s="4"/>
    </row>
    <row r="30" spans="1:84" x14ac:dyDescent="0.3">
      <c r="A30" t="s">
        <v>18</v>
      </c>
      <c r="E30" s="118"/>
      <c r="F30" s="103">
        <v>140107</v>
      </c>
      <c r="G30" s="103">
        <v>140106</v>
      </c>
      <c r="H30" s="103">
        <v>815.59</v>
      </c>
      <c r="I30" s="104">
        <f t="shared" si="77"/>
        <v>281028.59000000003</v>
      </c>
      <c r="J30" s="4"/>
      <c r="K30" s="4"/>
      <c r="L30" s="103">
        <v>137506.75</v>
      </c>
      <c r="M30" s="103">
        <v>153894.57448222325</v>
      </c>
      <c r="N30" s="103">
        <v>153894.57448222325</v>
      </c>
      <c r="O30" s="103">
        <v>132160.73211231123</v>
      </c>
      <c r="P30" s="104">
        <f t="shared" si="78"/>
        <v>577456.6310767578</v>
      </c>
      <c r="Q30" s="4"/>
      <c r="R30" s="4"/>
      <c r="S30" s="103">
        <v>129831.02275</v>
      </c>
      <c r="T30" s="103">
        <v>135131.96861801157</v>
      </c>
      <c r="U30" s="103">
        <v>102223.3396935662</v>
      </c>
      <c r="V30" s="103">
        <v>102223.3396935662</v>
      </c>
      <c r="W30" s="104">
        <f t="shared" si="79"/>
        <v>469409.67075514398</v>
      </c>
      <c r="X30" s="4"/>
      <c r="Y30" s="4"/>
      <c r="Z30" s="103">
        <v>99350.799436451343</v>
      </c>
      <c r="AA30" s="103">
        <v>132253.41735902394</v>
      </c>
      <c r="AB30" s="103">
        <v>128022.27244446374</v>
      </c>
      <c r="AC30" s="103">
        <v>128022.27244446374</v>
      </c>
      <c r="AD30" s="104">
        <f t="shared" si="80"/>
        <v>487648.76168440277</v>
      </c>
      <c r="AE30" s="4"/>
      <c r="AF30" s="4"/>
      <c r="AG30" s="103">
        <v>125382.02244446374</v>
      </c>
      <c r="AH30" s="103">
        <v>113866.29634280701</v>
      </c>
      <c r="AI30" s="103">
        <v>113255.8214209369</v>
      </c>
      <c r="AJ30" s="103">
        <v>113294.43120368104</v>
      </c>
      <c r="AK30" s="104">
        <f t="shared" si="81"/>
        <v>465798.5714118887</v>
      </c>
      <c r="AL30" s="4"/>
      <c r="AM30" s="4"/>
      <c r="AN30" s="103">
        <v>113358.15414298378</v>
      </c>
      <c r="AO30" s="103">
        <v>100425.77000000002</v>
      </c>
      <c r="AP30" s="103">
        <v>102113.69620199146</v>
      </c>
      <c r="AQ30" s="103">
        <v>102966.56452927284</v>
      </c>
      <c r="AR30" s="104">
        <f t="shared" si="82"/>
        <v>418864.18487424811</v>
      </c>
      <c r="AS30" s="4"/>
      <c r="AT30" s="4"/>
      <c r="AU30" s="103">
        <v>102993.02725484915</v>
      </c>
      <c r="AV30" s="103">
        <v>173760.02180336666</v>
      </c>
      <c r="AW30" s="103">
        <v>159178.60769732168</v>
      </c>
      <c r="AX30" s="103">
        <v>154966.78470304771</v>
      </c>
      <c r="AY30" s="104">
        <f t="shared" si="83"/>
        <v>590898.44145858521</v>
      </c>
      <c r="AZ30" s="4"/>
      <c r="BA30" s="103">
        <v>155131.24559848569</v>
      </c>
      <c r="BB30" s="103">
        <v>219139.48729892983</v>
      </c>
      <c r="BC30" s="103">
        <v>209190.39416567102</v>
      </c>
      <c r="BD30" s="103">
        <v>209335.00575500441</v>
      </c>
      <c r="BE30" s="107">
        <f t="shared" si="84"/>
        <v>792796.13281809096</v>
      </c>
      <c r="BF30" s="28">
        <f t="shared" si="86"/>
        <v>4083900.9840791179</v>
      </c>
      <c r="BG30" s="11">
        <f>BK3</f>
        <v>4083901.0900000003</v>
      </c>
      <c r="BH30" s="4">
        <f t="shared" si="85"/>
        <v>-0.10592088242992759</v>
      </c>
      <c r="BI30" s="4"/>
      <c r="BK30" s="4"/>
    </row>
    <row r="31" spans="1:84" x14ac:dyDescent="0.3">
      <c r="A31" t="s">
        <v>21</v>
      </c>
      <c r="B31" s="1"/>
      <c r="E31" s="118"/>
      <c r="F31" s="103">
        <v>0</v>
      </c>
      <c r="G31" s="103">
        <v>36037</v>
      </c>
      <c r="H31" s="103">
        <v>14754</v>
      </c>
      <c r="I31" s="104">
        <f t="shared" si="77"/>
        <v>50791</v>
      </c>
      <c r="J31" s="4"/>
      <c r="K31" s="4"/>
      <c r="L31" s="103">
        <v>14938.5</v>
      </c>
      <c r="M31" s="103">
        <v>17193</v>
      </c>
      <c r="N31" s="103">
        <v>17193</v>
      </c>
      <c r="O31" s="103">
        <v>13916.01</v>
      </c>
      <c r="P31" s="104">
        <f t="shared" si="78"/>
        <v>63240.51</v>
      </c>
      <c r="Q31" s="4"/>
      <c r="R31" s="4"/>
      <c r="S31" s="103">
        <v>13917</v>
      </c>
      <c r="T31" s="103">
        <v>14644</v>
      </c>
      <c r="U31" s="103">
        <v>9686.01</v>
      </c>
      <c r="V31" s="103">
        <v>9686.01</v>
      </c>
      <c r="W31" s="104">
        <f t="shared" ref="W31" si="87">SUM(S31:V31)</f>
        <v>47933.020000000004</v>
      </c>
      <c r="X31" s="4"/>
      <c r="Y31" s="4"/>
      <c r="Z31" s="103">
        <v>9685</v>
      </c>
      <c r="AA31" s="103">
        <v>14659.137226004612</v>
      </c>
      <c r="AB31" s="103">
        <v>14022.132479950647</v>
      </c>
      <c r="AC31" s="103">
        <v>14022.132479950647</v>
      </c>
      <c r="AD31" s="104">
        <f t="shared" ref="AD31" si="88">SUM(Z31:AC31)</f>
        <v>52388.402185905907</v>
      </c>
      <c r="AE31" s="4"/>
      <c r="AF31" s="4"/>
      <c r="AG31" s="103">
        <v>14022.132479950647</v>
      </c>
      <c r="AH31" s="103">
        <v>12288.4239142691</v>
      </c>
      <c r="AI31" s="103">
        <v>12079.084112903874</v>
      </c>
      <c r="AJ31" s="103">
        <v>12042.977141317897</v>
      </c>
      <c r="AK31" s="104">
        <f t="shared" si="81"/>
        <v>50432.617648441519</v>
      </c>
      <c r="AL31" s="4"/>
      <c r="AM31" s="4"/>
      <c r="AN31" s="103">
        <v>11978.04000000011</v>
      </c>
      <c r="AO31" s="103">
        <v>10023.27</v>
      </c>
      <c r="AP31" s="103">
        <v>10257.57</v>
      </c>
      <c r="AQ31" s="103">
        <v>10367.58</v>
      </c>
      <c r="AR31" s="104">
        <f t="shared" si="82"/>
        <v>42626.460000000108</v>
      </c>
      <c r="AS31" s="4"/>
      <c r="AT31" s="4"/>
      <c r="AU31" s="103">
        <v>10335.36690813618</v>
      </c>
      <c r="AV31" s="103">
        <v>20863.575062582298</v>
      </c>
      <c r="AW31" s="103">
        <v>18605.719071912281</v>
      </c>
      <c r="AX31" s="103">
        <v>17905.575507803987</v>
      </c>
      <c r="AY31" s="104">
        <f t="shared" si="83"/>
        <v>67710.236550434754</v>
      </c>
      <c r="AZ31" s="4"/>
      <c r="BA31" s="103">
        <v>17832.315552324493</v>
      </c>
      <c r="BB31" s="103">
        <v>26992.556036765003</v>
      </c>
      <c r="BC31" s="103">
        <v>25429.322264421367</v>
      </c>
      <c r="BD31" s="103">
        <v>25378.552801810147</v>
      </c>
      <c r="BE31" s="107">
        <f t="shared" si="84"/>
        <v>95632.746655321011</v>
      </c>
      <c r="BF31" s="28">
        <f t="shared" si="86"/>
        <v>470754.99304010323</v>
      </c>
      <c r="BG31" s="11">
        <f>BK6</f>
        <v>470755.01</v>
      </c>
      <c r="BH31" s="4">
        <f t="shared" si="85"/>
        <v>-1.695989677682519E-2</v>
      </c>
      <c r="BI31" s="4"/>
      <c r="BK31" s="4"/>
    </row>
    <row r="32" spans="1:84" s="27" customFormat="1" ht="15" thickBot="1" x14ac:dyDescent="0.35">
      <c r="E32" s="119">
        <f>SUM(E27:E31)</f>
        <v>0</v>
      </c>
      <c r="F32" s="41">
        <f t="shared" ref="F32:AY32" si="89">SUM(F27:F31)</f>
        <v>341501</v>
      </c>
      <c r="G32" s="41">
        <f t="shared" si="89"/>
        <v>376523</v>
      </c>
      <c r="H32" s="41">
        <f t="shared" si="89"/>
        <v>249776.59</v>
      </c>
      <c r="I32" s="42">
        <f t="shared" si="89"/>
        <v>967800.59000000008</v>
      </c>
      <c r="J32" s="41"/>
      <c r="K32" s="41"/>
      <c r="L32" s="41">
        <f t="shared" si="89"/>
        <v>355202.25</v>
      </c>
      <c r="M32" s="41">
        <f t="shared" si="89"/>
        <v>401344.7498842075</v>
      </c>
      <c r="N32" s="41">
        <f t="shared" si="89"/>
        <v>401344.75988420751</v>
      </c>
      <c r="O32" s="41">
        <f t="shared" si="89"/>
        <v>339720.76022188552</v>
      </c>
      <c r="P32" s="42">
        <f t="shared" si="89"/>
        <v>1497612.5199903005</v>
      </c>
      <c r="Q32" s="41"/>
      <c r="R32" s="41"/>
      <c r="S32" s="41">
        <f t="shared" si="89"/>
        <v>337388.39275</v>
      </c>
      <c r="T32" s="41">
        <f t="shared" si="89"/>
        <v>352352.42081487388</v>
      </c>
      <c r="U32" s="41">
        <f t="shared" si="89"/>
        <v>259044.42562973744</v>
      </c>
      <c r="V32" s="41">
        <f t="shared" si="89"/>
        <v>259044.42562973744</v>
      </c>
      <c r="W32" s="42">
        <f t="shared" si="89"/>
        <v>1207829.6648243489</v>
      </c>
      <c r="X32" s="41"/>
      <c r="Y32" s="41"/>
      <c r="Z32" s="41">
        <f t="shared" si="89"/>
        <v>256171.49625625485</v>
      </c>
      <c r="AA32" s="41">
        <f t="shared" si="89"/>
        <v>349476.48890992726</v>
      </c>
      <c r="AB32" s="41">
        <f t="shared" si="89"/>
        <v>337480.5</v>
      </c>
      <c r="AC32" s="41">
        <f t="shared" si="89"/>
        <v>337480.5</v>
      </c>
      <c r="AD32" s="42">
        <f t="shared" si="89"/>
        <v>1280608.985166182</v>
      </c>
      <c r="AE32" s="41"/>
      <c r="AF32" s="41"/>
      <c r="AG32" s="41">
        <f t="shared" si="89"/>
        <v>334840.25</v>
      </c>
      <c r="AH32" s="41">
        <f t="shared" si="89"/>
        <v>302191.25491432624</v>
      </c>
      <c r="AI32" s="41">
        <f t="shared" si="89"/>
        <v>289524.25</v>
      </c>
      <c r="AJ32" s="41">
        <f t="shared" si="89"/>
        <v>289523.25</v>
      </c>
      <c r="AK32" s="42">
        <f t="shared" si="89"/>
        <v>1216079.0049143264</v>
      </c>
      <c r="AL32" s="41"/>
      <c r="AM32" s="41"/>
      <c r="AN32" s="41">
        <f t="shared" si="89"/>
        <v>289524.2633511349</v>
      </c>
      <c r="AO32" s="41">
        <f t="shared" si="89"/>
        <v>252635.23</v>
      </c>
      <c r="AP32" s="41">
        <f t="shared" si="89"/>
        <v>257400.23964896135</v>
      </c>
      <c r="AQ32" s="41">
        <f t="shared" si="89"/>
        <v>259783.25280981493</v>
      </c>
      <c r="AR32" s="42">
        <f t="shared" si="89"/>
        <v>1059342.9858099113</v>
      </c>
      <c r="AS32" s="41"/>
      <c r="AT32" s="41"/>
      <c r="AU32" s="41">
        <f t="shared" si="89"/>
        <v>259783.25000000006</v>
      </c>
      <c r="AV32" s="41">
        <f t="shared" si="89"/>
        <v>457727.25</v>
      </c>
      <c r="AW32" s="41">
        <f t="shared" si="89"/>
        <v>416603.25000000006</v>
      </c>
      <c r="AX32" s="41">
        <f t="shared" si="89"/>
        <v>404468.25000000006</v>
      </c>
      <c r="AY32" s="42">
        <f t="shared" si="89"/>
        <v>1538582.0000000002</v>
      </c>
      <c r="AZ32" s="41"/>
      <c r="BA32" s="41">
        <f t="shared" ref="BA32:BE32" si="90">SUM(BA27:BA31)</f>
        <v>404468.25000000012</v>
      </c>
      <c r="BB32" s="41">
        <f t="shared" si="90"/>
        <v>581282.25</v>
      </c>
      <c r="BC32" s="41">
        <f t="shared" si="90"/>
        <v>553069.24999999988</v>
      </c>
      <c r="BD32" s="41">
        <f t="shared" si="90"/>
        <v>553069.25</v>
      </c>
      <c r="BE32" s="42">
        <f t="shared" si="90"/>
        <v>2091889</v>
      </c>
      <c r="BF32" s="43">
        <f>SUM(BF27:BF31)</f>
        <v>10859744.750705071</v>
      </c>
      <c r="BG32" s="5">
        <f>SUM(BG27:BG31)</f>
        <v>10859742.310000001</v>
      </c>
      <c r="BH32" s="5">
        <f>SUM(BH27:BH31)</f>
        <v>2.4407050686422735</v>
      </c>
      <c r="BI32" s="4"/>
      <c r="BJ32" s="1"/>
      <c r="BK32" s="4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</row>
    <row r="33" spans="1:84" ht="15" thickTop="1" x14ac:dyDescent="0.3">
      <c r="B33" s="1"/>
    </row>
    <row r="34" spans="1:84" x14ac:dyDescent="0.3">
      <c r="A34" s="108" t="s">
        <v>69</v>
      </c>
      <c r="F34" s="4"/>
      <c r="G34" s="4"/>
      <c r="I34" s="23">
        <v>2016</v>
      </c>
      <c r="P34" s="23">
        <v>2017</v>
      </c>
      <c r="W34" s="23">
        <v>2018</v>
      </c>
      <c r="AD34" s="23">
        <v>2019</v>
      </c>
      <c r="AK34" s="23">
        <v>2020</v>
      </c>
      <c r="AR34" s="23">
        <v>2021</v>
      </c>
      <c r="AY34" s="23">
        <v>2022</v>
      </c>
      <c r="BE34" s="23">
        <v>2023</v>
      </c>
      <c r="BF34" s="28" t="s">
        <v>66</v>
      </c>
      <c r="BG34" s="101"/>
      <c r="BH34" t="s">
        <v>67</v>
      </c>
      <c r="BK34" s="4"/>
    </row>
    <row r="35" spans="1:84" x14ac:dyDescent="0.3">
      <c r="A35" t="s">
        <v>3</v>
      </c>
      <c r="E35" s="118">
        <v>0</v>
      </c>
      <c r="F35" s="103">
        <f t="shared" ref="F35:H35" si="91">F11-F18</f>
        <v>65159</v>
      </c>
      <c r="G35" s="103">
        <f t="shared" si="91"/>
        <v>65159</v>
      </c>
      <c r="H35" s="103">
        <f t="shared" si="91"/>
        <v>65143</v>
      </c>
      <c r="I35" s="104">
        <f>SUM(E35:H35)</f>
        <v>195461</v>
      </c>
      <c r="J35" s="4"/>
      <c r="K35" s="99"/>
      <c r="L35" s="103">
        <f>L11-L18</f>
        <v>65143</v>
      </c>
      <c r="M35" s="103">
        <f t="shared" ref="M35:O35" si="92">M11-M18</f>
        <v>72033.650115792523</v>
      </c>
      <c r="N35" s="103">
        <f t="shared" si="92"/>
        <v>72033.650115792523</v>
      </c>
      <c r="O35" s="103">
        <f t="shared" si="92"/>
        <v>62895.139778114477</v>
      </c>
      <c r="P35" s="104">
        <f>SUM(L35:O35)</f>
        <v>272105.44000969955</v>
      </c>
      <c r="Q35" s="4"/>
      <c r="R35" s="4"/>
      <c r="S35" s="103">
        <f>S11-S18</f>
        <v>62894.98000000001</v>
      </c>
      <c r="T35" s="103">
        <f t="shared" ref="T35:V35" si="93">T11-T18</f>
        <v>65123.891935126128</v>
      </c>
      <c r="U35" s="103">
        <f t="shared" si="93"/>
        <v>51286.677120262553</v>
      </c>
      <c r="V35" s="103">
        <f t="shared" si="93"/>
        <v>51286.677120262553</v>
      </c>
      <c r="W35" s="104">
        <f>SUM(S35:V35)</f>
        <v>230592.22617565125</v>
      </c>
      <c r="X35" s="4"/>
      <c r="Y35" s="4"/>
      <c r="Z35" s="103">
        <f>Z11-Z18</f>
        <v>51286.833743745141</v>
      </c>
      <c r="AA35" s="103">
        <f t="shared" ref="AA35:AC35" si="94">AA11-AA18</f>
        <v>65121.521090072783</v>
      </c>
      <c r="AB35" s="103">
        <f t="shared" si="94"/>
        <v>63342.435694871267</v>
      </c>
      <c r="AC35" s="103">
        <f t="shared" si="94"/>
        <v>63342.435694871267</v>
      </c>
      <c r="AD35" s="104">
        <f>SUM(Z35:AC35)</f>
        <v>243093.22622356046</v>
      </c>
      <c r="AE35" s="4"/>
      <c r="AF35" s="4"/>
      <c r="AG35" s="103">
        <f>AG11-AG18</f>
        <v>63342.435694871267</v>
      </c>
      <c r="AH35" s="103">
        <f t="shared" ref="AH35:AJ35" si="95">AH11-AH18</f>
        <v>58500.380000000005</v>
      </c>
      <c r="AI35" s="103">
        <f t="shared" si="95"/>
        <v>66598.715373896703</v>
      </c>
      <c r="AJ35" s="103">
        <f t="shared" si="95"/>
        <v>66693.496011148585</v>
      </c>
      <c r="AK35" s="104">
        <f>SUM(AG35:AJ35)</f>
        <v>255135.02707991656</v>
      </c>
      <c r="AL35" s="4"/>
      <c r="AM35" s="4"/>
      <c r="AN35" s="103">
        <f>AN11-AN18</f>
        <v>66716.943466186523</v>
      </c>
      <c r="AO35" s="103">
        <f t="shared" ref="AO35:AQ35" si="96">AO11-AO18</f>
        <v>60894.94</v>
      </c>
      <c r="AP35" s="103">
        <f t="shared" si="96"/>
        <v>61656.554652997642</v>
      </c>
      <c r="AQ35" s="103">
        <f t="shared" si="96"/>
        <v>62033.349734635471</v>
      </c>
      <c r="AR35" s="104">
        <f>SUM(AN35:AQ35)</f>
        <v>251301.78785381964</v>
      </c>
      <c r="AS35" s="4"/>
      <c r="AT35" s="4"/>
      <c r="AU35" s="103">
        <f>AU11-AU18</f>
        <v>62081.740117326</v>
      </c>
      <c r="AV35" s="103">
        <f t="shared" ref="AV35:AX35" si="97">AV11-AV18</f>
        <v>93710.067867985897</v>
      </c>
      <c r="AW35" s="103">
        <f t="shared" si="97"/>
        <v>87295.327847626468</v>
      </c>
      <c r="AX35" s="103">
        <f t="shared" si="97"/>
        <v>85430.964424216683</v>
      </c>
      <c r="AY35" s="104">
        <f>SUM(AU35:AX35)</f>
        <v>328518.10025715502</v>
      </c>
      <c r="AZ35" s="4"/>
      <c r="BA35" s="103">
        <f>BA11-BA18</f>
        <v>85493.937025345222</v>
      </c>
      <c r="BB35" s="103">
        <f t="shared" ref="BB35:BD35" si="98">BB11-BB18</f>
        <v>113723.46836133578</v>
      </c>
      <c r="BC35" s="103">
        <f t="shared" si="98"/>
        <v>109321.34649601375</v>
      </c>
      <c r="BD35" s="103">
        <f t="shared" si="98"/>
        <v>109399.92004863272</v>
      </c>
      <c r="BE35" s="104">
        <f>SUM(BA35:BD35)</f>
        <v>417938.6719313275</v>
      </c>
      <c r="BF35" s="28">
        <f>I35+P35+W35+AD35+AK35+AR35+AY35+BE35</f>
        <v>2194145.4795311298</v>
      </c>
      <c r="BG35" s="11">
        <f>BG27</f>
        <v>2222157.2800000003</v>
      </c>
      <c r="BH35" s="4">
        <f>BF35-BG35</f>
        <v>-28011.800468870439</v>
      </c>
      <c r="BI35" s="4"/>
      <c r="BK35" s="4"/>
    </row>
    <row r="36" spans="1:84" x14ac:dyDescent="0.3">
      <c r="A36" t="s">
        <v>1</v>
      </c>
      <c r="E36" s="118">
        <f t="shared" ref="E36:H36" si="99">E12-E19</f>
        <v>0</v>
      </c>
      <c r="F36" s="103">
        <f t="shared" si="99"/>
        <v>14725</v>
      </c>
      <c r="G36" s="103">
        <f t="shared" si="99"/>
        <v>14725</v>
      </c>
      <c r="H36" s="103">
        <f t="shared" si="99"/>
        <v>14704</v>
      </c>
      <c r="I36" s="104">
        <f t="shared" ref="I36:I39" si="100">SUM(E36:H36)</f>
        <v>44154</v>
      </c>
      <c r="J36" s="4"/>
      <c r="K36" s="4"/>
      <c r="L36" s="103">
        <f t="shared" ref="L36:O36" si="101">L12-L19</f>
        <v>14704</v>
      </c>
      <c r="M36" s="103">
        <f t="shared" si="101"/>
        <v>24140.183452196099</v>
      </c>
      <c r="N36" s="103">
        <f t="shared" si="101"/>
        <v>24140.183452196099</v>
      </c>
      <c r="O36" s="103">
        <f t="shared" si="101"/>
        <v>11625.738722447568</v>
      </c>
      <c r="P36" s="104">
        <f t="shared" ref="P36:P39" si="102">SUM(L36:O36)</f>
        <v>74610.105626839766</v>
      </c>
      <c r="Q36" s="4"/>
      <c r="R36" s="4"/>
      <c r="S36" s="103">
        <f t="shared" ref="S36:V36" si="103">S12-S19</f>
        <v>11625.51999999999</v>
      </c>
      <c r="T36" s="103">
        <f t="shared" si="103"/>
        <v>14677.833063276106</v>
      </c>
      <c r="U36" s="103">
        <f t="shared" si="103"/>
        <v>-4271.1043034967151</v>
      </c>
      <c r="V36" s="103">
        <f t="shared" si="103"/>
        <v>-4271.1043034967151</v>
      </c>
      <c r="W36" s="104">
        <f t="shared" ref="W36:W39" si="104">SUM(S36:V36)</f>
        <v>17761.144456282665</v>
      </c>
      <c r="X36" s="4"/>
      <c r="Y36" s="4"/>
      <c r="Z36" s="103">
        <f t="shared" ref="Z36:AC36" si="105">Z12-Z19</f>
        <v>-4270.8898204088036</v>
      </c>
      <c r="AA36" s="103">
        <f t="shared" si="105"/>
        <v>14674.586384300404</v>
      </c>
      <c r="AB36" s="103">
        <f t="shared" si="105"/>
        <v>12238.274006783409</v>
      </c>
      <c r="AC36" s="103">
        <f t="shared" si="105"/>
        <v>12238.274006783409</v>
      </c>
      <c r="AD36" s="104">
        <f t="shared" ref="AD36:AD39" si="106">SUM(Z36:AC36)</f>
        <v>34880.244577458419</v>
      </c>
      <c r="AE36" s="4"/>
      <c r="AF36" s="4"/>
      <c r="AG36" s="103">
        <f t="shared" ref="AG36:AJ36" si="107">AG12-AG19</f>
        <v>12238.274006783409</v>
      </c>
      <c r="AH36" s="103">
        <f t="shared" si="107"/>
        <v>5607.4668365973339</v>
      </c>
      <c r="AI36" s="103">
        <f t="shared" si="107"/>
        <v>-4853.2628010183398</v>
      </c>
      <c r="AJ36" s="103">
        <f t="shared" si="107"/>
        <v>-4964.2811406709952</v>
      </c>
      <c r="AK36" s="104">
        <f t="shared" ref="AK36:AK39" si="108">SUM(AG36:AJ36)</f>
        <v>8028.1969016914081</v>
      </c>
      <c r="AL36" s="4"/>
      <c r="AM36" s="4"/>
      <c r="AN36" s="103">
        <f t="shared" ref="AN36:AQ36" si="109">AN12-AN19</f>
        <v>-5157.4978733491153</v>
      </c>
      <c r="AO36" s="103">
        <f t="shared" si="109"/>
        <v>-13292.399999999994</v>
      </c>
      <c r="AP36" s="103">
        <f t="shared" si="109"/>
        <v>-12201.590144096903</v>
      </c>
      <c r="AQ36" s="103">
        <f t="shared" si="109"/>
        <v>-11705.126085419266</v>
      </c>
      <c r="AR36" s="104">
        <f t="shared" ref="AR36:AR39" si="110">SUM(AN36:AQ36)</f>
        <v>-42356.614102865278</v>
      </c>
      <c r="AS36" s="4"/>
      <c r="AT36" s="4"/>
      <c r="AU36" s="103">
        <f t="shared" ref="AU36:AX36" si="111">AU12-AU19</f>
        <v>-11761.925313487183</v>
      </c>
      <c r="AV36" s="103">
        <f t="shared" si="111"/>
        <v>26352.374671642814</v>
      </c>
      <c r="AW36" s="103">
        <f t="shared" si="111"/>
        <v>18227.59637528556</v>
      </c>
      <c r="AX36" s="103">
        <f t="shared" si="111"/>
        <v>15740.221454104641</v>
      </c>
      <c r="AY36" s="104">
        <f t="shared" ref="AY36:AY39" si="112">SUM(AU36:AX36)</f>
        <v>48558.267187545833</v>
      </c>
      <c r="AZ36" s="4"/>
      <c r="BA36" s="103">
        <f t="shared" ref="BA36:BD36" si="113">BA12-BA19</f>
        <v>15599.886053806549</v>
      </c>
      <c r="BB36" s="103">
        <f t="shared" si="113"/>
        <v>49076.737599462853</v>
      </c>
      <c r="BC36" s="103">
        <f t="shared" si="113"/>
        <v>43464.271391244372</v>
      </c>
      <c r="BD36" s="103">
        <f t="shared" si="113"/>
        <v>43307.438291297352</v>
      </c>
      <c r="BE36" s="104">
        <f t="shared" ref="BE36:BE39" si="114">SUM(BA36:BD36)</f>
        <v>151448.33333581113</v>
      </c>
      <c r="BF36" s="28">
        <f t="shared" ref="BF36:BF39" si="115">I36+P36+W36+AD36+AK36+AR36+AY36+BE36</f>
        <v>337083.67798276397</v>
      </c>
      <c r="BG36" s="11">
        <f t="shared" ref="BG36:BG39" si="116">BG28</f>
        <v>337083.41000000003</v>
      </c>
      <c r="BH36" s="4">
        <f t="shared" ref="BH36:BH39" si="117">BF36-BG36</f>
        <v>0.26798276393674314</v>
      </c>
      <c r="BI36" s="4"/>
      <c r="BJ36" s="102"/>
      <c r="BK36" s="4"/>
    </row>
    <row r="37" spans="1:84" x14ac:dyDescent="0.3">
      <c r="A37" t="s">
        <v>0</v>
      </c>
      <c r="E37" s="118">
        <f t="shared" ref="E37:H37" si="118">E13-E20</f>
        <v>0</v>
      </c>
      <c r="F37" s="103">
        <f t="shared" si="118"/>
        <v>122829</v>
      </c>
      <c r="G37" s="103">
        <f t="shared" si="118"/>
        <v>122829</v>
      </c>
      <c r="H37" s="103">
        <f t="shared" si="118"/>
        <v>122803</v>
      </c>
      <c r="I37" s="104">
        <f t="shared" si="100"/>
        <v>368461</v>
      </c>
      <c r="J37" s="4"/>
      <c r="K37" s="4"/>
      <c r="L37" s="103">
        <f t="shared" ref="L37:O37" si="119">L13-L20</f>
        <v>122803</v>
      </c>
      <c r="M37" s="103">
        <f t="shared" si="119"/>
        <v>134083.34194978816</v>
      </c>
      <c r="N37" s="103">
        <f t="shared" si="119"/>
        <v>134083.34194978816</v>
      </c>
      <c r="O37" s="103">
        <f t="shared" si="119"/>
        <v>119123.13938712672</v>
      </c>
      <c r="P37" s="104">
        <f t="shared" si="102"/>
        <v>510092.82328670303</v>
      </c>
      <c r="Q37" s="4"/>
      <c r="R37" s="4"/>
      <c r="S37" s="103">
        <f t="shared" ref="S37:V37" si="120">S13-S20</f>
        <v>119122.88</v>
      </c>
      <c r="T37" s="103">
        <f t="shared" si="120"/>
        <v>122771.71913358622</v>
      </c>
      <c r="U37" s="103">
        <f t="shared" si="120"/>
        <v>100119.50023966795</v>
      </c>
      <c r="V37" s="103">
        <f t="shared" si="120"/>
        <v>100119.50023966795</v>
      </c>
      <c r="W37" s="104">
        <f t="shared" si="104"/>
        <v>442133.59961292212</v>
      </c>
      <c r="X37" s="4"/>
      <c r="Y37" s="4"/>
      <c r="Z37" s="103">
        <f t="shared" ref="Z37:AC37" si="121">Z13-Z20</f>
        <v>100119.75664021232</v>
      </c>
      <c r="AA37" s="103">
        <f t="shared" si="121"/>
        <v>122767.83794059831</v>
      </c>
      <c r="AB37" s="103">
        <f t="shared" si="121"/>
        <v>119855.38537393091</v>
      </c>
      <c r="AC37" s="103">
        <f t="shared" si="121"/>
        <v>119855.38537393091</v>
      </c>
      <c r="AD37" s="104">
        <f t="shared" si="106"/>
        <v>462598.36532867246</v>
      </c>
      <c r="AE37" s="4"/>
      <c r="AF37" s="4"/>
      <c r="AG37" s="103">
        <f t="shared" ref="AG37:AJ37" si="122">AG13-AG20</f>
        <v>119855.38537393091</v>
      </c>
      <c r="AH37" s="103">
        <f t="shared" si="122"/>
        <v>111928.68782065285</v>
      </c>
      <c r="AI37" s="103">
        <f t="shared" si="122"/>
        <v>102443.89189328087</v>
      </c>
      <c r="AJ37" s="103">
        <f t="shared" si="122"/>
        <v>102456.62678452348</v>
      </c>
      <c r="AK37" s="104">
        <f t="shared" si="108"/>
        <v>436684.59187238815</v>
      </c>
      <c r="AL37" s="4"/>
      <c r="AM37" s="4"/>
      <c r="AN37" s="103">
        <f t="shared" ref="AN37:AQ37" si="123">AN13-AN20</f>
        <v>102628.62361531358</v>
      </c>
      <c r="AO37" s="103">
        <f t="shared" si="123"/>
        <v>94583.65</v>
      </c>
      <c r="AP37" s="103">
        <f t="shared" si="123"/>
        <v>95574.008938069135</v>
      </c>
      <c r="AQ37" s="103">
        <f t="shared" si="123"/>
        <v>96120.884631325898</v>
      </c>
      <c r="AR37" s="104">
        <f t="shared" si="110"/>
        <v>388907.16718470858</v>
      </c>
      <c r="AS37" s="4"/>
      <c r="AT37" s="4"/>
      <c r="AU37" s="103">
        <f t="shared" ref="AU37:AX37" si="124">AU13-AU20</f>
        <v>96135.041033175919</v>
      </c>
      <c r="AV37" s="103">
        <f t="shared" si="124"/>
        <v>143041.21059442236</v>
      </c>
      <c r="AW37" s="103">
        <f t="shared" si="124"/>
        <v>133295.99900785403</v>
      </c>
      <c r="AX37" s="103">
        <f t="shared" si="124"/>
        <v>130424.703910827</v>
      </c>
      <c r="AY37" s="104">
        <f t="shared" si="112"/>
        <v>502896.95454627933</v>
      </c>
      <c r="AZ37" s="4"/>
      <c r="BA37" s="103">
        <f t="shared" ref="BA37:BD37" si="125">BA13-BA20</f>
        <v>130410.8657700381</v>
      </c>
      <c r="BB37" s="103">
        <f t="shared" si="125"/>
        <v>172350.00070350658</v>
      </c>
      <c r="BC37" s="103">
        <f t="shared" si="125"/>
        <v>165663.91568264941</v>
      </c>
      <c r="BD37" s="103">
        <f t="shared" si="125"/>
        <v>165648.33310325537</v>
      </c>
      <c r="BE37" s="104">
        <f t="shared" si="114"/>
        <v>634073.11525944946</v>
      </c>
      <c r="BF37" s="28">
        <f t="shared" si="115"/>
        <v>3745847.617091123</v>
      </c>
      <c r="BG37" s="11">
        <f t="shared" si="116"/>
        <v>3745845.52</v>
      </c>
      <c r="BH37" s="4">
        <f t="shared" si="117"/>
        <v>2.097091122996062</v>
      </c>
      <c r="BI37" s="4"/>
      <c r="BK37" s="4"/>
    </row>
    <row r="38" spans="1:84" x14ac:dyDescent="0.3">
      <c r="A38" t="s">
        <v>18</v>
      </c>
      <c r="E38" s="118">
        <f t="shared" ref="E38:H38" si="126">E14-E21</f>
        <v>0</v>
      </c>
      <c r="F38" s="103">
        <f t="shared" si="126"/>
        <v>140107.25</v>
      </c>
      <c r="G38" s="103">
        <f t="shared" si="126"/>
        <v>140107.25</v>
      </c>
      <c r="H38" s="103">
        <f t="shared" si="126"/>
        <v>140107.25</v>
      </c>
      <c r="I38" s="104">
        <f t="shared" si="100"/>
        <v>420321.75</v>
      </c>
      <c r="J38" s="4"/>
      <c r="K38" s="4"/>
      <c r="L38" s="103">
        <f t="shared" ref="L38:O38" si="127">L14-L21</f>
        <v>137506.75</v>
      </c>
      <c r="M38" s="103">
        <f t="shared" si="127"/>
        <v>153894.57448222325</v>
      </c>
      <c r="N38" s="103">
        <f t="shared" si="127"/>
        <v>153894.57448222325</v>
      </c>
      <c r="O38" s="103">
        <f t="shared" si="127"/>
        <v>132160.73211231123</v>
      </c>
      <c r="P38" s="104">
        <f t="shared" si="102"/>
        <v>577456.6310767578</v>
      </c>
      <c r="Q38" s="4"/>
      <c r="R38" s="4"/>
      <c r="S38" s="103">
        <f t="shared" ref="S38:V38" si="128">S14-S21</f>
        <v>129572.10999999999</v>
      </c>
      <c r="T38" s="103">
        <f t="shared" si="128"/>
        <v>134873.05586801155</v>
      </c>
      <c r="U38" s="103">
        <f t="shared" si="128"/>
        <v>101964.42694356618</v>
      </c>
      <c r="V38" s="103">
        <f t="shared" si="128"/>
        <v>101964.42694356618</v>
      </c>
      <c r="W38" s="104">
        <f t="shared" si="104"/>
        <v>468374.01975514391</v>
      </c>
      <c r="X38" s="4"/>
      <c r="Y38" s="4"/>
      <c r="Z38" s="103">
        <f t="shared" ref="Z38:AC38" si="129">Z14-Z21</f>
        <v>99350.799436451343</v>
      </c>
      <c r="AA38" s="103">
        <f t="shared" si="129"/>
        <v>132253.41735902394</v>
      </c>
      <c r="AB38" s="103">
        <f t="shared" si="129"/>
        <v>128022.27244446374</v>
      </c>
      <c r="AC38" s="103">
        <f t="shared" si="129"/>
        <v>128022.27244446374</v>
      </c>
      <c r="AD38" s="104">
        <f t="shared" si="106"/>
        <v>487648.76168440277</v>
      </c>
      <c r="AE38" s="4"/>
      <c r="AF38" s="4"/>
      <c r="AG38" s="103">
        <f>AG14-AG21</f>
        <v>125382.02244446374</v>
      </c>
      <c r="AH38" s="103">
        <f t="shared" ref="AH38:AJ38" si="130">AH14-AH21</f>
        <v>113866.29634280701</v>
      </c>
      <c r="AI38" s="103">
        <f t="shared" si="130"/>
        <v>113255.8214209369</v>
      </c>
      <c r="AJ38" s="103">
        <f t="shared" si="130"/>
        <v>113294.43120368104</v>
      </c>
      <c r="AK38" s="104">
        <f t="shared" si="108"/>
        <v>465798.5714118887</v>
      </c>
      <c r="AL38" s="4"/>
      <c r="AM38" s="4"/>
      <c r="AN38" s="103">
        <f t="shared" ref="AN38:AQ38" si="131">AN14-AN21</f>
        <v>113358.15414298378</v>
      </c>
      <c r="AO38" s="103">
        <f t="shared" si="131"/>
        <v>100425.77000000002</v>
      </c>
      <c r="AP38" s="103">
        <f t="shared" si="131"/>
        <v>102113.69620199146</v>
      </c>
      <c r="AQ38" s="103">
        <f t="shared" si="131"/>
        <v>102966.56452927284</v>
      </c>
      <c r="AR38" s="104">
        <f t="shared" si="110"/>
        <v>418864.18487424811</v>
      </c>
      <c r="AS38" s="4"/>
      <c r="AT38" s="4"/>
      <c r="AU38" s="103">
        <f t="shared" ref="AU38:AX38" si="132">AU14-AU21</f>
        <v>102993.02725484915</v>
      </c>
      <c r="AV38" s="103">
        <f t="shared" si="132"/>
        <v>173760.02180336666</v>
      </c>
      <c r="AW38" s="103">
        <f t="shared" si="132"/>
        <v>159178.60769732168</v>
      </c>
      <c r="AX38" s="103">
        <f t="shared" si="132"/>
        <v>154966.78470304771</v>
      </c>
      <c r="AY38" s="104">
        <f t="shared" si="112"/>
        <v>590898.44145858521</v>
      </c>
      <c r="AZ38" s="4"/>
      <c r="BA38" s="103">
        <f t="shared" ref="BA38:BD38" si="133">BA14-BA21</f>
        <v>155131.24559848569</v>
      </c>
      <c r="BB38" s="103">
        <f t="shared" si="133"/>
        <v>219139.48729892983</v>
      </c>
      <c r="BC38" s="103">
        <f t="shared" si="133"/>
        <v>209190.39416567102</v>
      </c>
      <c r="BD38" s="103">
        <f t="shared" si="133"/>
        <v>209335.00575500441</v>
      </c>
      <c r="BE38" s="104">
        <f t="shared" si="114"/>
        <v>792796.13281809096</v>
      </c>
      <c r="BF38" s="28">
        <f t="shared" si="115"/>
        <v>4222158.4930791175</v>
      </c>
      <c r="BG38" s="11">
        <f t="shared" si="116"/>
        <v>4083901.0900000003</v>
      </c>
      <c r="BH38" s="4">
        <f t="shared" si="117"/>
        <v>138257.40307911718</v>
      </c>
      <c r="BI38" s="4"/>
      <c r="BK38" s="4"/>
    </row>
    <row r="39" spans="1:84" x14ac:dyDescent="0.3">
      <c r="A39" t="s">
        <v>21</v>
      </c>
      <c r="E39" s="118">
        <f t="shared" ref="E39:H39" si="134">E15-E22</f>
        <v>0</v>
      </c>
      <c r="F39" s="103">
        <f t="shared" si="134"/>
        <v>14760</v>
      </c>
      <c r="G39" s="103">
        <f t="shared" si="134"/>
        <v>14760</v>
      </c>
      <c r="H39" s="103">
        <f t="shared" si="134"/>
        <v>14754</v>
      </c>
      <c r="I39" s="104">
        <f t="shared" si="100"/>
        <v>44274</v>
      </c>
      <c r="J39" s="4"/>
      <c r="K39" s="4"/>
      <c r="L39" s="103">
        <f t="shared" ref="L39:O39" si="135">L15-L22</f>
        <v>14754</v>
      </c>
      <c r="M39" s="103">
        <f t="shared" si="135"/>
        <v>17193</v>
      </c>
      <c r="N39" s="103">
        <f t="shared" si="135"/>
        <v>17193</v>
      </c>
      <c r="O39" s="103">
        <f t="shared" si="135"/>
        <v>13916.010000000002</v>
      </c>
      <c r="P39" s="104">
        <f t="shared" si="102"/>
        <v>63056.01</v>
      </c>
      <c r="Q39" s="4"/>
      <c r="R39" s="4"/>
      <c r="S39" s="103">
        <f t="shared" ref="S39:V39" si="136">S15-S22</f>
        <v>13917</v>
      </c>
      <c r="T39" s="103">
        <f t="shared" si="136"/>
        <v>14644</v>
      </c>
      <c r="U39" s="103">
        <f t="shared" si="136"/>
        <v>9868</v>
      </c>
      <c r="V39" s="103">
        <f t="shared" si="136"/>
        <v>9868</v>
      </c>
      <c r="W39" s="104">
        <f t="shared" si="104"/>
        <v>48297</v>
      </c>
      <c r="X39" s="4"/>
      <c r="Y39" s="4"/>
      <c r="Z39" s="103">
        <f t="shared" ref="Z39:AC39" si="137">Z15-Z22</f>
        <v>9685</v>
      </c>
      <c r="AA39" s="103">
        <f t="shared" si="137"/>
        <v>14659.137226004612</v>
      </c>
      <c r="AB39" s="103">
        <f t="shared" si="137"/>
        <v>14022.132479950647</v>
      </c>
      <c r="AC39" s="103">
        <f t="shared" si="137"/>
        <v>14022.132479950647</v>
      </c>
      <c r="AD39" s="104">
        <f t="shared" si="106"/>
        <v>52388.402185905907</v>
      </c>
      <c r="AE39" s="4"/>
      <c r="AF39" s="4"/>
      <c r="AG39" s="103">
        <f>AG15-AG22</f>
        <v>14022.132479950647</v>
      </c>
      <c r="AH39" s="103">
        <f t="shared" ref="AH39:AJ39" si="138">AH15-AH22</f>
        <v>12288.4239142691</v>
      </c>
      <c r="AI39" s="103">
        <f t="shared" si="138"/>
        <v>12079.084112903874</v>
      </c>
      <c r="AJ39" s="103">
        <f t="shared" si="138"/>
        <v>12042.977141317897</v>
      </c>
      <c r="AK39" s="104">
        <f t="shared" si="108"/>
        <v>50432.617648441519</v>
      </c>
      <c r="AL39" s="4"/>
      <c r="AM39" s="4"/>
      <c r="AN39" s="103">
        <f t="shared" ref="AN39:AQ39" si="139">AN15-AN22</f>
        <v>11978.026648865212</v>
      </c>
      <c r="AO39" s="103">
        <f t="shared" si="139"/>
        <v>10023.279999999999</v>
      </c>
      <c r="AP39" s="103">
        <f t="shared" si="139"/>
        <v>10257.580351038574</v>
      </c>
      <c r="AQ39" s="103">
        <f t="shared" si="139"/>
        <v>10367.577190185097</v>
      </c>
      <c r="AR39" s="104">
        <f t="shared" si="110"/>
        <v>42626.464190088882</v>
      </c>
      <c r="AS39" s="4"/>
      <c r="AT39" s="4"/>
      <c r="AU39" s="103">
        <f t="shared" ref="AU39:AX39" si="140">AU15-AU22</f>
        <v>10335.36690813618</v>
      </c>
      <c r="AV39" s="103">
        <f t="shared" si="140"/>
        <v>20863.575062582298</v>
      </c>
      <c r="AW39" s="103">
        <f t="shared" si="140"/>
        <v>18605.719071912281</v>
      </c>
      <c r="AX39" s="103">
        <f t="shared" si="140"/>
        <v>17905.575507803987</v>
      </c>
      <c r="AY39" s="104">
        <f t="shared" si="112"/>
        <v>67710.236550434754</v>
      </c>
      <c r="AZ39" s="4"/>
      <c r="BA39" s="103">
        <f t="shared" ref="BA39:BD39" si="141">BA15-BA22</f>
        <v>17832.315552324493</v>
      </c>
      <c r="BB39" s="103">
        <f t="shared" si="141"/>
        <v>26992.556036765003</v>
      </c>
      <c r="BC39" s="103">
        <f t="shared" si="141"/>
        <v>25429.322264421367</v>
      </c>
      <c r="BD39" s="103">
        <f t="shared" si="141"/>
        <v>25378.552801810147</v>
      </c>
      <c r="BE39" s="104">
        <f t="shared" si="114"/>
        <v>95632.746655321011</v>
      </c>
      <c r="BF39" s="28">
        <f t="shared" si="115"/>
        <v>464417.47723019205</v>
      </c>
      <c r="BG39" s="11">
        <f t="shared" si="116"/>
        <v>470755.01</v>
      </c>
      <c r="BH39" s="4">
        <f t="shared" si="117"/>
        <v>-6337.5327698079636</v>
      </c>
      <c r="BI39" s="4"/>
      <c r="BK39" s="4"/>
    </row>
    <row r="40" spans="1:84" s="27" customFormat="1" ht="15" thickBot="1" x14ac:dyDescent="0.35">
      <c r="E40" s="119">
        <f>SUM(E35:E39)</f>
        <v>0</v>
      </c>
      <c r="F40" s="41">
        <f t="shared" ref="F40:I40" si="142">SUM(F35:F39)</f>
        <v>357580.25</v>
      </c>
      <c r="G40" s="41">
        <f t="shared" si="142"/>
        <v>357580.25</v>
      </c>
      <c r="H40" s="41">
        <f t="shared" si="142"/>
        <v>357511.25</v>
      </c>
      <c r="I40" s="42">
        <f t="shared" si="142"/>
        <v>1072671.75</v>
      </c>
      <c r="J40" s="41"/>
      <c r="K40" s="41"/>
      <c r="L40" s="41">
        <f t="shared" ref="L40:P40" si="143">SUM(L35:L39)</f>
        <v>354910.75</v>
      </c>
      <c r="M40" s="41">
        <f t="shared" si="143"/>
        <v>401344.75</v>
      </c>
      <c r="N40" s="41">
        <f t="shared" si="143"/>
        <v>401344.75</v>
      </c>
      <c r="O40" s="41">
        <f t="shared" si="143"/>
        <v>339720.76</v>
      </c>
      <c r="P40" s="42">
        <f t="shared" si="143"/>
        <v>1497321.0100000002</v>
      </c>
      <c r="Q40" s="41"/>
      <c r="R40" s="41"/>
      <c r="S40" s="41">
        <f t="shared" ref="S40:W40" si="144">SUM(S35:S39)</f>
        <v>337132.49</v>
      </c>
      <c r="T40" s="41">
        <f t="shared" si="144"/>
        <v>352090.5</v>
      </c>
      <c r="U40" s="41">
        <f t="shared" si="144"/>
        <v>258967.49999999997</v>
      </c>
      <c r="V40" s="41">
        <f t="shared" si="144"/>
        <v>258967.49999999997</v>
      </c>
      <c r="W40" s="42">
        <f t="shared" si="144"/>
        <v>1207157.99</v>
      </c>
      <c r="X40" s="41"/>
      <c r="Y40" s="41"/>
      <c r="Z40" s="41">
        <f t="shared" ref="Z40:AD40" si="145">SUM(Z35:Z39)</f>
        <v>256171.5</v>
      </c>
      <c r="AA40" s="41">
        <f t="shared" si="145"/>
        <v>349476.50000000006</v>
      </c>
      <c r="AB40" s="41">
        <f t="shared" si="145"/>
        <v>337480.5</v>
      </c>
      <c r="AC40" s="41">
        <f t="shared" si="145"/>
        <v>337480.5</v>
      </c>
      <c r="AD40" s="42">
        <f t="shared" si="145"/>
        <v>1280609</v>
      </c>
      <c r="AE40" s="41"/>
      <c r="AF40" s="41"/>
      <c r="AG40" s="41">
        <f t="shared" ref="AG40:AK40" si="146">SUM(AG35:AG39)</f>
        <v>334840.25</v>
      </c>
      <c r="AH40" s="41">
        <f t="shared" si="146"/>
        <v>302191.25491432624</v>
      </c>
      <c r="AI40" s="41">
        <f t="shared" si="146"/>
        <v>289524.25</v>
      </c>
      <c r="AJ40" s="41">
        <f t="shared" si="146"/>
        <v>289523.25</v>
      </c>
      <c r="AK40" s="42">
        <f t="shared" si="146"/>
        <v>1216079.0049143264</v>
      </c>
      <c r="AL40" s="41"/>
      <c r="AM40" s="41"/>
      <c r="AN40" s="41">
        <f t="shared" ref="AN40:AR40" si="147">SUM(AN35:AN39)</f>
        <v>289524.25</v>
      </c>
      <c r="AO40" s="41">
        <f t="shared" si="147"/>
        <v>252635.24000000002</v>
      </c>
      <c r="AP40" s="41">
        <f t="shared" si="147"/>
        <v>257400.24999999991</v>
      </c>
      <c r="AQ40" s="41">
        <f t="shared" si="147"/>
        <v>259783.25000000006</v>
      </c>
      <c r="AR40" s="42">
        <f t="shared" si="147"/>
        <v>1059342.99</v>
      </c>
      <c r="AS40" s="41"/>
      <c r="AT40" s="41"/>
      <c r="AU40" s="41">
        <f t="shared" ref="AU40:AY40" si="148">SUM(AU35:AU39)</f>
        <v>259783.25000000006</v>
      </c>
      <c r="AV40" s="41">
        <f t="shared" si="148"/>
        <v>457727.25</v>
      </c>
      <c r="AW40" s="41">
        <f t="shared" si="148"/>
        <v>416603.25000000006</v>
      </c>
      <c r="AX40" s="41">
        <f t="shared" si="148"/>
        <v>404468.25000000006</v>
      </c>
      <c r="AY40" s="42">
        <f t="shared" si="148"/>
        <v>1538582.0000000002</v>
      </c>
      <c r="AZ40" s="41"/>
      <c r="BA40" s="41">
        <f t="shared" ref="BA40:BE40" si="149">SUM(BA35:BA39)</f>
        <v>404468.25000000012</v>
      </c>
      <c r="BB40" s="41">
        <f t="shared" si="149"/>
        <v>581282.25</v>
      </c>
      <c r="BC40" s="41">
        <f t="shared" si="149"/>
        <v>553069.24999999988</v>
      </c>
      <c r="BD40" s="41">
        <f t="shared" si="149"/>
        <v>553069.25</v>
      </c>
      <c r="BE40" s="42">
        <f t="shared" si="149"/>
        <v>2091889</v>
      </c>
      <c r="BF40" s="43">
        <f>SUM(BF35:BF39)</f>
        <v>10963652.744914327</v>
      </c>
      <c r="BG40" s="5">
        <f>SUM(BG35:BG39)</f>
        <v>10859742.310000001</v>
      </c>
      <c r="BH40" s="5">
        <f>SUM(BH35:BH39)</f>
        <v>103910.43491432571</v>
      </c>
      <c r="BI40" s="4"/>
      <c r="BJ40" s="1"/>
      <c r="BK40" s="4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</row>
    <row r="41" spans="1:84" ht="15" thickTop="1" x14ac:dyDescent="0.3"/>
    <row r="42" spans="1:84" x14ac:dyDescent="0.3">
      <c r="A42" s="108" t="s">
        <v>4</v>
      </c>
      <c r="F42" s="4"/>
      <c r="G42" s="4"/>
      <c r="I42" s="23">
        <v>2016</v>
      </c>
      <c r="P42" s="23">
        <v>2017</v>
      </c>
      <c r="W42" s="23">
        <v>2018</v>
      </c>
      <c r="AD42" s="23">
        <v>2019</v>
      </c>
      <c r="AK42" s="23">
        <v>2020</v>
      </c>
      <c r="AR42" s="23">
        <v>2021</v>
      </c>
      <c r="AY42" s="23">
        <v>2022</v>
      </c>
      <c r="BE42" s="23">
        <v>2023</v>
      </c>
      <c r="BF42" s="28" t="s">
        <v>70</v>
      </c>
      <c r="BG42" s="101"/>
      <c r="BK42" s="4"/>
    </row>
    <row r="43" spans="1:84" x14ac:dyDescent="0.3">
      <c r="A43" t="s">
        <v>3</v>
      </c>
      <c r="E43" s="118">
        <f>E27-E35</f>
        <v>0</v>
      </c>
      <c r="F43" s="4">
        <f t="shared" ref="F43:H43" si="150">F27-F35</f>
        <v>-1319</v>
      </c>
      <c r="G43" s="4">
        <f t="shared" si="150"/>
        <v>-2333</v>
      </c>
      <c r="H43" s="4">
        <f t="shared" si="150"/>
        <v>31557</v>
      </c>
      <c r="I43" s="104">
        <f>SUM(E43:H43)</f>
        <v>27905</v>
      </c>
      <c r="J43" s="4"/>
      <c r="K43" s="99"/>
      <c r="L43" s="4">
        <f>L27-L35</f>
        <v>107</v>
      </c>
      <c r="M43" s="4">
        <f t="shared" ref="M43:O43" si="151">M27-M35</f>
        <v>-1.1579252895899117E-4</v>
      </c>
      <c r="N43" s="4">
        <f t="shared" si="151"/>
        <v>9.8842074803542346E-3</v>
      </c>
      <c r="O43" s="4">
        <f t="shared" si="151"/>
        <v>2.218855224782601E-4</v>
      </c>
      <c r="P43" s="104">
        <f>SUM(L43:O43)</f>
        <v>107.00999030047387</v>
      </c>
      <c r="Q43" s="4"/>
      <c r="R43" s="4"/>
      <c r="S43" s="4">
        <f>S27-S35</f>
        <v>-3.0100000000093132</v>
      </c>
      <c r="T43" s="4">
        <f t="shared" ref="T43:V43" si="152">T27-T35</f>
        <v>3.0080648738730815</v>
      </c>
      <c r="U43" s="4">
        <f t="shared" si="152"/>
        <v>2.8797374543501064E-3</v>
      </c>
      <c r="V43" s="4">
        <f t="shared" si="152"/>
        <v>2.8797374543501064E-3</v>
      </c>
      <c r="W43" s="104">
        <f>SUM(S43:V43)</f>
        <v>3.824348772468511E-3</v>
      </c>
      <c r="X43" s="4"/>
      <c r="Y43" s="4"/>
      <c r="Z43" s="4">
        <f>Z27-Z35</f>
        <v>-3.7437451392179355E-3</v>
      </c>
      <c r="AA43" s="4">
        <f t="shared" ref="AA43:AC43" si="153">AA27-AA35</f>
        <v>-1.1090072788647376E-2</v>
      </c>
      <c r="AB43" s="4">
        <f t="shared" si="153"/>
        <v>0</v>
      </c>
      <c r="AC43" s="4">
        <f t="shared" si="153"/>
        <v>0</v>
      </c>
      <c r="AD43" s="104">
        <f>SUM(Z43:AC43)</f>
        <v>-1.4833817927865312E-2</v>
      </c>
      <c r="AE43" s="4"/>
      <c r="AF43" s="4"/>
      <c r="AG43" s="4">
        <f>AG27-AG35</f>
        <v>0</v>
      </c>
      <c r="AH43" s="4">
        <f t="shared" ref="AH43:AJ43" si="154">AH27-AH35</f>
        <v>0</v>
      </c>
      <c r="AI43" s="4">
        <f t="shared" si="154"/>
        <v>0</v>
      </c>
      <c r="AJ43" s="4">
        <f t="shared" si="154"/>
        <v>0</v>
      </c>
      <c r="AK43" s="104">
        <f>SUM(AG43:AJ43)</f>
        <v>0</v>
      </c>
      <c r="AL43" s="4"/>
      <c r="AM43" s="4"/>
      <c r="AN43" s="4">
        <f>AN27-AN35</f>
        <v>0</v>
      </c>
      <c r="AO43" s="4">
        <f t="shared" ref="AO43:AQ43" si="155">AO27-AO35</f>
        <v>0</v>
      </c>
      <c r="AP43" s="4">
        <f t="shared" si="155"/>
        <v>0</v>
      </c>
      <c r="AQ43" s="4">
        <f t="shared" si="155"/>
        <v>0</v>
      </c>
      <c r="AR43" s="104">
        <f>SUM(AN43:AQ43)</f>
        <v>0</v>
      </c>
      <c r="AS43" s="4"/>
      <c r="AT43" s="4"/>
      <c r="AU43" s="4">
        <f>AU27-AU35</f>
        <v>0</v>
      </c>
      <c r="AV43" s="4">
        <f t="shared" ref="AV43:AX43" si="156">AV27-AV35</f>
        <v>0</v>
      </c>
      <c r="AW43" s="4">
        <f t="shared" si="156"/>
        <v>0</v>
      </c>
      <c r="AX43" s="4">
        <f t="shared" si="156"/>
        <v>0</v>
      </c>
      <c r="AY43" s="104">
        <f>SUM(AU43:AX43)</f>
        <v>0</v>
      </c>
      <c r="AZ43" s="4"/>
      <c r="BA43" s="4">
        <f>BA27-BA35</f>
        <v>0</v>
      </c>
      <c r="BB43" s="4">
        <f t="shared" ref="BB43:BD43" si="157">BB27-BB35</f>
        <v>0</v>
      </c>
      <c r="BC43" s="4">
        <f t="shared" si="157"/>
        <v>0</v>
      </c>
      <c r="BD43" s="4">
        <f t="shared" si="157"/>
        <v>0</v>
      </c>
      <c r="BE43" s="104">
        <f>SUM(BA43:BD43)</f>
        <v>0</v>
      </c>
      <c r="BF43" s="28">
        <f>I43+P43+W43+AD43+AK43+AR43+AY43+BE43</f>
        <v>28011.998980831318</v>
      </c>
      <c r="BG43" s="111"/>
      <c r="BH43" s="4"/>
      <c r="BI43" s="4"/>
      <c r="BK43" s="4"/>
    </row>
    <row r="44" spans="1:84" x14ac:dyDescent="0.3">
      <c r="A44" t="s">
        <v>1</v>
      </c>
      <c r="E44" s="118">
        <f t="shared" ref="E44:H47" si="158">E28-E36</f>
        <v>0</v>
      </c>
      <c r="F44" s="4">
        <f t="shared" si="158"/>
        <v>0</v>
      </c>
      <c r="G44" s="4">
        <f t="shared" si="158"/>
        <v>0</v>
      </c>
      <c r="H44" s="4">
        <f t="shared" si="158"/>
        <v>0</v>
      </c>
      <c r="I44" s="104">
        <f t="shared" ref="I44:I47" si="159">SUM(E44:H44)</f>
        <v>0</v>
      </c>
      <c r="J44" s="4"/>
      <c r="K44" s="4"/>
      <c r="L44" s="4">
        <f t="shared" ref="L44:O44" si="160">L28-L36</f>
        <v>0</v>
      </c>
      <c r="M44" s="4">
        <f t="shared" si="160"/>
        <v>0</v>
      </c>
      <c r="N44" s="4">
        <f t="shared" si="160"/>
        <v>0</v>
      </c>
      <c r="O44" s="4">
        <f t="shared" si="160"/>
        <v>0</v>
      </c>
      <c r="P44" s="104">
        <f t="shared" ref="P44:P47" si="161">SUM(L44:O44)</f>
        <v>0</v>
      </c>
      <c r="Q44" s="4"/>
      <c r="R44" s="4"/>
      <c r="S44" s="4">
        <f t="shared" ref="S44:V44" si="162">S28-S36</f>
        <v>0</v>
      </c>
      <c r="T44" s="4">
        <f t="shared" si="162"/>
        <v>0</v>
      </c>
      <c r="U44" s="4">
        <f t="shared" si="162"/>
        <v>0</v>
      </c>
      <c r="V44" s="4">
        <f t="shared" si="162"/>
        <v>0</v>
      </c>
      <c r="W44" s="104">
        <f t="shared" ref="W44:W47" si="163">SUM(S44:V44)</f>
        <v>0</v>
      </c>
      <c r="X44" s="4"/>
      <c r="Y44" s="4"/>
      <c r="Z44" s="4">
        <f t="shared" ref="Z44:AC44" si="164">Z28-Z36</f>
        <v>0</v>
      </c>
      <c r="AA44" s="4">
        <f t="shared" si="164"/>
        <v>0</v>
      </c>
      <c r="AB44" s="4">
        <f t="shared" si="164"/>
        <v>0</v>
      </c>
      <c r="AC44" s="4">
        <f t="shared" si="164"/>
        <v>0</v>
      </c>
      <c r="AD44" s="104">
        <f t="shared" ref="AD44:AD47" si="165">SUM(Z44:AC44)</f>
        <v>0</v>
      </c>
      <c r="AE44" s="4"/>
      <c r="AF44" s="4"/>
      <c r="AG44" s="4">
        <f t="shared" ref="AG44:AJ44" si="166">AG28-AG36</f>
        <v>0</v>
      </c>
      <c r="AH44" s="4">
        <f t="shared" si="166"/>
        <v>0</v>
      </c>
      <c r="AI44" s="4">
        <f t="shared" si="166"/>
        <v>0</v>
      </c>
      <c r="AJ44" s="4">
        <f t="shared" si="166"/>
        <v>0</v>
      </c>
      <c r="AK44" s="104">
        <f t="shared" ref="AK44:AK47" si="167">SUM(AG44:AJ44)</f>
        <v>0</v>
      </c>
      <c r="AL44" s="4"/>
      <c r="AM44" s="4"/>
      <c r="AN44" s="4">
        <f t="shared" ref="AN44:AQ44" si="168">AN28-AN36</f>
        <v>0</v>
      </c>
      <c r="AO44" s="4">
        <f t="shared" si="168"/>
        <v>0</v>
      </c>
      <c r="AP44" s="4">
        <f t="shared" si="168"/>
        <v>0</v>
      </c>
      <c r="AQ44" s="4">
        <f t="shared" si="168"/>
        <v>0</v>
      </c>
      <c r="AR44" s="104">
        <f t="shared" ref="AR44:AR47" si="169">SUM(AN44:AQ44)</f>
        <v>0</v>
      </c>
      <c r="AS44" s="4"/>
      <c r="AT44" s="4"/>
      <c r="AU44" s="4">
        <f t="shared" ref="AU44:AX44" si="170">AU28-AU36</f>
        <v>0</v>
      </c>
      <c r="AV44" s="4">
        <f t="shared" si="170"/>
        <v>0</v>
      </c>
      <c r="AW44" s="4">
        <f t="shared" si="170"/>
        <v>0</v>
      </c>
      <c r="AX44" s="4">
        <f t="shared" si="170"/>
        <v>0</v>
      </c>
      <c r="AY44" s="104">
        <f t="shared" ref="AY44:AY47" si="171">SUM(AU44:AX44)</f>
        <v>0</v>
      </c>
      <c r="AZ44" s="4"/>
      <c r="BA44" s="4">
        <f t="shared" ref="BA44:BD44" si="172">BA28-BA36</f>
        <v>0</v>
      </c>
      <c r="BB44" s="4">
        <f t="shared" si="172"/>
        <v>0</v>
      </c>
      <c r="BC44" s="4">
        <f t="shared" si="172"/>
        <v>0</v>
      </c>
      <c r="BD44" s="4">
        <f t="shared" si="172"/>
        <v>0</v>
      </c>
      <c r="BE44" s="104">
        <f t="shared" ref="BE44:BE47" si="173">SUM(BA44:BD44)</f>
        <v>0</v>
      </c>
      <c r="BF44" s="28">
        <f t="shared" ref="BF44:BF47" si="174">I44+P44+W44+AD44+AK44+AR44+AY44+BE44</f>
        <v>0</v>
      </c>
      <c r="BG44" s="111"/>
      <c r="BH44" s="4"/>
      <c r="BI44" s="4"/>
      <c r="BJ44" s="102"/>
      <c r="BK44" s="4"/>
    </row>
    <row r="45" spans="1:84" x14ac:dyDescent="0.3">
      <c r="A45" t="s">
        <v>0</v>
      </c>
      <c r="E45" s="118">
        <f t="shared" si="158"/>
        <v>0</v>
      </c>
      <c r="F45" s="4">
        <f t="shared" si="158"/>
        <v>0</v>
      </c>
      <c r="G45" s="4">
        <f t="shared" si="158"/>
        <v>0</v>
      </c>
      <c r="H45" s="4">
        <f t="shared" si="158"/>
        <v>0</v>
      </c>
      <c r="I45" s="104">
        <f t="shared" si="159"/>
        <v>0</v>
      </c>
      <c r="J45" s="4"/>
      <c r="K45" s="4"/>
      <c r="L45" s="4">
        <f t="shared" ref="L45:O45" si="175">L29-L37</f>
        <v>0</v>
      </c>
      <c r="M45" s="4">
        <f t="shared" si="175"/>
        <v>0</v>
      </c>
      <c r="N45" s="4">
        <f t="shared" si="175"/>
        <v>0</v>
      </c>
      <c r="O45" s="4">
        <f t="shared" si="175"/>
        <v>0</v>
      </c>
      <c r="P45" s="104">
        <f t="shared" si="161"/>
        <v>0</v>
      </c>
      <c r="Q45" s="4"/>
      <c r="R45" s="4"/>
      <c r="S45" s="4">
        <f t="shared" ref="S45:V45" si="176">S29-S37</f>
        <v>0</v>
      </c>
      <c r="T45" s="4">
        <f t="shared" si="176"/>
        <v>0</v>
      </c>
      <c r="U45" s="4">
        <f t="shared" si="176"/>
        <v>0</v>
      </c>
      <c r="V45" s="4">
        <f t="shared" si="176"/>
        <v>0</v>
      </c>
      <c r="W45" s="104">
        <f t="shared" si="163"/>
        <v>0</v>
      </c>
      <c r="X45" s="4"/>
      <c r="Y45" s="4"/>
      <c r="Z45" s="4">
        <f t="shared" ref="Z45:AC45" si="177">Z29-Z37</f>
        <v>0</v>
      </c>
      <c r="AA45" s="4">
        <f t="shared" si="177"/>
        <v>0</v>
      </c>
      <c r="AB45" s="4">
        <f t="shared" si="177"/>
        <v>0</v>
      </c>
      <c r="AC45" s="4">
        <f t="shared" si="177"/>
        <v>0</v>
      </c>
      <c r="AD45" s="104">
        <f t="shared" si="165"/>
        <v>0</v>
      </c>
      <c r="AE45" s="4"/>
      <c r="AF45" s="4"/>
      <c r="AG45" s="4">
        <f t="shared" ref="AG45:AJ45" si="178">AG29-AG37</f>
        <v>0</v>
      </c>
      <c r="AH45" s="4">
        <f t="shared" si="178"/>
        <v>0</v>
      </c>
      <c r="AI45" s="4">
        <f t="shared" si="178"/>
        <v>0</v>
      </c>
      <c r="AJ45" s="4">
        <f t="shared" si="178"/>
        <v>0</v>
      </c>
      <c r="AK45" s="104">
        <f t="shared" si="167"/>
        <v>0</v>
      </c>
      <c r="AL45" s="4"/>
      <c r="AM45" s="4"/>
      <c r="AN45" s="4">
        <f t="shared" ref="AN45:AQ45" si="179">AN29-AN37</f>
        <v>0</v>
      </c>
      <c r="AO45" s="4">
        <f t="shared" si="179"/>
        <v>0</v>
      </c>
      <c r="AP45" s="4">
        <f t="shared" si="179"/>
        <v>0</v>
      </c>
      <c r="AQ45" s="4">
        <f t="shared" si="179"/>
        <v>0</v>
      </c>
      <c r="AR45" s="104">
        <f t="shared" si="169"/>
        <v>0</v>
      </c>
      <c r="AS45" s="4"/>
      <c r="AT45" s="4"/>
      <c r="AU45" s="4">
        <f t="shared" ref="AU45:AX45" si="180">AU29-AU37</f>
        <v>0</v>
      </c>
      <c r="AV45" s="4">
        <f t="shared" si="180"/>
        <v>0</v>
      </c>
      <c r="AW45" s="4">
        <f t="shared" si="180"/>
        <v>0</v>
      </c>
      <c r="AX45" s="4">
        <f t="shared" si="180"/>
        <v>0</v>
      </c>
      <c r="AY45" s="104">
        <f t="shared" si="171"/>
        <v>0</v>
      </c>
      <c r="AZ45" s="4"/>
      <c r="BA45" s="4">
        <f t="shared" ref="BA45:BD45" si="181">BA29-BA37</f>
        <v>0</v>
      </c>
      <c r="BB45" s="4">
        <f t="shared" si="181"/>
        <v>0</v>
      </c>
      <c r="BC45" s="4">
        <f t="shared" si="181"/>
        <v>0</v>
      </c>
      <c r="BD45" s="4">
        <f t="shared" si="181"/>
        <v>0</v>
      </c>
      <c r="BE45" s="104">
        <f t="shared" si="173"/>
        <v>0</v>
      </c>
      <c r="BF45" s="28">
        <f t="shared" si="174"/>
        <v>0</v>
      </c>
      <c r="BG45" s="111"/>
      <c r="BH45" s="4"/>
      <c r="BI45" s="4"/>
      <c r="BK45" s="4"/>
    </row>
    <row r="46" spans="1:84" x14ac:dyDescent="0.3">
      <c r="A46" t="s">
        <v>18</v>
      </c>
      <c r="E46" s="118">
        <f t="shared" si="158"/>
        <v>0</v>
      </c>
      <c r="F46" s="4">
        <f t="shared" si="158"/>
        <v>-0.25</v>
      </c>
      <c r="G46" s="4">
        <f t="shared" si="158"/>
        <v>-1.25</v>
      </c>
      <c r="H46" s="4">
        <f t="shared" si="158"/>
        <v>-139291.66</v>
      </c>
      <c r="I46" s="104">
        <f t="shared" si="159"/>
        <v>-139293.16</v>
      </c>
      <c r="J46" s="4"/>
      <c r="K46" s="4"/>
      <c r="L46" s="4">
        <f t="shared" ref="L46:O46" si="182">L30-L38</f>
        <v>0</v>
      </c>
      <c r="M46" s="4">
        <f t="shared" si="182"/>
        <v>0</v>
      </c>
      <c r="N46" s="4">
        <f t="shared" si="182"/>
        <v>0</v>
      </c>
      <c r="O46" s="4">
        <f t="shared" si="182"/>
        <v>0</v>
      </c>
      <c r="P46" s="104">
        <f t="shared" si="161"/>
        <v>0</v>
      </c>
      <c r="Q46" s="4"/>
      <c r="R46" s="4"/>
      <c r="S46" s="4">
        <f t="shared" ref="S46:V46" si="183">S30-S38</f>
        <v>258.9127500000177</v>
      </c>
      <c r="T46" s="4">
        <f t="shared" si="183"/>
        <v>258.9127500000177</v>
      </c>
      <c r="U46" s="4">
        <f t="shared" si="183"/>
        <v>258.9127500000177</v>
      </c>
      <c r="V46" s="4">
        <f t="shared" si="183"/>
        <v>258.9127500000177</v>
      </c>
      <c r="W46" s="104">
        <f t="shared" si="163"/>
        <v>1035.6510000000708</v>
      </c>
      <c r="X46" s="4"/>
      <c r="Y46" s="4"/>
      <c r="Z46" s="4">
        <f t="shared" ref="Z46:AC46" si="184">Z30-Z38</f>
        <v>0</v>
      </c>
      <c r="AA46" s="4">
        <f t="shared" si="184"/>
        <v>0</v>
      </c>
      <c r="AB46" s="4">
        <f t="shared" si="184"/>
        <v>0</v>
      </c>
      <c r="AC46" s="4">
        <f t="shared" si="184"/>
        <v>0</v>
      </c>
      <c r="AD46" s="104">
        <f t="shared" si="165"/>
        <v>0</v>
      </c>
      <c r="AE46" s="4"/>
      <c r="AF46" s="4"/>
      <c r="AG46" s="4">
        <f t="shared" ref="AG46:AJ46" si="185">AG30-AG38</f>
        <v>0</v>
      </c>
      <c r="AH46" s="4">
        <f t="shared" si="185"/>
        <v>0</v>
      </c>
      <c r="AI46" s="4">
        <f t="shared" si="185"/>
        <v>0</v>
      </c>
      <c r="AJ46" s="4">
        <f t="shared" si="185"/>
        <v>0</v>
      </c>
      <c r="AK46" s="104">
        <f t="shared" si="167"/>
        <v>0</v>
      </c>
      <c r="AL46" s="4"/>
      <c r="AM46" s="4"/>
      <c r="AN46" s="4">
        <f t="shared" ref="AN46:AQ46" si="186">AN30-AN38</f>
        <v>0</v>
      </c>
      <c r="AO46" s="4">
        <f t="shared" si="186"/>
        <v>0</v>
      </c>
      <c r="AP46" s="4">
        <f t="shared" si="186"/>
        <v>0</v>
      </c>
      <c r="AQ46" s="4">
        <f t="shared" si="186"/>
        <v>0</v>
      </c>
      <c r="AR46" s="104">
        <f t="shared" si="169"/>
        <v>0</v>
      </c>
      <c r="AS46" s="4"/>
      <c r="AT46" s="4"/>
      <c r="AU46" s="4">
        <f t="shared" ref="AU46:AX46" si="187">AU30-AU38</f>
        <v>0</v>
      </c>
      <c r="AV46" s="4">
        <f t="shared" si="187"/>
        <v>0</v>
      </c>
      <c r="AW46" s="4">
        <f t="shared" si="187"/>
        <v>0</v>
      </c>
      <c r="AX46" s="4">
        <f t="shared" si="187"/>
        <v>0</v>
      </c>
      <c r="AY46" s="104">
        <f t="shared" si="171"/>
        <v>0</v>
      </c>
      <c r="AZ46" s="4"/>
      <c r="BA46" s="4">
        <f t="shared" ref="BA46:BD46" si="188">BA30-BA38</f>
        <v>0</v>
      </c>
      <c r="BB46" s="4">
        <f t="shared" si="188"/>
        <v>0</v>
      </c>
      <c r="BC46" s="4">
        <f t="shared" si="188"/>
        <v>0</v>
      </c>
      <c r="BD46" s="4">
        <f t="shared" si="188"/>
        <v>0</v>
      </c>
      <c r="BE46" s="104">
        <f t="shared" si="173"/>
        <v>0</v>
      </c>
      <c r="BF46" s="28">
        <f t="shared" si="174"/>
        <v>-138257.50899999993</v>
      </c>
      <c r="BG46" s="111"/>
      <c r="BH46" s="4"/>
      <c r="BI46" s="4"/>
      <c r="BK46" s="4"/>
    </row>
    <row r="47" spans="1:84" x14ac:dyDescent="0.3">
      <c r="A47" t="s">
        <v>21</v>
      </c>
      <c r="E47" s="118">
        <f t="shared" si="158"/>
        <v>0</v>
      </c>
      <c r="F47" s="4">
        <f t="shared" si="158"/>
        <v>-14760</v>
      </c>
      <c r="G47" s="4">
        <f t="shared" si="158"/>
        <v>21277</v>
      </c>
      <c r="H47" s="4">
        <f t="shared" si="158"/>
        <v>0</v>
      </c>
      <c r="I47" s="104">
        <f t="shared" si="159"/>
        <v>6517</v>
      </c>
      <c r="J47" s="4"/>
      <c r="K47" s="4"/>
      <c r="L47" s="4">
        <f>L31-L39</f>
        <v>184.5</v>
      </c>
      <c r="M47" s="4">
        <f t="shared" ref="M47:O47" si="189">M31-M39</f>
        <v>0</v>
      </c>
      <c r="N47" s="4">
        <f t="shared" si="189"/>
        <v>0</v>
      </c>
      <c r="O47" s="4">
        <f t="shared" si="189"/>
        <v>0</v>
      </c>
      <c r="P47" s="104">
        <f t="shared" si="161"/>
        <v>184.5</v>
      </c>
      <c r="Q47" s="4"/>
      <c r="R47" s="4"/>
      <c r="S47" s="4">
        <f t="shared" ref="S47:V47" si="190">S31-S39</f>
        <v>0</v>
      </c>
      <c r="T47" s="4">
        <f t="shared" si="190"/>
        <v>0</v>
      </c>
      <c r="U47" s="4">
        <f t="shared" si="190"/>
        <v>-181.98999999999978</v>
      </c>
      <c r="V47" s="4">
        <f t="shared" si="190"/>
        <v>-181.98999999999978</v>
      </c>
      <c r="W47" s="104">
        <f t="shared" si="163"/>
        <v>-363.97999999999956</v>
      </c>
      <c r="X47" s="4"/>
      <c r="Y47" s="4"/>
      <c r="Z47" s="4">
        <f t="shared" ref="Z47:AC47" si="191">Z31-Z39</f>
        <v>0</v>
      </c>
      <c r="AA47" s="4">
        <f t="shared" si="191"/>
        <v>0</v>
      </c>
      <c r="AB47" s="4">
        <f t="shared" si="191"/>
        <v>0</v>
      </c>
      <c r="AC47" s="4">
        <f t="shared" si="191"/>
        <v>0</v>
      </c>
      <c r="AD47" s="104">
        <f t="shared" si="165"/>
        <v>0</v>
      </c>
      <c r="AE47" s="4"/>
      <c r="AF47" s="4"/>
      <c r="AG47" s="4">
        <f t="shared" ref="AG47:AJ47" si="192">AG31-AG39</f>
        <v>0</v>
      </c>
      <c r="AH47" s="4">
        <f t="shared" si="192"/>
        <v>0</v>
      </c>
      <c r="AI47" s="4">
        <f t="shared" si="192"/>
        <v>0</v>
      </c>
      <c r="AJ47" s="4">
        <f t="shared" si="192"/>
        <v>0</v>
      </c>
      <c r="AK47" s="104">
        <f t="shared" si="167"/>
        <v>0</v>
      </c>
      <c r="AL47" s="4"/>
      <c r="AM47" s="4"/>
      <c r="AN47" s="4">
        <f t="shared" ref="AN47:AQ47" si="193">AN31-AN39</f>
        <v>1.3351134897675365E-2</v>
      </c>
      <c r="AO47" s="4">
        <f t="shared" si="193"/>
        <v>-9.9999999983992893E-3</v>
      </c>
      <c r="AP47" s="4">
        <f t="shared" si="193"/>
        <v>-1.0351038574299309E-2</v>
      </c>
      <c r="AQ47" s="4">
        <f t="shared" si="193"/>
        <v>2.8098149032302899E-3</v>
      </c>
      <c r="AR47" s="104">
        <f t="shared" si="169"/>
        <v>-4.1900887717929436E-3</v>
      </c>
      <c r="AS47" s="4"/>
      <c r="AT47" s="4"/>
      <c r="AU47" s="4">
        <f t="shared" ref="AU47:AX47" si="194">AU31-AU39</f>
        <v>0</v>
      </c>
      <c r="AV47" s="4">
        <f t="shared" si="194"/>
        <v>0</v>
      </c>
      <c r="AW47" s="4">
        <f t="shared" si="194"/>
        <v>0</v>
      </c>
      <c r="AX47" s="4">
        <f t="shared" si="194"/>
        <v>0</v>
      </c>
      <c r="AY47" s="104">
        <f t="shared" si="171"/>
        <v>0</v>
      </c>
      <c r="AZ47" s="4"/>
      <c r="BA47" s="4">
        <f t="shared" ref="BA47:BD47" si="195">BA31-BA39</f>
        <v>0</v>
      </c>
      <c r="BB47" s="4">
        <f t="shared" si="195"/>
        <v>0</v>
      </c>
      <c r="BC47" s="4">
        <f t="shared" si="195"/>
        <v>0</v>
      </c>
      <c r="BD47" s="4">
        <f t="shared" si="195"/>
        <v>0</v>
      </c>
      <c r="BE47" s="104">
        <f t="shared" si="173"/>
        <v>0</v>
      </c>
      <c r="BF47" s="28">
        <f t="shared" si="174"/>
        <v>6337.5158099112286</v>
      </c>
      <c r="BG47" s="111"/>
      <c r="BH47" s="4"/>
      <c r="BI47" s="4"/>
      <c r="BK47" s="4"/>
    </row>
    <row r="48" spans="1:84" s="27" customFormat="1" ht="15" thickBot="1" x14ac:dyDescent="0.35">
      <c r="E48" s="119">
        <f>SUM(E43:E47)</f>
        <v>0</v>
      </c>
      <c r="F48" s="41">
        <f t="shared" ref="F48:I48" si="196">SUM(F43:F47)</f>
        <v>-16079.25</v>
      </c>
      <c r="G48" s="41">
        <f t="shared" si="196"/>
        <v>18942.75</v>
      </c>
      <c r="H48" s="41">
        <f t="shared" si="196"/>
        <v>-107734.66</v>
      </c>
      <c r="I48" s="42">
        <f t="shared" si="196"/>
        <v>-104871.16</v>
      </c>
      <c r="J48" s="41"/>
      <c r="K48" s="41"/>
      <c r="L48" s="41">
        <f t="shared" ref="L48:P48" si="197">SUM(L43:L47)</f>
        <v>291.5</v>
      </c>
      <c r="M48" s="41">
        <f t="shared" si="197"/>
        <v>-1.1579252895899117E-4</v>
      </c>
      <c r="N48" s="41">
        <f t="shared" si="197"/>
        <v>9.8842074803542346E-3</v>
      </c>
      <c r="O48" s="41">
        <f t="shared" si="197"/>
        <v>2.218855224782601E-4</v>
      </c>
      <c r="P48" s="42">
        <f t="shared" si="197"/>
        <v>291.50999030047387</v>
      </c>
      <c r="Q48" s="41"/>
      <c r="R48" s="41"/>
      <c r="S48" s="41">
        <f t="shared" ref="S48:W48" si="198">SUM(S43:S47)</f>
        <v>255.90275000000838</v>
      </c>
      <c r="T48" s="41">
        <f t="shared" si="198"/>
        <v>261.92081487389078</v>
      </c>
      <c r="U48" s="41">
        <f t="shared" si="198"/>
        <v>76.925629737472264</v>
      </c>
      <c r="V48" s="41">
        <f t="shared" si="198"/>
        <v>76.925629737472264</v>
      </c>
      <c r="W48" s="42">
        <f t="shared" si="198"/>
        <v>671.67482434884369</v>
      </c>
      <c r="X48" s="41"/>
      <c r="Y48" s="41"/>
      <c r="Z48" s="41">
        <f t="shared" ref="Z48:AD48" si="199">SUM(Z43:Z47)</f>
        <v>-3.7437451392179355E-3</v>
      </c>
      <c r="AA48" s="41">
        <f t="shared" si="199"/>
        <v>-1.1090072788647376E-2</v>
      </c>
      <c r="AB48" s="41">
        <f t="shared" si="199"/>
        <v>0</v>
      </c>
      <c r="AC48" s="41">
        <f t="shared" si="199"/>
        <v>0</v>
      </c>
      <c r="AD48" s="42">
        <f t="shared" si="199"/>
        <v>-1.4833817927865312E-2</v>
      </c>
      <c r="AE48" s="41"/>
      <c r="AF48" s="41"/>
      <c r="AG48" s="41">
        <f t="shared" ref="AG48:AK48" si="200">SUM(AG43:AG47)</f>
        <v>0</v>
      </c>
      <c r="AH48" s="41">
        <f t="shared" si="200"/>
        <v>0</v>
      </c>
      <c r="AI48" s="41">
        <f t="shared" si="200"/>
        <v>0</v>
      </c>
      <c r="AJ48" s="41">
        <f t="shared" si="200"/>
        <v>0</v>
      </c>
      <c r="AK48" s="42">
        <f t="shared" si="200"/>
        <v>0</v>
      </c>
      <c r="AL48" s="41"/>
      <c r="AM48" s="41"/>
      <c r="AN48" s="41">
        <f t="shared" ref="AN48:AR48" si="201">SUM(AN43:AN47)</f>
        <v>1.3351134897675365E-2</v>
      </c>
      <c r="AO48" s="41">
        <f t="shared" si="201"/>
        <v>-9.9999999983992893E-3</v>
      </c>
      <c r="AP48" s="41">
        <f t="shared" si="201"/>
        <v>-1.0351038574299309E-2</v>
      </c>
      <c r="AQ48" s="41">
        <f t="shared" si="201"/>
        <v>2.8098149032302899E-3</v>
      </c>
      <c r="AR48" s="42">
        <f t="shared" si="201"/>
        <v>-4.1900887717929436E-3</v>
      </c>
      <c r="AS48" s="41"/>
      <c r="AT48" s="41"/>
      <c r="AU48" s="41">
        <f t="shared" ref="AU48:AY48" si="202">SUM(AU43:AU47)</f>
        <v>0</v>
      </c>
      <c r="AV48" s="41">
        <f t="shared" si="202"/>
        <v>0</v>
      </c>
      <c r="AW48" s="41">
        <f t="shared" si="202"/>
        <v>0</v>
      </c>
      <c r="AX48" s="41">
        <f t="shared" si="202"/>
        <v>0</v>
      </c>
      <c r="AY48" s="42">
        <f t="shared" si="202"/>
        <v>0</v>
      </c>
      <c r="AZ48" s="41"/>
      <c r="BA48" s="41">
        <f t="shared" ref="BA48:BE48" si="203">SUM(BA43:BA47)</f>
        <v>0</v>
      </c>
      <c r="BB48" s="41">
        <f t="shared" si="203"/>
        <v>0</v>
      </c>
      <c r="BC48" s="41">
        <f t="shared" si="203"/>
        <v>0</v>
      </c>
      <c r="BD48" s="41">
        <f t="shared" si="203"/>
        <v>0</v>
      </c>
      <c r="BE48" s="42">
        <f t="shared" si="203"/>
        <v>0</v>
      </c>
      <c r="BF48" s="43">
        <f>SUM(BF43:BF47)</f>
        <v>-103907.99420925738</v>
      </c>
      <c r="BG48" s="15"/>
      <c r="BH48" s="15"/>
      <c r="BI48" s="4"/>
      <c r="BJ48" s="1"/>
      <c r="BK48" s="4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</row>
    <row r="49" spans="5:5" ht="15" thickTop="1" x14ac:dyDescent="0.3"/>
    <row r="50" spans="5:5" x14ac:dyDescent="0.3">
      <c r="E50" s="118">
        <f>E11-E23</f>
        <v>27905</v>
      </c>
    </row>
    <row r="51" spans="5:5" ht="13.5" customHeight="1" x14ac:dyDescent="0.3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E2681-64DF-4209-B94A-EF5CA14D9241}">
  <sheetPr>
    <tabColor rgb="FF60FCFC"/>
  </sheetPr>
  <dimension ref="A1:G51"/>
  <sheetViews>
    <sheetView tabSelected="1" zoomScaleNormal="100" workbookViewId="0">
      <pane ySplit="5" topLeftCell="A6" activePane="bottomLeft" state="frozen"/>
      <selection pane="bottomLeft"/>
    </sheetView>
  </sheetViews>
  <sheetFormatPr defaultColWidth="8.77734375" defaultRowHeight="13.8" x14ac:dyDescent="0.25"/>
  <cols>
    <col min="1" max="1" width="23.21875" style="125" bestFit="1" customWidth="1"/>
    <col min="2" max="2" width="32.6640625" style="125" bestFit="1" customWidth="1"/>
    <col min="3" max="3" width="17.88671875" style="131" bestFit="1" customWidth="1"/>
    <col min="4" max="4" width="17" style="131" bestFit="1" customWidth="1"/>
    <col min="5" max="5" width="13.5546875" style="125" bestFit="1" customWidth="1"/>
    <col min="6" max="6" width="39.21875" style="125" bestFit="1" customWidth="1"/>
    <col min="7" max="7" width="11.5546875" style="125" bestFit="1" customWidth="1"/>
    <col min="8" max="16384" width="8.77734375" style="125"/>
  </cols>
  <sheetData>
    <row r="1" spans="1:6" s="120" customFormat="1" x14ac:dyDescent="0.25">
      <c r="A1" s="120" t="s">
        <v>8</v>
      </c>
      <c r="C1" s="121"/>
      <c r="D1" s="121"/>
    </row>
    <row r="2" spans="1:6" s="120" customFormat="1" x14ac:dyDescent="0.25">
      <c r="C2" s="121"/>
      <c r="D2" s="121"/>
    </row>
    <row r="3" spans="1:6" s="120" customFormat="1" x14ac:dyDescent="0.25">
      <c r="B3" s="122"/>
      <c r="D3" s="121"/>
    </row>
    <row r="4" spans="1:6" s="120" customFormat="1" x14ac:dyDescent="0.25">
      <c r="B4" s="123"/>
      <c r="C4" s="123"/>
      <c r="D4" s="121"/>
      <c r="F4" s="124"/>
    </row>
    <row r="5" spans="1:6" s="120" customFormat="1" x14ac:dyDescent="0.25">
      <c r="B5" s="120" t="s">
        <v>107</v>
      </c>
      <c r="C5" s="121" t="s">
        <v>109</v>
      </c>
      <c r="D5" s="121" t="s">
        <v>106</v>
      </c>
      <c r="E5" s="120" t="s">
        <v>108</v>
      </c>
      <c r="F5" s="120" t="s">
        <v>119</v>
      </c>
    </row>
    <row r="6" spans="1:6" x14ac:dyDescent="0.25">
      <c r="A6" s="125" t="s">
        <v>74</v>
      </c>
      <c r="B6" s="126">
        <v>101500</v>
      </c>
      <c r="C6" s="127">
        <v>166659</v>
      </c>
      <c r="D6" s="127"/>
      <c r="E6" s="126">
        <f t="shared" ref="E6:E48" si="0">C6-B6</f>
        <v>65159</v>
      </c>
    </row>
    <row r="7" spans="1:6" x14ac:dyDescent="0.25">
      <c r="A7" s="125" t="s">
        <v>76</v>
      </c>
      <c r="B7" s="126">
        <v>101500</v>
      </c>
      <c r="C7" s="127">
        <v>166659</v>
      </c>
      <c r="D7" s="127"/>
      <c r="E7" s="126">
        <f t="shared" si="0"/>
        <v>65159</v>
      </c>
    </row>
    <row r="8" spans="1:6" x14ac:dyDescent="0.25">
      <c r="A8" s="125" t="s">
        <v>77</v>
      </c>
      <c r="B8" s="126">
        <v>101500</v>
      </c>
      <c r="C8" s="127">
        <v>166643</v>
      </c>
      <c r="D8" s="127"/>
      <c r="E8" s="126">
        <f t="shared" si="0"/>
        <v>65143</v>
      </c>
      <c r="F8" s="128"/>
    </row>
    <row r="9" spans="1:6" x14ac:dyDescent="0.25">
      <c r="A9" s="125" t="s">
        <v>71</v>
      </c>
      <c r="B9" s="126">
        <v>101500</v>
      </c>
      <c r="C9" s="127">
        <v>166643</v>
      </c>
      <c r="D9" s="127">
        <v>1063972</v>
      </c>
      <c r="E9" s="126">
        <f t="shared" si="0"/>
        <v>65143</v>
      </c>
      <c r="F9" s="129">
        <v>0.15662348257284966</v>
      </c>
    </row>
    <row r="10" spans="1:6" x14ac:dyDescent="0.25">
      <c r="A10" s="125" t="s">
        <v>75</v>
      </c>
      <c r="B10" s="126">
        <v>101500</v>
      </c>
      <c r="C10" s="127">
        <v>173533.64843909696</v>
      </c>
      <c r="D10" s="127">
        <v>1107967</v>
      </c>
      <c r="E10" s="126">
        <f t="shared" si="0"/>
        <v>72033.648439096956</v>
      </c>
      <c r="F10" s="129">
        <v>0.15662348105954144</v>
      </c>
    </row>
    <row r="11" spans="1:6" x14ac:dyDescent="0.25">
      <c r="A11" s="125" t="s">
        <v>78</v>
      </c>
      <c r="B11" s="126">
        <v>101500</v>
      </c>
      <c r="C11" s="127">
        <v>173533.64843909696</v>
      </c>
      <c r="D11" s="127">
        <v>1107967</v>
      </c>
      <c r="E11" s="126">
        <f t="shared" si="0"/>
        <v>72033.648439096956</v>
      </c>
      <c r="F11" s="129">
        <v>0.15662348105954144</v>
      </c>
    </row>
    <row r="12" spans="1:6" x14ac:dyDescent="0.25">
      <c r="A12" s="125" t="s">
        <v>79</v>
      </c>
      <c r="B12" s="126">
        <v>101500</v>
      </c>
      <c r="C12" s="127">
        <v>164395.13818971589</v>
      </c>
      <c r="D12" s="127">
        <v>1049620</v>
      </c>
      <c r="E12" s="126">
        <f t="shared" si="0"/>
        <v>62895.138189715886</v>
      </c>
      <c r="F12" s="129">
        <v>0.15662348105954144</v>
      </c>
    </row>
    <row r="13" spans="1:6" x14ac:dyDescent="0.25">
      <c r="A13" s="125" t="s">
        <v>72</v>
      </c>
      <c r="B13" s="126">
        <v>101500</v>
      </c>
      <c r="C13" s="127">
        <v>164394.98156623481</v>
      </c>
      <c r="D13" s="127">
        <v>1049619</v>
      </c>
      <c r="E13" s="126">
        <f t="shared" si="0"/>
        <v>62894.981566234812</v>
      </c>
      <c r="F13" s="129">
        <v>0.15662348105954144</v>
      </c>
    </row>
    <row r="14" spans="1:6" x14ac:dyDescent="0.25">
      <c r="A14" s="125" t="s">
        <v>80</v>
      </c>
      <c r="B14" s="126">
        <v>101500</v>
      </c>
      <c r="C14" s="127">
        <v>166623.89193512613</v>
      </c>
      <c r="D14" s="127">
        <v>1063850</v>
      </c>
      <c r="E14" s="126">
        <f t="shared" si="0"/>
        <v>65123.891935126128</v>
      </c>
      <c r="F14" s="129">
        <v>0.15662348257284966</v>
      </c>
    </row>
    <row r="15" spans="1:6" x14ac:dyDescent="0.25">
      <c r="A15" s="125" t="s">
        <v>81</v>
      </c>
      <c r="B15" s="126">
        <v>101500</v>
      </c>
      <c r="C15" s="127">
        <v>152786.67712026255</v>
      </c>
      <c r="D15" s="127">
        <v>975503</v>
      </c>
      <c r="E15" s="126">
        <f t="shared" si="0"/>
        <v>51286.677120262553</v>
      </c>
      <c r="F15" s="129">
        <v>0.15662348257284966</v>
      </c>
    </row>
    <row r="16" spans="1:6" x14ac:dyDescent="0.25">
      <c r="A16" s="125" t="s">
        <v>82</v>
      </c>
      <c r="B16" s="126">
        <v>101500</v>
      </c>
      <c r="C16" s="127">
        <v>152786.67712026255</v>
      </c>
      <c r="D16" s="127">
        <v>975503</v>
      </c>
      <c r="E16" s="126">
        <f t="shared" si="0"/>
        <v>51286.677120262553</v>
      </c>
      <c r="F16" s="129">
        <v>0.15662348257284966</v>
      </c>
    </row>
    <row r="17" spans="1:7" x14ac:dyDescent="0.25">
      <c r="A17" s="125" t="s">
        <v>73</v>
      </c>
      <c r="B17" s="126">
        <v>101500</v>
      </c>
      <c r="C17" s="127">
        <v>152786.83374374514</v>
      </c>
      <c r="D17" s="127">
        <v>1030189</v>
      </c>
      <c r="E17" s="126">
        <f t="shared" si="0"/>
        <v>51286.833743745141</v>
      </c>
      <c r="F17" s="129">
        <v>0.14830951771349252</v>
      </c>
    </row>
    <row r="18" spans="1:7" x14ac:dyDescent="0.25">
      <c r="A18" s="125" t="s">
        <v>83</v>
      </c>
      <c r="B18" s="126">
        <v>101500</v>
      </c>
      <c r="C18" s="127">
        <v>166621.52109007278</v>
      </c>
      <c r="D18" s="127">
        <v>1123494</v>
      </c>
      <c r="E18" s="126">
        <f t="shared" si="0"/>
        <v>65121.521090072783</v>
      </c>
      <c r="F18" s="129">
        <v>0.14830655178405294</v>
      </c>
    </row>
    <row r="19" spans="1:7" x14ac:dyDescent="0.25">
      <c r="A19" s="125" t="s">
        <v>84</v>
      </c>
      <c r="B19" s="126">
        <v>101500</v>
      </c>
      <c r="C19" s="127">
        <v>164842.43569487127</v>
      </c>
      <c r="D19" s="127">
        <v>1111498</v>
      </c>
      <c r="E19" s="126">
        <f t="shared" si="0"/>
        <v>63342.435694871267</v>
      </c>
      <c r="F19" s="129">
        <v>0.14830655178405294</v>
      </c>
    </row>
    <row r="20" spans="1:7" x14ac:dyDescent="0.25">
      <c r="A20" s="125" t="s">
        <v>85</v>
      </c>
      <c r="B20" s="126">
        <v>101500</v>
      </c>
      <c r="C20" s="127">
        <v>164842.43569487127</v>
      </c>
      <c r="D20" s="127">
        <v>1111498</v>
      </c>
      <c r="E20" s="126">
        <f t="shared" si="0"/>
        <v>63342.435694871267</v>
      </c>
      <c r="F20" s="129">
        <v>0.14830655178405294</v>
      </c>
    </row>
    <row r="21" spans="1:7" x14ac:dyDescent="0.25">
      <c r="A21" s="125" t="s">
        <v>86</v>
      </c>
      <c r="B21" s="126">
        <v>101500</v>
      </c>
      <c r="C21" s="127">
        <v>164842.43569487127</v>
      </c>
      <c r="D21" s="127">
        <v>1111498</v>
      </c>
      <c r="E21" s="126">
        <f t="shared" si="0"/>
        <v>63342.435694871267</v>
      </c>
      <c r="F21" s="129">
        <v>0.14830655178405294</v>
      </c>
    </row>
    <row r="22" spans="1:7" x14ac:dyDescent="0.25">
      <c r="A22" s="125" t="s">
        <v>87</v>
      </c>
      <c r="B22" s="126">
        <v>101500</v>
      </c>
      <c r="C22" s="127">
        <v>160000.37927117321</v>
      </c>
      <c r="D22" s="127">
        <v>1078849</v>
      </c>
      <c r="E22" s="126">
        <f t="shared" si="0"/>
        <v>58500.379271173209</v>
      </c>
      <c r="F22" s="129">
        <v>0.14830655566365006</v>
      </c>
    </row>
    <row r="23" spans="1:7" x14ac:dyDescent="0.25">
      <c r="A23" s="125" t="s">
        <v>88</v>
      </c>
      <c r="B23" s="126">
        <v>101500</v>
      </c>
      <c r="C23" s="127">
        <v>168098.7153738967</v>
      </c>
      <c r="D23" s="127">
        <v>1066182</v>
      </c>
      <c r="E23" s="126">
        <f t="shared" si="0"/>
        <v>66598.715373896703</v>
      </c>
      <c r="F23" s="129">
        <v>0.15766418432678164</v>
      </c>
    </row>
    <row r="24" spans="1:7" x14ac:dyDescent="0.25">
      <c r="A24" s="125" t="s">
        <v>89</v>
      </c>
      <c r="B24" s="126">
        <v>101500</v>
      </c>
      <c r="C24" s="127">
        <v>168193.49601114859</v>
      </c>
      <c r="D24" s="127">
        <v>1066181</v>
      </c>
      <c r="E24" s="126">
        <f t="shared" si="0"/>
        <v>66693.496011148585</v>
      </c>
      <c r="F24" s="129">
        <v>0.15775322952777115</v>
      </c>
    </row>
    <row r="25" spans="1:7" x14ac:dyDescent="0.25">
      <c r="A25" s="125" t="s">
        <v>90</v>
      </c>
      <c r="B25" s="126">
        <v>101500</v>
      </c>
      <c r="C25" s="127">
        <v>168216.94346618652</v>
      </c>
      <c r="D25" s="127">
        <v>1066182</v>
      </c>
      <c r="E25" s="126">
        <f t="shared" si="0"/>
        <v>66716.943466186523</v>
      </c>
      <c r="F25" s="129">
        <v>0.15777507354859352</v>
      </c>
    </row>
    <row r="26" spans="1:7" x14ac:dyDescent="0.25">
      <c r="A26" s="125" t="s">
        <v>91</v>
      </c>
      <c r="B26" s="126">
        <v>101500</v>
      </c>
      <c r="C26" s="127">
        <v>162394.94000000015</v>
      </c>
      <c r="D26" s="127">
        <v>1029393</v>
      </c>
      <c r="E26" s="126">
        <f t="shared" si="0"/>
        <v>60894.940000000148</v>
      </c>
      <c r="F26" s="129">
        <v>0.157757960273676</v>
      </c>
      <c r="G26" s="126"/>
    </row>
    <row r="27" spans="1:7" x14ac:dyDescent="0.25">
      <c r="A27" s="125" t="s">
        <v>92</v>
      </c>
      <c r="B27" s="126">
        <v>101500</v>
      </c>
      <c r="C27" s="127">
        <v>163156.55465299764</v>
      </c>
      <c r="D27" s="127">
        <v>1034058</v>
      </c>
      <c r="E27" s="126">
        <f t="shared" si="0"/>
        <v>61656.554652997642</v>
      </c>
      <c r="F27" s="129">
        <v>0.15778278844416624</v>
      </c>
    </row>
    <row r="28" spans="1:7" x14ac:dyDescent="0.25">
      <c r="A28" s="125" t="s">
        <v>93</v>
      </c>
      <c r="B28" s="126">
        <v>101500</v>
      </c>
      <c r="C28" s="127">
        <v>163533.34973463547</v>
      </c>
      <c r="D28" s="127">
        <v>1036441</v>
      </c>
      <c r="E28" s="126">
        <f t="shared" si="0"/>
        <v>62033.349734635471</v>
      </c>
      <c r="F28" s="129">
        <v>0.15778355905896763</v>
      </c>
    </row>
    <row r="29" spans="1:7" x14ac:dyDescent="0.25">
      <c r="A29" s="125" t="s">
        <v>94</v>
      </c>
      <c r="B29" s="126">
        <v>101500</v>
      </c>
      <c r="C29" s="127">
        <v>163581.740117326</v>
      </c>
      <c r="D29" s="127">
        <v>1036441</v>
      </c>
      <c r="E29" s="126">
        <f t="shared" si="0"/>
        <v>62081.740117326</v>
      </c>
      <c r="F29" s="129">
        <v>0.15783024804820148</v>
      </c>
    </row>
    <row r="30" spans="1:7" x14ac:dyDescent="0.25">
      <c r="A30" s="125" t="s">
        <v>95</v>
      </c>
      <c r="B30" s="126">
        <v>101500</v>
      </c>
      <c r="C30" s="127">
        <v>195210.0678679859</v>
      </c>
      <c r="D30" s="127">
        <v>1234385</v>
      </c>
      <c r="E30" s="126">
        <f t="shared" si="0"/>
        <v>93710.067867985897</v>
      </c>
      <c r="F30" s="129">
        <v>0.15814358394503003</v>
      </c>
    </row>
    <row r="31" spans="1:7" x14ac:dyDescent="0.25">
      <c r="A31" s="125" t="s">
        <v>96</v>
      </c>
      <c r="B31" s="126">
        <v>101500</v>
      </c>
      <c r="C31" s="127">
        <v>188795.32784762647</v>
      </c>
      <c r="D31" s="127">
        <v>1193261</v>
      </c>
      <c r="E31" s="126">
        <f t="shared" si="0"/>
        <v>87295.327847626468</v>
      </c>
      <c r="F31" s="129">
        <v>0.1582179655981604</v>
      </c>
    </row>
    <row r="32" spans="1:7" x14ac:dyDescent="0.25">
      <c r="A32" s="125" t="s">
        <v>97</v>
      </c>
      <c r="B32" s="126">
        <v>101500</v>
      </c>
      <c r="C32" s="127">
        <v>186930.96442421668</v>
      </c>
      <c r="D32" s="127">
        <v>1181126</v>
      </c>
      <c r="E32" s="126">
        <f t="shared" si="0"/>
        <v>85430.964424216683</v>
      </c>
      <c r="F32" s="129">
        <v>0.15826504913465345</v>
      </c>
    </row>
    <row r="33" spans="1:6" x14ac:dyDescent="0.25">
      <c r="A33" s="125" t="s">
        <v>98</v>
      </c>
      <c r="B33" s="126">
        <v>101500</v>
      </c>
      <c r="C33" s="127">
        <v>186993.93702534522</v>
      </c>
      <c r="D33" s="127">
        <v>1181126</v>
      </c>
      <c r="E33" s="126">
        <f t="shared" si="0"/>
        <v>85493.937025345222</v>
      </c>
      <c r="F33" s="129">
        <v>0.15831836486991668</v>
      </c>
    </row>
    <row r="34" spans="1:6" x14ac:dyDescent="0.25">
      <c r="A34" s="125" t="s">
        <v>99</v>
      </c>
      <c r="B34" s="126">
        <v>101500</v>
      </c>
      <c r="C34" s="127">
        <v>215223.46836133578</v>
      </c>
      <c r="D34" s="127">
        <v>1357940</v>
      </c>
      <c r="E34" s="126">
        <f t="shared" si="0"/>
        <v>113723.46836133578</v>
      </c>
      <c r="F34" s="129">
        <v>0.15849261996946534</v>
      </c>
    </row>
    <row r="35" spans="1:6" x14ac:dyDescent="0.25">
      <c r="A35" s="125" t="s">
        <v>100</v>
      </c>
      <c r="B35" s="126">
        <v>101500</v>
      </c>
      <c r="C35" s="127">
        <v>210821.34649601375</v>
      </c>
      <c r="D35" s="127">
        <v>1329727</v>
      </c>
      <c r="E35" s="126">
        <f t="shared" si="0"/>
        <v>109321.34649601375</v>
      </c>
      <c r="F35" s="129">
        <v>0.15854483401180375</v>
      </c>
    </row>
    <row r="36" spans="1:6" x14ac:dyDescent="0.25">
      <c r="A36" s="125" t="s">
        <v>101</v>
      </c>
      <c r="B36" s="126">
        <v>101500</v>
      </c>
      <c r="C36" s="127">
        <v>210899.92004863272</v>
      </c>
      <c r="D36" s="127">
        <v>1329727</v>
      </c>
      <c r="E36" s="126">
        <f t="shared" si="0"/>
        <v>109399.92004863272</v>
      </c>
      <c r="F36" s="129">
        <v>0.1586039239999133</v>
      </c>
    </row>
    <row r="37" spans="1:6" x14ac:dyDescent="0.25">
      <c r="A37" s="125" t="s">
        <v>102</v>
      </c>
      <c r="B37" s="126">
        <v>101500</v>
      </c>
      <c r="C37" s="127">
        <v>211003.83827081043</v>
      </c>
      <c r="D37" s="127">
        <v>1329727</v>
      </c>
      <c r="E37" s="126">
        <f t="shared" si="0"/>
        <v>109503.83827081043</v>
      </c>
      <c r="F37" s="129">
        <v>0.15868207404287529</v>
      </c>
    </row>
    <row r="38" spans="1:6" x14ac:dyDescent="0.25">
      <c r="A38" s="125" t="s">
        <v>103</v>
      </c>
      <c r="B38" s="126">
        <v>101500</v>
      </c>
      <c r="C38" s="127">
        <v>246610.7041295747</v>
      </c>
      <c r="D38" s="127">
        <v>1550651</v>
      </c>
      <c r="E38" s="126">
        <f t="shared" si="0"/>
        <v>145110.7041295747</v>
      </c>
      <c r="F38" s="129">
        <v>0.15903688459206791</v>
      </c>
    </row>
    <row r="39" spans="1:6" x14ac:dyDescent="0.25">
      <c r="A39" s="125" t="s">
        <v>104</v>
      </c>
      <c r="B39" s="126">
        <v>101500</v>
      </c>
      <c r="C39" s="127">
        <v>246639.06669423607</v>
      </c>
      <c r="D39" s="127">
        <v>1550651</v>
      </c>
      <c r="E39" s="126">
        <f t="shared" si="0"/>
        <v>145139.06669423607</v>
      </c>
      <c r="F39" s="129">
        <v>0.15905517533876809</v>
      </c>
    </row>
    <row r="40" spans="1:6" x14ac:dyDescent="0.25">
      <c r="A40" s="125" t="s">
        <v>105</v>
      </c>
      <c r="B40" s="126">
        <v>101500</v>
      </c>
      <c r="C40" s="127">
        <v>246646.37732224373</v>
      </c>
      <c r="D40" s="127">
        <v>1550651</v>
      </c>
      <c r="E40" s="126">
        <f t="shared" si="0"/>
        <v>145146.37732224373</v>
      </c>
      <c r="F40" s="129">
        <v>0.15905988989285386</v>
      </c>
    </row>
    <row r="41" spans="1:6" x14ac:dyDescent="0.25">
      <c r="A41" s="125" t="s">
        <v>110</v>
      </c>
      <c r="B41" s="126">
        <v>101500</v>
      </c>
      <c r="C41" s="127">
        <v>246676.14563954208</v>
      </c>
      <c r="D41" s="130">
        <v>1550651</v>
      </c>
      <c r="E41" s="126">
        <f t="shared" si="0"/>
        <v>145176.14563954208</v>
      </c>
      <c r="F41" s="129">
        <v>0.15907908719598549</v>
      </c>
    </row>
    <row r="42" spans="1:6" x14ac:dyDescent="0.25">
      <c r="A42" s="125" t="s">
        <v>111</v>
      </c>
      <c r="B42" s="126">
        <v>101500</v>
      </c>
      <c r="C42" s="127">
        <v>246899.88906010473</v>
      </c>
      <c r="D42" s="130">
        <v>1550651</v>
      </c>
      <c r="E42" s="126">
        <f t="shared" si="0"/>
        <v>145399.88906010473</v>
      </c>
      <c r="F42" s="129">
        <v>0.15922337718810017</v>
      </c>
    </row>
    <row r="43" spans="1:6" x14ac:dyDescent="0.25">
      <c r="A43" s="125" t="s">
        <v>112</v>
      </c>
      <c r="B43" s="126">
        <v>101500</v>
      </c>
      <c r="C43" s="127">
        <v>246911.89098154282</v>
      </c>
      <c r="D43" s="130">
        <v>1550651</v>
      </c>
      <c r="E43" s="126">
        <f t="shared" si="0"/>
        <v>145411.89098154282</v>
      </c>
      <c r="F43" s="129">
        <v>0.1592311171124533</v>
      </c>
    </row>
    <row r="44" spans="1:6" x14ac:dyDescent="0.25">
      <c r="A44" s="125" t="s">
        <v>113</v>
      </c>
      <c r="B44" s="126">
        <v>101500</v>
      </c>
      <c r="C44" s="127">
        <v>302060.45975320332</v>
      </c>
      <c r="D44" s="130">
        <v>1897148</v>
      </c>
      <c r="E44" s="126">
        <f t="shared" si="0"/>
        <v>200560.45975320332</v>
      </c>
      <c r="F44" s="129">
        <v>0.15921818421820719</v>
      </c>
    </row>
    <row r="45" spans="1:6" x14ac:dyDescent="0.25">
      <c r="A45" s="125" t="s">
        <v>114</v>
      </c>
      <c r="B45" s="126">
        <v>101500</v>
      </c>
      <c r="C45" s="127">
        <v>251542.9182121662</v>
      </c>
      <c r="D45" s="130">
        <v>1581664.02</v>
      </c>
      <c r="E45" s="126">
        <f t="shared" si="0"/>
        <v>150042.9182121662</v>
      </c>
      <c r="F45" s="129">
        <v>0.15903688459206791</v>
      </c>
    </row>
    <row r="46" spans="1:6" x14ac:dyDescent="0.25">
      <c r="A46" s="125" t="s">
        <v>115</v>
      </c>
      <c r="B46" s="126">
        <v>101500</v>
      </c>
      <c r="C46" s="127">
        <v>256573.77657640952</v>
      </c>
      <c r="D46" s="130">
        <v>1613297.3004000001</v>
      </c>
      <c r="E46" s="126">
        <f t="shared" si="0"/>
        <v>155073.77657640952</v>
      </c>
      <c r="F46" s="128">
        <v>0.15903688459206791</v>
      </c>
    </row>
    <row r="47" spans="1:6" x14ac:dyDescent="0.25">
      <c r="A47" s="125" t="s">
        <v>116</v>
      </c>
      <c r="B47" s="126">
        <v>101500</v>
      </c>
      <c r="C47" s="127">
        <v>256573.77657640952</v>
      </c>
      <c r="D47" s="130">
        <v>1613297.3004000001</v>
      </c>
      <c r="E47" s="126">
        <f t="shared" si="0"/>
        <v>155073.77657640952</v>
      </c>
      <c r="F47" s="128">
        <v>0.15903688459206791</v>
      </c>
    </row>
    <row r="48" spans="1:6" x14ac:dyDescent="0.25">
      <c r="A48" s="125" t="s">
        <v>117</v>
      </c>
      <c r="B48" s="126">
        <v>101500</v>
      </c>
      <c r="C48" s="127">
        <v>256573.77657640952</v>
      </c>
      <c r="D48" s="130">
        <v>1613297.3004000001</v>
      </c>
      <c r="E48" s="126">
        <f t="shared" si="0"/>
        <v>155073.77657640952</v>
      </c>
      <c r="F48" s="128">
        <v>0.15903688459206791</v>
      </c>
    </row>
    <row r="49" spans="1:5" x14ac:dyDescent="0.25">
      <c r="C49" s="125"/>
      <c r="D49" s="125"/>
      <c r="E49" s="126">
        <f>SUM(E6:E48)</f>
        <v>3990858.0952194007</v>
      </c>
    </row>
    <row r="50" spans="1:5" x14ac:dyDescent="0.25">
      <c r="A50" s="125" t="s">
        <v>118</v>
      </c>
      <c r="C50" s="125"/>
      <c r="D50" s="125"/>
      <c r="E50" s="130">
        <v>3990858.427941395</v>
      </c>
    </row>
    <row r="51" spans="1:5" x14ac:dyDescent="0.25">
      <c r="E51" s="126">
        <f>E49-E50</f>
        <v>-0.33272199425846338</v>
      </c>
    </row>
  </sheetData>
  <phoneticPr fontId="31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46AA1-FF39-4191-897F-0B25291B6387}">
  <sheetPr>
    <tabColor rgb="FF60FCFC"/>
  </sheetPr>
  <dimension ref="A1:F50"/>
  <sheetViews>
    <sheetView zoomScaleNormal="100" workbookViewId="0">
      <pane ySplit="4" topLeftCell="A5" activePane="bottomLeft" state="frozen"/>
      <selection activeCell="G43" sqref="G43"/>
      <selection pane="bottomLeft" activeCell="B4" sqref="B4:F4"/>
    </sheetView>
  </sheetViews>
  <sheetFormatPr defaultColWidth="8.77734375" defaultRowHeight="13.8" x14ac:dyDescent="0.25"/>
  <cols>
    <col min="1" max="1" width="23.21875" style="125" customWidth="1"/>
    <col min="2" max="2" width="32.44140625" style="125" bestFit="1" customWidth="1"/>
    <col min="3" max="3" width="17.44140625" style="131" bestFit="1" customWidth="1"/>
    <col min="4" max="4" width="16.88671875" style="131" bestFit="1" customWidth="1"/>
    <col min="5" max="5" width="13.109375" style="125" bestFit="1" customWidth="1"/>
    <col min="6" max="6" width="39.109375" style="125" bestFit="1" customWidth="1"/>
    <col min="7" max="16384" width="8.77734375" style="125"/>
  </cols>
  <sheetData>
    <row r="1" spans="1:6" s="120" customFormat="1" x14ac:dyDescent="0.25">
      <c r="A1" s="120" t="s">
        <v>5</v>
      </c>
      <c r="C1" s="121"/>
      <c r="D1" s="121"/>
    </row>
    <row r="2" spans="1:6" s="120" customFormat="1" x14ac:dyDescent="0.25">
      <c r="C2" s="121"/>
      <c r="D2" s="121"/>
    </row>
    <row r="3" spans="1:6" s="120" customFormat="1" x14ac:dyDescent="0.25">
      <c r="D3" s="121"/>
      <c r="F3" s="124"/>
    </row>
    <row r="4" spans="1:6" s="120" customFormat="1" x14ac:dyDescent="0.25">
      <c r="B4" s="120" t="s">
        <v>107</v>
      </c>
      <c r="C4" s="121" t="s">
        <v>109</v>
      </c>
      <c r="D4" s="121" t="s">
        <v>106</v>
      </c>
      <c r="E4" s="120" t="s">
        <v>108</v>
      </c>
      <c r="F4" s="120" t="s">
        <v>119</v>
      </c>
    </row>
    <row r="5" spans="1:6" x14ac:dyDescent="0.25">
      <c r="A5" s="125" t="s">
        <v>74</v>
      </c>
      <c r="B5" s="126">
        <v>213500</v>
      </c>
      <c r="C5" s="127">
        <v>228225</v>
      </c>
      <c r="D5" s="127"/>
      <c r="E5" s="126">
        <f t="shared" ref="E5:E47" si="0">C5-B5</f>
        <v>14725</v>
      </c>
      <c r="F5" s="129"/>
    </row>
    <row r="6" spans="1:6" x14ac:dyDescent="0.25">
      <c r="A6" s="125" t="s">
        <v>76</v>
      </c>
      <c r="B6" s="126">
        <v>213500</v>
      </c>
      <c r="C6" s="127">
        <v>228225</v>
      </c>
      <c r="D6" s="127"/>
      <c r="E6" s="126">
        <f t="shared" si="0"/>
        <v>14725</v>
      </c>
      <c r="F6" s="129"/>
    </row>
    <row r="7" spans="1:6" x14ac:dyDescent="0.25">
      <c r="A7" s="125" t="s">
        <v>77</v>
      </c>
      <c r="B7" s="126">
        <v>213500</v>
      </c>
      <c r="C7" s="127">
        <v>228204</v>
      </c>
      <c r="D7" s="127"/>
      <c r="E7" s="126">
        <f t="shared" si="0"/>
        <v>14704</v>
      </c>
      <c r="F7" s="129"/>
    </row>
    <row r="8" spans="1:6" x14ac:dyDescent="0.25">
      <c r="A8" s="125" t="s">
        <v>71</v>
      </c>
      <c r="B8" s="126">
        <v>213500</v>
      </c>
      <c r="C8" s="127">
        <v>228203.99787682956</v>
      </c>
      <c r="D8" s="127">
        <v>1063972</v>
      </c>
      <c r="E8" s="126">
        <f t="shared" si="0"/>
        <v>14703.997876829555</v>
      </c>
      <c r="F8" s="129">
        <v>0.21448308590529597</v>
      </c>
    </row>
    <row r="9" spans="1:6" x14ac:dyDescent="0.25">
      <c r="A9" s="125" t="s">
        <v>75</v>
      </c>
      <c r="B9" s="126">
        <v>213500</v>
      </c>
      <c r="C9" s="127">
        <v>237640.18124123305</v>
      </c>
      <c r="D9" s="127">
        <v>1107967</v>
      </c>
      <c r="E9" s="126">
        <f t="shared" si="0"/>
        <v>24140.181241233047</v>
      </c>
      <c r="F9" s="129">
        <v>0.21448308590529597</v>
      </c>
    </row>
    <row r="10" spans="1:6" x14ac:dyDescent="0.25">
      <c r="A10" s="125" t="s">
        <v>78</v>
      </c>
      <c r="B10" s="126">
        <v>213500</v>
      </c>
      <c r="C10" s="127">
        <v>237640.18124123305</v>
      </c>
      <c r="D10" s="127">
        <v>1107967</v>
      </c>
      <c r="E10" s="126">
        <f t="shared" si="0"/>
        <v>24140.181241233047</v>
      </c>
      <c r="F10" s="129">
        <v>0.21448308590529597</v>
      </c>
    </row>
    <row r="11" spans="1:6" x14ac:dyDescent="0.25">
      <c r="A11" s="125" t="s">
        <v>79</v>
      </c>
      <c r="B11" s="126">
        <v>213500</v>
      </c>
      <c r="C11" s="127">
        <v>225125.73662791675</v>
      </c>
      <c r="D11" s="127">
        <v>1049620</v>
      </c>
      <c r="E11" s="126">
        <f t="shared" si="0"/>
        <v>11625.736627916747</v>
      </c>
      <c r="F11" s="129">
        <v>0.21448308590529597</v>
      </c>
    </row>
    <row r="12" spans="1:6" x14ac:dyDescent="0.25">
      <c r="A12" s="125" t="s">
        <v>72</v>
      </c>
      <c r="B12" s="126">
        <v>213500</v>
      </c>
      <c r="C12" s="127">
        <v>225125.52214483084</v>
      </c>
      <c r="D12" s="127">
        <f>BRZ!D13</f>
        <v>1049619</v>
      </c>
      <c r="E12" s="126">
        <f t="shared" si="0"/>
        <v>11625.522144830844</v>
      </c>
      <c r="F12" s="129">
        <v>0.21448308590529597</v>
      </c>
    </row>
    <row r="13" spans="1:6" x14ac:dyDescent="0.25">
      <c r="A13" s="125" t="s">
        <v>80</v>
      </c>
      <c r="B13" s="126">
        <v>213500</v>
      </c>
      <c r="C13" s="127">
        <v>228177.83306327611</v>
      </c>
      <c r="D13" s="127">
        <f>BRZ!D14</f>
        <v>1063850</v>
      </c>
      <c r="E13" s="126">
        <f t="shared" si="0"/>
        <v>14677.833063276106</v>
      </c>
      <c r="F13" s="129">
        <v>0.21448308790080942</v>
      </c>
    </row>
    <row r="14" spans="1:6" x14ac:dyDescent="0.25">
      <c r="A14" s="125" t="s">
        <v>81</v>
      </c>
      <c r="B14" s="126">
        <v>213500</v>
      </c>
      <c r="C14" s="127">
        <v>209228.89569650328</v>
      </c>
      <c r="D14" s="127">
        <f>BRZ!D15</f>
        <v>975503</v>
      </c>
      <c r="E14" s="126">
        <f t="shared" si="0"/>
        <v>-4271.1043034967151</v>
      </c>
      <c r="F14" s="129">
        <v>0.21448308790080942</v>
      </c>
    </row>
    <row r="15" spans="1:6" x14ac:dyDescent="0.25">
      <c r="A15" s="125" t="s">
        <v>82</v>
      </c>
      <c r="B15" s="126">
        <v>213500</v>
      </c>
      <c r="C15" s="127">
        <v>209228.89569650328</v>
      </c>
      <c r="D15" s="127">
        <f>BRZ!D16</f>
        <v>975503</v>
      </c>
      <c r="E15" s="126">
        <f t="shared" si="0"/>
        <v>-4271.1043034967151</v>
      </c>
      <c r="F15" s="129">
        <v>0.21448308790080942</v>
      </c>
    </row>
    <row r="16" spans="1:6" x14ac:dyDescent="0.25">
      <c r="A16" s="125" t="s">
        <v>73</v>
      </c>
      <c r="B16" s="126">
        <v>213500</v>
      </c>
      <c r="C16" s="127">
        <v>209229.1101795912</v>
      </c>
      <c r="D16" s="127">
        <f>BRZ!D17</f>
        <v>1030189</v>
      </c>
      <c r="E16" s="126">
        <f t="shared" si="0"/>
        <v>-4270.8898204088036</v>
      </c>
      <c r="F16" s="129">
        <v>0.20309779096805652</v>
      </c>
    </row>
    <row r="17" spans="1:6" x14ac:dyDescent="0.25">
      <c r="A17" s="125" t="s">
        <v>83</v>
      </c>
      <c r="B17" s="126">
        <v>213500</v>
      </c>
      <c r="C17" s="127">
        <v>228174.5863843004</v>
      </c>
      <c r="D17" s="127">
        <f>BRZ!D18</f>
        <v>1123494</v>
      </c>
      <c r="E17" s="126">
        <f t="shared" si="0"/>
        <v>14674.586384300404</v>
      </c>
      <c r="F17" s="129">
        <v>0.20309372936953859</v>
      </c>
    </row>
    <row r="18" spans="1:6" x14ac:dyDescent="0.25">
      <c r="A18" s="125" t="s">
        <v>84</v>
      </c>
      <c r="B18" s="126">
        <v>213500</v>
      </c>
      <c r="C18" s="127">
        <v>225738.27400678341</v>
      </c>
      <c r="D18" s="127">
        <f>BRZ!D19</f>
        <v>1111498</v>
      </c>
      <c r="E18" s="126">
        <f t="shared" si="0"/>
        <v>12238.274006783409</v>
      </c>
      <c r="F18" s="129">
        <v>0.20309372936953859</v>
      </c>
    </row>
    <row r="19" spans="1:6" x14ac:dyDescent="0.25">
      <c r="A19" s="125" t="s">
        <v>85</v>
      </c>
      <c r="B19" s="126">
        <v>213500</v>
      </c>
      <c r="C19" s="127">
        <v>225738.27400678341</v>
      </c>
      <c r="D19" s="127">
        <f>BRZ!D20</f>
        <v>1111498</v>
      </c>
      <c r="E19" s="126">
        <f t="shared" si="0"/>
        <v>12238.274006783409</v>
      </c>
      <c r="F19" s="129">
        <v>0.20309372936953859</v>
      </c>
    </row>
    <row r="20" spans="1:6" x14ac:dyDescent="0.25">
      <c r="A20" s="125" t="s">
        <v>86</v>
      </c>
      <c r="B20" s="126">
        <v>213500</v>
      </c>
      <c r="C20" s="127">
        <v>225738.27400678341</v>
      </c>
      <c r="D20" s="127">
        <f>BRZ!D21</f>
        <v>1111498</v>
      </c>
      <c r="E20" s="126">
        <f t="shared" si="0"/>
        <v>12238.274006783409</v>
      </c>
      <c r="F20" s="129">
        <v>0.20309372936953859</v>
      </c>
    </row>
    <row r="21" spans="1:6" x14ac:dyDescent="0.25">
      <c r="A21" s="125" t="s">
        <v>87</v>
      </c>
      <c r="B21" s="126">
        <v>213500</v>
      </c>
      <c r="C21" s="127">
        <v>219107.46583852847</v>
      </c>
      <c r="D21" s="127">
        <f>BRZ!D22</f>
        <v>1078849</v>
      </c>
      <c r="E21" s="126">
        <f t="shared" si="0"/>
        <v>5607.4658385284711</v>
      </c>
      <c r="F21" s="129">
        <v>0.20309372844441481</v>
      </c>
    </row>
    <row r="22" spans="1:6" x14ac:dyDescent="0.25">
      <c r="A22" s="125" t="s">
        <v>88</v>
      </c>
      <c r="B22" s="126">
        <v>213500</v>
      </c>
      <c r="C22" s="127">
        <v>208646.73719898166</v>
      </c>
      <c r="D22" s="127">
        <f>BRZ!D23</f>
        <v>1066182</v>
      </c>
      <c r="E22" s="126">
        <f t="shared" si="0"/>
        <v>-4853.2628010183398</v>
      </c>
      <c r="F22" s="129">
        <v>0.19569523514651502</v>
      </c>
    </row>
    <row r="23" spans="1:6" x14ac:dyDescent="0.25">
      <c r="A23" s="125" t="s">
        <v>89</v>
      </c>
      <c r="B23" s="126">
        <v>213500</v>
      </c>
      <c r="C23" s="127">
        <v>208535.718859329</v>
      </c>
      <c r="D23" s="127">
        <f>BRZ!D24</f>
        <v>1066181</v>
      </c>
      <c r="E23" s="126">
        <f t="shared" si="0"/>
        <v>-4964.2811406709952</v>
      </c>
      <c r="F23" s="129">
        <v>0.19559129159057329</v>
      </c>
    </row>
    <row r="24" spans="1:6" x14ac:dyDescent="0.25">
      <c r="A24" s="125" t="s">
        <v>90</v>
      </c>
      <c r="B24" s="126">
        <v>213500</v>
      </c>
      <c r="C24" s="127">
        <v>208342.50212665088</v>
      </c>
      <c r="D24" s="127">
        <f>BRZ!D25</f>
        <v>1066182</v>
      </c>
      <c r="E24" s="126">
        <f t="shared" si="0"/>
        <v>-5157.4978733491153</v>
      </c>
      <c r="F24" s="129">
        <v>0.19540988511028218</v>
      </c>
    </row>
    <row r="25" spans="1:6" x14ac:dyDescent="0.25">
      <c r="A25" s="125" t="s">
        <v>91</v>
      </c>
      <c r="B25" s="126">
        <v>213500</v>
      </c>
      <c r="C25" s="127">
        <v>200207.6</v>
      </c>
      <c r="D25" s="127">
        <f>BRZ!D26</f>
        <v>1029393</v>
      </c>
      <c r="E25" s="126">
        <f t="shared" si="0"/>
        <v>-13292.399999999994</v>
      </c>
      <c r="F25" s="129">
        <v>0.19450982373337816</v>
      </c>
    </row>
    <row r="26" spans="1:6" x14ac:dyDescent="0.25">
      <c r="A26" s="125" t="s">
        <v>92</v>
      </c>
      <c r="B26" s="126">
        <v>213500</v>
      </c>
      <c r="C26" s="127">
        <v>201298.4098559031</v>
      </c>
      <c r="D26" s="127">
        <f>BRZ!D27</f>
        <v>1034058</v>
      </c>
      <c r="E26" s="126">
        <f t="shared" si="0"/>
        <v>-12201.590144096903</v>
      </c>
      <c r="F26" s="129">
        <v>0.19466839370316086</v>
      </c>
    </row>
    <row r="27" spans="1:6" x14ac:dyDescent="0.25">
      <c r="A27" s="125" t="s">
        <v>93</v>
      </c>
      <c r="B27" s="126">
        <v>213500</v>
      </c>
      <c r="C27" s="127">
        <v>201794.87391458073</v>
      </c>
      <c r="D27" s="127">
        <f>BRZ!D28</f>
        <v>1036441</v>
      </c>
      <c r="E27" s="126">
        <f t="shared" si="0"/>
        <v>-11705.126085419266</v>
      </c>
      <c r="F27" s="129">
        <v>0.1946998178522277</v>
      </c>
    </row>
    <row r="28" spans="1:6" x14ac:dyDescent="0.25">
      <c r="A28" s="125" t="s">
        <v>94</v>
      </c>
      <c r="B28" s="126">
        <v>213500</v>
      </c>
      <c r="C28" s="127">
        <v>201738.07468651282</v>
      </c>
      <c r="D28" s="127">
        <f>BRZ!D29</f>
        <v>1036441</v>
      </c>
      <c r="E28" s="126">
        <f t="shared" si="0"/>
        <v>-11761.925313487183</v>
      </c>
      <c r="F28" s="129">
        <v>0.19464501567046538</v>
      </c>
    </row>
    <row r="29" spans="1:6" x14ac:dyDescent="0.25">
      <c r="A29" s="125" t="s">
        <v>95</v>
      </c>
      <c r="B29" s="126">
        <v>213500</v>
      </c>
      <c r="C29" s="127">
        <v>239852.37467164281</v>
      </c>
      <c r="D29" s="127">
        <f>BRZ!D30</f>
        <v>1234385</v>
      </c>
      <c r="E29" s="126">
        <f t="shared" si="0"/>
        <v>26352.374671642814</v>
      </c>
      <c r="F29" s="129">
        <v>0.19430921039355048</v>
      </c>
    </row>
    <row r="30" spans="1:6" x14ac:dyDescent="0.25">
      <c r="A30" s="125" t="s">
        <v>96</v>
      </c>
      <c r="B30" s="126">
        <v>213500</v>
      </c>
      <c r="C30" s="127">
        <v>231727.59637528556</v>
      </c>
      <c r="D30" s="127">
        <f>BRZ!D31</f>
        <v>1193261</v>
      </c>
      <c r="E30" s="126">
        <f t="shared" si="0"/>
        <v>18227.59637528556</v>
      </c>
      <c r="F30" s="129">
        <v>0.19419690778068299</v>
      </c>
    </row>
    <row r="31" spans="1:6" x14ac:dyDescent="0.25">
      <c r="A31" s="125" t="s">
        <v>97</v>
      </c>
      <c r="B31" s="126">
        <v>213500</v>
      </c>
      <c r="C31" s="127">
        <v>229240.22145410464</v>
      </c>
      <c r="D31" s="127">
        <f>BRZ!D32</f>
        <v>1181126</v>
      </c>
      <c r="E31" s="126">
        <f t="shared" si="0"/>
        <v>15740.221454104641</v>
      </c>
      <c r="F31" s="129">
        <v>0.1940861698532626</v>
      </c>
    </row>
    <row r="32" spans="1:6" x14ac:dyDescent="0.25">
      <c r="A32" s="125" t="s">
        <v>98</v>
      </c>
      <c r="B32" s="126">
        <v>213500</v>
      </c>
      <c r="C32" s="127">
        <v>229099.88605380655</v>
      </c>
      <c r="D32" s="127">
        <f>BRZ!D33</f>
        <v>1181126</v>
      </c>
      <c r="E32" s="126">
        <f t="shared" si="0"/>
        <v>15599.886053806549</v>
      </c>
      <c r="F32" s="129">
        <v>0.19396735492555964</v>
      </c>
    </row>
    <row r="33" spans="1:6" x14ac:dyDescent="0.25">
      <c r="A33" s="125" t="s">
        <v>99</v>
      </c>
      <c r="B33" s="126">
        <v>213500</v>
      </c>
      <c r="C33" s="127">
        <v>262576.73759946285</v>
      </c>
      <c r="D33" s="127">
        <f>BRZ!D34</f>
        <v>1357940</v>
      </c>
      <c r="E33" s="126">
        <f t="shared" si="0"/>
        <v>49076.737599462853</v>
      </c>
      <c r="F33" s="129">
        <v>0.19336402020668281</v>
      </c>
    </row>
    <row r="34" spans="1:6" x14ac:dyDescent="0.25">
      <c r="A34" s="125" t="s">
        <v>100</v>
      </c>
      <c r="B34" s="126">
        <v>213500</v>
      </c>
      <c r="C34" s="127">
        <v>256964.27139124437</v>
      </c>
      <c r="D34" s="127">
        <f>BRZ!D35</f>
        <v>1329727</v>
      </c>
      <c r="E34" s="126">
        <f t="shared" si="0"/>
        <v>43464.271391244372</v>
      </c>
      <c r="F34" s="129">
        <v>0.19324588535183868</v>
      </c>
    </row>
    <row r="35" spans="1:6" x14ac:dyDescent="0.25">
      <c r="A35" s="125" t="s">
        <v>101</v>
      </c>
      <c r="B35" s="126">
        <v>213500</v>
      </c>
      <c r="C35" s="127">
        <v>256807.43829129735</v>
      </c>
      <c r="D35" s="127">
        <f>BRZ!D36</f>
        <v>1329727</v>
      </c>
      <c r="E35" s="126">
        <f t="shared" si="0"/>
        <v>43307.438291297352</v>
      </c>
      <c r="F35" s="129">
        <v>0.19312794151829463</v>
      </c>
    </row>
    <row r="36" spans="1:6" x14ac:dyDescent="0.25">
      <c r="A36" s="125" t="s">
        <v>102</v>
      </c>
      <c r="B36" s="126">
        <v>213500</v>
      </c>
      <c r="C36" s="127">
        <v>256651.73344551044</v>
      </c>
      <c r="D36" s="127">
        <f>BRZ!D37</f>
        <v>1329727</v>
      </c>
      <c r="E36" s="126">
        <f t="shared" si="0"/>
        <v>43151.733445510443</v>
      </c>
      <c r="F36" s="129">
        <v>0.19301084617031197</v>
      </c>
    </row>
    <row r="37" spans="1:6" x14ac:dyDescent="0.25">
      <c r="A37" s="125" t="s">
        <v>103</v>
      </c>
      <c r="B37" s="126">
        <v>213500</v>
      </c>
      <c r="C37" s="127">
        <v>298486.60672981816</v>
      </c>
      <c r="D37" s="127">
        <f>BRZ!D38</f>
        <v>1550651</v>
      </c>
      <c r="E37" s="126">
        <f t="shared" si="0"/>
        <v>84986.606729818159</v>
      </c>
      <c r="F37" s="129">
        <v>0.19249115805543487</v>
      </c>
    </row>
    <row r="38" spans="1:6" x14ac:dyDescent="0.25">
      <c r="A38" s="125" t="s">
        <v>104</v>
      </c>
      <c r="B38" s="126">
        <v>213500</v>
      </c>
      <c r="C38" s="127">
        <v>298392.2011617184</v>
      </c>
      <c r="D38" s="127">
        <f>BRZ!D39</f>
        <v>1550651</v>
      </c>
      <c r="E38" s="126">
        <f t="shared" si="0"/>
        <v>84892.201161718403</v>
      </c>
      <c r="F38" s="129">
        <v>0.19243027680743019</v>
      </c>
    </row>
    <row r="39" spans="1:6" x14ac:dyDescent="0.25">
      <c r="A39" s="125" t="s">
        <v>105</v>
      </c>
      <c r="B39" s="126">
        <v>213500</v>
      </c>
      <c r="C39" s="127">
        <v>298288.35371476237</v>
      </c>
      <c r="D39" s="127">
        <f>BRZ!D40</f>
        <v>1550651</v>
      </c>
      <c r="E39" s="126">
        <f t="shared" si="0"/>
        <v>84788.353714762372</v>
      </c>
      <c r="F39" s="129">
        <v>0.19236330658204998</v>
      </c>
    </row>
    <row r="40" spans="1:6" x14ac:dyDescent="0.25">
      <c r="A40" s="125" t="s">
        <v>110</v>
      </c>
      <c r="B40" s="126">
        <v>213500</v>
      </c>
      <c r="C40" s="127">
        <v>298175.58708478446</v>
      </c>
      <c r="D40" s="127">
        <f>BRZ!D41</f>
        <v>1550651</v>
      </c>
      <c r="E40" s="126">
        <f t="shared" si="0"/>
        <v>84675.587084784464</v>
      </c>
      <c r="F40" s="129">
        <v>0.19229058446083902</v>
      </c>
    </row>
    <row r="41" spans="1:6" x14ac:dyDescent="0.25">
      <c r="A41" s="125" t="s">
        <v>111</v>
      </c>
      <c r="B41" s="126">
        <v>213500</v>
      </c>
      <c r="C41" s="127">
        <v>297862.28657147475</v>
      </c>
      <c r="D41" s="127">
        <f>BRZ!D42</f>
        <v>1550651</v>
      </c>
      <c r="E41" s="126">
        <f t="shared" si="0"/>
        <v>84362.286571474746</v>
      </c>
      <c r="F41" s="129">
        <v>0.19208853995610536</v>
      </c>
    </row>
    <row r="42" spans="1:6" x14ac:dyDescent="0.25">
      <c r="A42" s="125" t="s">
        <v>112</v>
      </c>
      <c r="B42" s="126">
        <v>213500</v>
      </c>
      <c r="C42" s="127">
        <v>297719.11183277407</v>
      </c>
      <c r="D42" s="127">
        <f>BRZ!D43</f>
        <v>1550651</v>
      </c>
      <c r="E42" s="126">
        <f t="shared" si="0"/>
        <v>84219.11183277407</v>
      </c>
      <c r="F42" s="129">
        <v>0.19199620793639191</v>
      </c>
    </row>
    <row r="43" spans="1:6" x14ac:dyDescent="0.25">
      <c r="A43" s="125" t="s">
        <v>113</v>
      </c>
      <c r="B43" s="126">
        <v>213500</v>
      </c>
      <c r="C43" s="127">
        <v>364170.60778934823</v>
      </c>
      <c r="D43" s="127">
        <f>BRZ!D44</f>
        <v>1897148</v>
      </c>
      <c r="E43" s="126">
        <f t="shared" si="0"/>
        <v>150670.60778934823</v>
      </c>
      <c r="F43" s="129">
        <v>0.19195687831911282</v>
      </c>
    </row>
    <row r="44" spans="1:6" x14ac:dyDescent="0.25">
      <c r="A44" s="125" t="s">
        <v>114</v>
      </c>
      <c r="B44" s="126">
        <v>213500</v>
      </c>
      <c r="C44" s="127">
        <v>304456.33886441449</v>
      </c>
      <c r="D44" s="127">
        <f>BRZ!D45</f>
        <v>1581664.02</v>
      </c>
      <c r="E44" s="126">
        <f t="shared" si="0"/>
        <v>90956.338864414487</v>
      </c>
      <c r="F44" s="129">
        <v>0.19249115805543487</v>
      </c>
    </row>
    <row r="45" spans="1:6" x14ac:dyDescent="0.25">
      <c r="A45" s="125" t="s">
        <v>115</v>
      </c>
      <c r="B45" s="126">
        <v>213500</v>
      </c>
      <c r="C45" s="127">
        <v>310545.46564170282</v>
      </c>
      <c r="D45" s="127">
        <f>BRZ!D46</f>
        <v>1613297.3004000001</v>
      </c>
      <c r="E45" s="126">
        <f t="shared" si="0"/>
        <v>97045.465641702816</v>
      </c>
      <c r="F45" s="129">
        <v>0.19249115805543487</v>
      </c>
    </row>
    <row r="46" spans="1:6" x14ac:dyDescent="0.25">
      <c r="A46" s="125" t="s">
        <v>116</v>
      </c>
      <c r="B46" s="126">
        <v>213500</v>
      </c>
      <c r="C46" s="127">
        <v>310545.46564170282</v>
      </c>
      <c r="D46" s="127">
        <f>BRZ!D47</f>
        <v>1613297.3004000001</v>
      </c>
      <c r="E46" s="126">
        <f t="shared" si="0"/>
        <v>97045.465641702816</v>
      </c>
      <c r="F46" s="129">
        <v>0.19249115805543487</v>
      </c>
    </row>
    <row r="47" spans="1:6" x14ac:dyDescent="0.25">
      <c r="A47" s="125" t="s">
        <v>117</v>
      </c>
      <c r="B47" s="126">
        <v>213500</v>
      </c>
      <c r="C47" s="127">
        <v>310545.46564170282</v>
      </c>
      <c r="D47" s="127">
        <f>BRZ!D48</f>
        <v>1613297.3004000001</v>
      </c>
      <c r="E47" s="126">
        <f t="shared" si="0"/>
        <v>97045.465641702816</v>
      </c>
      <c r="F47" s="129">
        <v>0.19249115805543487</v>
      </c>
    </row>
    <row r="48" spans="1:6" x14ac:dyDescent="0.25">
      <c r="B48" s="126"/>
      <c r="C48" s="127"/>
      <c r="D48" s="127"/>
      <c r="E48" s="126">
        <f>SUM(E5:E47)</f>
        <v>1420922.8946096122</v>
      </c>
      <c r="F48" s="132"/>
    </row>
    <row r="49" spans="1:6" x14ac:dyDescent="0.25">
      <c r="A49" s="125" t="s">
        <v>118</v>
      </c>
      <c r="B49" s="126"/>
      <c r="C49" s="127"/>
      <c r="D49" s="127"/>
      <c r="E49" s="130">
        <v>1420922.8057895228</v>
      </c>
      <c r="F49" s="132"/>
    </row>
    <row r="50" spans="1:6" x14ac:dyDescent="0.25">
      <c r="E50" s="126">
        <f>E48-E49</f>
        <v>8.8820089353248477E-2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65528-9EB2-47DD-BFF1-B0BA3F910D27}">
  <sheetPr>
    <tabColor rgb="FF60FCFC"/>
  </sheetPr>
  <dimension ref="A1:F49"/>
  <sheetViews>
    <sheetView zoomScaleNormal="100" workbookViewId="0">
      <pane ySplit="3" topLeftCell="A4" activePane="bottomLeft" state="frozen"/>
      <selection activeCell="I38" sqref="I38"/>
      <selection pane="bottomLeft"/>
    </sheetView>
  </sheetViews>
  <sheetFormatPr defaultColWidth="8.77734375" defaultRowHeight="13.8" x14ac:dyDescent="0.25"/>
  <cols>
    <col min="1" max="1" width="23.21875" style="125" customWidth="1"/>
    <col min="2" max="2" width="32.6640625" style="125" bestFit="1" customWidth="1"/>
    <col min="3" max="3" width="17.88671875" style="131" bestFit="1" customWidth="1"/>
    <col min="4" max="4" width="17" style="131" bestFit="1" customWidth="1"/>
    <col min="5" max="5" width="13.5546875" style="125" bestFit="1" customWidth="1"/>
    <col min="6" max="6" width="39.21875" style="125" bestFit="1" customWidth="1"/>
    <col min="7" max="16384" width="8.77734375" style="125"/>
  </cols>
  <sheetData>
    <row r="1" spans="1:6" s="120" customFormat="1" x14ac:dyDescent="0.25">
      <c r="A1" s="120" t="s">
        <v>6</v>
      </c>
      <c r="C1" s="121"/>
      <c r="D1" s="121"/>
    </row>
    <row r="2" spans="1:6" s="120" customFormat="1" x14ac:dyDescent="0.25">
      <c r="C2" s="121"/>
      <c r="D2" s="121"/>
      <c r="F2" s="124"/>
    </row>
    <row r="3" spans="1:6" s="120" customFormat="1" x14ac:dyDescent="0.25">
      <c r="B3" s="120" t="s">
        <v>107</v>
      </c>
      <c r="C3" s="121" t="s">
        <v>109</v>
      </c>
      <c r="D3" s="121" t="s">
        <v>106</v>
      </c>
      <c r="E3" s="120" t="s">
        <v>108</v>
      </c>
      <c r="F3" s="120" t="s">
        <v>119</v>
      </c>
    </row>
    <row r="4" spans="1:6" x14ac:dyDescent="0.25">
      <c r="A4" s="125" t="s">
        <v>74</v>
      </c>
      <c r="B4" s="126">
        <v>256252.66666666666</v>
      </c>
      <c r="C4" s="127">
        <v>396360</v>
      </c>
      <c r="D4" s="127"/>
      <c r="E4" s="126">
        <f t="shared" ref="E4:E46" si="0">C4-B4</f>
        <v>140107.33333333334</v>
      </c>
      <c r="F4" s="129"/>
    </row>
    <row r="5" spans="1:6" x14ac:dyDescent="0.25">
      <c r="A5" s="125" t="s">
        <v>76</v>
      </c>
      <c r="B5" s="126">
        <v>256252.66666666666</v>
      </c>
      <c r="C5" s="127">
        <v>396360</v>
      </c>
      <c r="D5" s="127"/>
      <c r="E5" s="126">
        <f t="shared" si="0"/>
        <v>140107.33333333334</v>
      </c>
      <c r="F5" s="129"/>
    </row>
    <row r="6" spans="1:6" x14ac:dyDescent="0.25">
      <c r="A6" s="125" t="s">
        <v>77</v>
      </c>
      <c r="B6" s="126">
        <v>256252.66666666666</v>
      </c>
      <c r="C6" s="127">
        <v>396360</v>
      </c>
      <c r="D6" s="127"/>
      <c r="E6" s="126">
        <f t="shared" si="0"/>
        <v>140107.33333333334</v>
      </c>
      <c r="F6" s="129"/>
    </row>
    <row r="7" spans="1:6" x14ac:dyDescent="0.25">
      <c r="A7" s="125" t="s">
        <v>71</v>
      </c>
      <c r="B7" s="126">
        <v>258815.25</v>
      </c>
      <c r="C7" s="127">
        <v>396322.00416164345</v>
      </c>
      <c r="D7" s="127">
        <v>1063972</v>
      </c>
      <c r="E7" s="126">
        <f t="shared" si="0"/>
        <v>137506.75416164345</v>
      </c>
      <c r="F7" s="129">
        <v>0.37249288906253497</v>
      </c>
    </row>
    <row r="8" spans="1:6" x14ac:dyDescent="0.25">
      <c r="A8" s="125" t="s">
        <v>75</v>
      </c>
      <c r="B8" s="126">
        <v>258815.25</v>
      </c>
      <c r="C8" s="127">
        <v>412709.82881594967</v>
      </c>
      <c r="D8" s="127">
        <v>1107967</v>
      </c>
      <c r="E8" s="126">
        <f t="shared" si="0"/>
        <v>153894.57881594967</v>
      </c>
      <c r="F8" s="129">
        <v>0.37249288906253497</v>
      </c>
    </row>
    <row r="9" spans="1:6" x14ac:dyDescent="0.25">
      <c r="A9" s="125" t="s">
        <v>78</v>
      </c>
      <c r="B9" s="126">
        <v>258815.25</v>
      </c>
      <c r="C9" s="127">
        <v>412709.82881594967</v>
      </c>
      <c r="D9" s="127">
        <v>1107967</v>
      </c>
      <c r="E9" s="126">
        <f t="shared" si="0"/>
        <v>153894.57881594967</v>
      </c>
      <c r="F9" s="129">
        <v>0.37249288906253497</v>
      </c>
    </row>
    <row r="10" spans="1:6" x14ac:dyDescent="0.25">
      <c r="A10" s="125" t="s">
        <v>79</v>
      </c>
      <c r="B10" s="126">
        <v>258815.25</v>
      </c>
      <c r="C10" s="127">
        <v>390975.98621781793</v>
      </c>
      <c r="D10" s="127">
        <v>1049620</v>
      </c>
      <c r="E10" s="126">
        <f t="shared" si="0"/>
        <v>132160.73621781793</v>
      </c>
      <c r="F10" s="129">
        <v>0.37249288906253497</v>
      </c>
    </row>
    <row r="11" spans="1:6" x14ac:dyDescent="0.25">
      <c r="A11" s="125" t="s">
        <v>72</v>
      </c>
      <c r="B11" s="126">
        <v>258815.25</v>
      </c>
      <c r="C11" s="127">
        <v>390975.61372492887</v>
      </c>
      <c r="D11" s="127">
        <f>BRZ!D13</f>
        <v>1049619</v>
      </c>
      <c r="E11" s="126">
        <f t="shared" si="0"/>
        <v>132160.36372492887</v>
      </c>
      <c r="F11" s="129">
        <v>0.37249288906253497</v>
      </c>
    </row>
    <row r="12" spans="1:6" x14ac:dyDescent="0.25">
      <c r="A12" s="125" t="s">
        <v>80</v>
      </c>
      <c r="B12" s="126">
        <v>258815.25</v>
      </c>
      <c r="C12" s="127">
        <v>396276.55586801155</v>
      </c>
      <c r="D12" s="127">
        <f>BRZ!D14</f>
        <v>1063850</v>
      </c>
      <c r="E12" s="126">
        <f t="shared" si="0"/>
        <v>137461.30586801155</v>
      </c>
      <c r="F12" s="129">
        <v>0.37249288515111301</v>
      </c>
    </row>
    <row r="13" spans="1:6" x14ac:dyDescent="0.25">
      <c r="A13" s="125" t="s">
        <v>81</v>
      </c>
      <c r="B13" s="126">
        <v>258815.25</v>
      </c>
      <c r="C13" s="127">
        <v>363367.92694356618</v>
      </c>
      <c r="D13" s="127">
        <f>BRZ!D15</f>
        <v>975503</v>
      </c>
      <c r="E13" s="126">
        <f t="shared" si="0"/>
        <v>104552.67694356618</v>
      </c>
      <c r="F13" s="129">
        <v>0.37249288515111301</v>
      </c>
    </row>
    <row r="14" spans="1:6" x14ac:dyDescent="0.25">
      <c r="A14" s="125" t="s">
        <v>82</v>
      </c>
      <c r="B14" s="126">
        <v>258815.25</v>
      </c>
      <c r="C14" s="127">
        <v>363367.92694356618</v>
      </c>
      <c r="D14" s="127">
        <f>BRZ!D16</f>
        <v>975503</v>
      </c>
      <c r="E14" s="126">
        <f t="shared" si="0"/>
        <v>104552.67694356618</v>
      </c>
      <c r="F14" s="129">
        <v>0.37249288515111301</v>
      </c>
    </row>
    <row r="15" spans="1:6" x14ac:dyDescent="0.25">
      <c r="A15" s="125" t="s">
        <v>73</v>
      </c>
      <c r="B15" s="126">
        <v>258815.25</v>
      </c>
      <c r="C15" s="127">
        <v>363368.29943645134</v>
      </c>
      <c r="D15" s="127">
        <f>BRZ!D17</f>
        <v>1030189</v>
      </c>
      <c r="E15" s="126">
        <f t="shared" si="0"/>
        <v>104553.04943645134</v>
      </c>
      <c r="F15" s="129">
        <v>0.35272003432035415</v>
      </c>
    </row>
    <row r="16" spans="1:6" x14ac:dyDescent="0.25">
      <c r="A16" s="125" t="s">
        <v>83</v>
      </c>
      <c r="B16" s="126">
        <v>258815.25</v>
      </c>
      <c r="C16" s="127">
        <v>396270.91735902394</v>
      </c>
      <c r="D16" s="127">
        <f>BRZ!D18</f>
        <v>1123494</v>
      </c>
      <c r="E16" s="126">
        <f t="shared" si="0"/>
        <v>137455.66735902394</v>
      </c>
      <c r="F16" s="129">
        <v>0.35271298054019329</v>
      </c>
    </row>
    <row r="17" spans="1:6" x14ac:dyDescent="0.25">
      <c r="A17" s="125" t="s">
        <v>84</v>
      </c>
      <c r="B17" s="126">
        <v>258815.25</v>
      </c>
      <c r="C17" s="127">
        <v>392039.77244446374</v>
      </c>
      <c r="D17" s="127">
        <f>BRZ!D19</f>
        <v>1111498</v>
      </c>
      <c r="E17" s="126">
        <f t="shared" si="0"/>
        <v>133224.52244446374</v>
      </c>
      <c r="F17" s="129">
        <v>0.35271298054019329</v>
      </c>
    </row>
    <row r="18" spans="1:6" x14ac:dyDescent="0.25">
      <c r="A18" s="125" t="s">
        <v>85</v>
      </c>
      <c r="B18" s="126">
        <v>258815.25</v>
      </c>
      <c r="C18" s="127">
        <v>392039.77244446374</v>
      </c>
      <c r="D18" s="127">
        <f>BRZ!D20</f>
        <v>1111498</v>
      </c>
      <c r="E18" s="126">
        <f t="shared" si="0"/>
        <v>133224.52244446374</v>
      </c>
      <c r="F18" s="129">
        <v>0.35271298054019329</v>
      </c>
    </row>
    <row r="19" spans="1:6" x14ac:dyDescent="0.25">
      <c r="A19" s="125" t="s">
        <v>86</v>
      </c>
      <c r="B19" s="126">
        <v>258815.25</v>
      </c>
      <c r="C19" s="127">
        <v>392039.77244446374</v>
      </c>
      <c r="D19" s="127">
        <f>BRZ!D21</f>
        <v>1111498</v>
      </c>
      <c r="E19" s="126">
        <f t="shared" si="0"/>
        <v>133224.52244446374</v>
      </c>
      <c r="F19" s="129">
        <v>0.35271298054019329</v>
      </c>
    </row>
    <row r="20" spans="1:6" x14ac:dyDescent="0.25">
      <c r="A20" s="125" t="s">
        <v>87</v>
      </c>
      <c r="B20" s="126">
        <v>258815.25</v>
      </c>
      <c r="C20" s="127">
        <v>380524.04460946034</v>
      </c>
      <c r="D20" s="127">
        <f>BRZ!D22</f>
        <v>1078849</v>
      </c>
      <c r="E20" s="126">
        <f t="shared" si="0"/>
        <v>121708.79460946034</v>
      </c>
      <c r="F20" s="129">
        <v>0.35271297893353037</v>
      </c>
    </row>
    <row r="21" spans="1:6" x14ac:dyDescent="0.25">
      <c r="A21" s="125" t="s">
        <v>88</v>
      </c>
      <c r="B21" s="126">
        <v>258815.25</v>
      </c>
      <c r="C21" s="127">
        <v>379913.5714209369</v>
      </c>
      <c r="D21" s="127">
        <f>BRZ!D23</f>
        <v>1066182</v>
      </c>
      <c r="E21" s="126">
        <f t="shared" si="0"/>
        <v>121098.3214209369</v>
      </c>
      <c r="F21" s="129">
        <v>0.35633088105120597</v>
      </c>
    </row>
    <row r="22" spans="1:6" x14ac:dyDescent="0.25">
      <c r="A22" s="125" t="s">
        <v>89</v>
      </c>
      <c r="B22" s="126">
        <v>258815.25</v>
      </c>
      <c r="C22" s="127">
        <v>379952.18120368104</v>
      </c>
      <c r="D22" s="127">
        <f>BRZ!D24</f>
        <v>1066181</v>
      </c>
      <c r="E22" s="126">
        <f t="shared" si="0"/>
        <v>121136.93120368104</v>
      </c>
      <c r="F22" s="129">
        <v>0.3563674284232049</v>
      </c>
    </row>
    <row r="23" spans="1:6" x14ac:dyDescent="0.25">
      <c r="A23" s="125" t="s">
        <v>90</v>
      </c>
      <c r="B23" s="126">
        <v>258815.25</v>
      </c>
      <c r="C23" s="127">
        <v>380015.90414298378</v>
      </c>
      <c r="D23" s="127">
        <f>BRZ!D25</f>
        <v>1066182</v>
      </c>
      <c r="E23" s="126">
        <f t="shared" si="0"/>
        <v>121200.65414298378</v>
      </c>
      <c r="F23" s="129">
        <v>0.35642686158928194</v>
      </c>
    </row>
    <row r="24" spans="1:6" x14ac:dyDescent="0.25">
      <c r="A24" s="125" t="s">
        <v>91</v>
      </c>
      <c r="B24" s="126">
        <v>258815.25</v>
      </c>
      <c r="C24" s="127">
        <v>367083.52000000002</v>
      </c>
      <c r="D24" s="127">
        <f>BRZ!D26</f>
        <v>1029393</v>
      </c>
      <c r="E24" s="126">
        <f t="shared" si="0"/>
        <v>108268.27000000002</v>
      </c>
      <c r="F24" s="129">
        <v>0.35663656509856767</v>
      </c>
    </row>
    <row r="25" spans="1:6" x14ac:dyDescent="0.25">
      <c r="A25" s="125" t="s">
        <v>92</v>
      </c>
      <c r="B25" s="126">
        <v>258815.25</v>
      </c>
      <c r="C25" s="127">
        <v>368771.44620199146</v>
      </c>
      <c r="D25" s="127">
        <f>BRZ!D27</f>
        <v>1034058</v>
      </c>
      <c r="E25" s="126">
        <f t="shared" si="0"/>
        <v>109956.19620199146</v>
      </c>
      <c r="F25" s="129">
        <v>0.35662549509020913</v>
      </c>
    </row>
    <row r="26" spans="1:6" x14ac:dyDescent="0.25">
      <c r="A26" s="125" t="s">
        <v>93</v>
      </c>
      <c r="B26" s="126">
        <v>258815.25</v>
      </c>
      <c r="C26" s="127">
        <v>369624.31452927284</v>
      </c>
      <c r="D26" s="127">
        <f>BRZ!D28</f>
        <v>1036441</v>
      </c>
      <c r="E26" s="126">
        <f t="shared" si="0"/>
        <v>110809.06452927284</v>
      </c>
      <c r="F26" s="129">
        <v>0.35662841833666636</v>
      </c>
    </row>
    <row r="27" spans="1:6" x14ac:dyDescent="0.25">
      <c r="A27" s="125" t="s">
        <v>94</v>
      </c>
      <c r="B27" s="126">
        <v>258815.25</v>
      </c>
      <c r="C27" s="127">
        <v>369650.77725484915</v>
      </c>
      <c r="D27" s="127">
        <f>BRZ!D29</f>
        <v>1036441</v>
      </c>
      <c r="E27" s="126">
        <f t="shared" si="0"/>
        <v>110835.52725484915</v>
      </c>
      <c r="F27" s="129">
        <v>0.35665395063959177</v>
      </c>
    </row>
    <row r="28" spans="1:6" x14ac:dyDescent="0.25">
      <c r="A28" s="125" t="s">
        <v>95</v>
      </c>
      <c r="B28" s="126">
        <v>258815.25</v>
      </c>
      <c r="C28" s="127">
        <v>440417.77180336666</v>
      </c>
      <c r="D28" s="127">
        <f>BRZ!D30</f>
        <v>1234385</v>
      </c>
      <c r="E28" s="126">
        <f t="shared" si="0"/>
        <v>181602.52180336666</v>
      </c>
      <c r="F28" s="129">
        <v>0.35679125378497523</v>
      </c>
    </row>
    <row r="29" spans="1:6" x14ac:dyDescent="0.25">
      <c r="A29" s="125" t="s">
        <v>96</v>
      </c>
      <c r="B29" s="126">
        <v>258815.25</v>
      </c>
      <c r="C29" s="127">
        <v>425836.35769732168</v>
      </c>
      <c r="D29" s="127">
        <f>BRZ!D31</f>
        <v>1193261</v>
      </c>
      <c r="E29" s="126">
        <f t="shared" si="0"/>
        <v>167021.10769732168</v>
      </c>
      <c r="F29" s="129">
        <v>0.35686774117089359</v>
      </c>
    </row>
    <row r="30" spans="1:6" x14ac:dyDescent="0.25">
      <c r="A30" s="125" t="s">
        <v>97</v>
      </c>
      <c r="B30" s="126">
        <v>258815.25</v>
      </c>
      <c r="C30" s="127">
        <v>421624.53470304771</v>
      </c>
      <c r="D30" s="127">
        <f>BRZ!D32</f>
        <v>1181126</v>
      </c>
      <c r="E30" s="126">
        <f t="shared" si="0"/>
        <v>162809.28470304771</v>
      </c>
      <c r="F30" s="129">
        <v>0.35696829525643131</v>
      </c>
    </row>
    <row r="31" spans="1:6" x14ac:dyDescent="0.25">
      <c r="A31" s="125" t="s">
        <v>98</v>
      </c>
      <c r="B31" s="126">
        <v>258815.25</v>
      </c>
      <c r="C31" s="127">
        <v>421788.99559848569</v>
      </c>
      <c r="D31" s="127">
        <f>BRZ!D33</f>
        <v>1181126</v>
      </c>
      <c r="E31" s="126">
        <f t="shared" si="0"/>
        <v>162973.74559848569</v>
      </c>
      <c r="F31" s="129">
        <v>0.35710753602789685</v>
      </c>
    </row>
    <row r="32" spans="1:6" x14ac:dyDescent="0.25">
      <c r="A32" s="125" t="s">
        <v>99</v>
      </c>
      <c r="B32" s="126">
        <v>258815.25</v>
      </c>
      <c r="C32" s="127">
        <v>485797.23729892983</v>
      </c>
      <c r="D32" s="127">
        <f>BRZ!D34</f>
        <v>1357940</v>
      </c>
      <c r="E32" s="126">
        <f t="shared" si="0"/>
        <v>226981.98729892983</v>
      </c>
      <c r="F32" s="129">
        <v>0.35774573051749697</v>
      </c>
    </row>
    <row r="33" spans="1:6" x14ac:dyDescent="0.25">
      <c r="A33" s="125" t="s">
        <v>100</v>
      </c>
      <c r="B33" s="126">
        <v>258815.25</v>
      </c>
      <c r="C33" s="127">
        <v>475848.14416567102</v>
      </c>
      <c r="D33" s="127">
        <f>BRZ!D35</f>
        <v>1329727</v>
      </c>
      <c r="E33" s="126">
        <f t="shared" si="0"/>
        <v>217032.89416567102</v>
      </c>
      <c r="F33" s="129">
        <v>0.35785401376799225</v>
      </c>
    </row>
    <row r="34" spans="1:6" x14ac:dyDescent="0.25">
      <c r="A34" s="125" t="s">
        <v>101</v>
      </c>
      <c r="B34" s="126">
        <v>258815.25</v>
      </c>
      <c r="C34" s="127">
        <v>475992.75575500441</v>
      </c>
      <c r="D34" s="127">
        <f>BRZ!D36</f>
        <v>1329727</v>
      </c>
      <c r="E34" s="126">
        <f t="shared" si="0"/>
        <v>217177.50575500441</v>
      </c>
      <c r="F34" s="129">
        <v>0.35796276660923965</v>
      </c>
    </row>
    <row r="35" spans="1:6" x14ac:dyDescent="0.25">
      <c r="A35" s="125" t="s">
        <v>102</v>
      </c>
      <c r="B35" s="126">
        <v>258815.25</v>
      </c>
      <c r="C35" s="127">
        <v>476126.26239306945</v>
      </c>
      <c r="D35" s="127">
        <f>BRZ!D37</f>
        <v>1329727</v>
      </c>
      <c r="E35" s="126">
        <f t="shared" si="0"/>
        <v>217311.01239306945</v>
      </c>
      <c r="F35" s="129">
        <v>0.3580631681488527</v>
      </c>
    </row>
    <row r="36" spans="1:6" x14ac:dyDescent="0.25">
      <c r="A36" s="125" t="s">
        <v>103</v>
      </c>
      <c r="B36" s="126">
        <v>258815.25</v>
      </c>
      <c r="C36" s="127">
        <v>556126.82147340791</v>
      </c>
      <c r="D36" s="127">
        <f>BRZ!D38</f>
        <v>1550651</v>
      </c>
      <c r="E36" s="126">
        <f t="shared" si="0"/>
        <v>297311.57147340791</v>
      </c>
      <c r="F36" s="129">
        <v>0.35864086855998412</v>
      </c>
    </row>
    <row r="37" spans="1:6" x14ac:dyDescent="0.25">
      <c r="A37" s="125" t="s">
        <v>104</v>
      </c>
      <c r="B37" s="126">
        <v>258815.25</v>
      </c>
      <c r="C37" s="127">
        <v>556377.04582703509</v>
      </c>
      <c r="D37" s="127">
        <f>BRZ!D39</f>
        <v>1550651</v>
      </c>
      <c r="E37" s="126">
        <f t="shared" si="0"/>
        <v>297561.79582703509</v>
      </c>
      <c r="F37" s="129">
        <v>0.35880223585257748</v>
      </c>
    </row>
    <row r="38" spans="1:6" x14ac:dyDescent="0.25">
      <c r="A38" s="125" t="s">
        <v>105</v>
      </c>
      <c r="B38" s="126">
        <v>258815.25</v>
      </c>
      <c r="C38" s="127">
        <v>556559.39225461346</v>
      </c>
      <c r="D38" s="127">
        <f>BRZ!D40</f>
        <v>1550651</v>
      </c>
      <c r="E38" s="126">
        <f t="shared" si="0"/>
        <v>297744.14225461346</v>
      </c>
      <c r="F38" s="129">
        <v>0.35891982931982341</v>
      </c>
    </row>
    <row r="39" spans="1:6" x14ac:dyDescent="0.25">
      <c r="A39" s="125" t="s">
        <v>110</v>
      </c>
      <c r="B39" s="126">
        <v>258815.25</v>
      </c>
      <c r="C39" s="127">
        <v>556747.53758754779</v>
      </c>
      <c r="D39" s="127">
        <f>BRZ!D41</f>
        <v>1550651</v>
      </c>
      <c r="E39" s="126">
        <f t="shared" si="0"/>
        <v>297932.28758754779</v>
      </c>
      <c r="F39" s="129">
        <v>0.35904116244567463</v>
      </c>
    </row>
    <row r="40" spans="1:6" x14ac:dyDescent="0.25">
      <c r="A40" s="125" t="s">
        <v>111</v>
      </c>
      <c r="B40" s="126">
        <v>258815.25</v>
      </c>
      <c r="C40" s="127">
        <v>558121.77700582426</v>
      </c>
      <c r="D40" s="127">
        <f>BRZ!D42</f>
        <v>1550651</v>
      </c>
      <c r="E40" s="126">
        <f t="shared" si="0"/>
        <v>299306.52700582426</v>
      </c>
      <c r="F40" s="129">
        <v>0.35992739630376164</v>
      </c>
    </row>
    <row r="41" spans="1:6" x14ac:dyDescent="0.25">
      <c r="A41" s="125" t="s">
        <v>112</v>
      </c>
      <c r="B41" s="126">
        <v>258815.25</v>
      </c>
      <c r="C41" s="127">
        <v>558400.58451387065</v>
      </c>
      <c r="D41" s="127">
        <f>BRZ!D43</f>
        <v>1550651</v>
      </c>
      <c r="E41" s="126">
        <f t="shared" si="0"/>
        <v>299585.33451387065</v>
      </c>
      <c r="F41" s="129">
        <v>0.36010719659928031</v>
      </c>
    </row>
    <row r="42" spans="1:6" x14ac:dyDescent="0.25">
      <c r="A42" s="125" t="s">
        <v>113</v>
      </c>
      <c r="B42" s="126">
        <v>258815.25</v>
      </c>
      <c r="C42" s="127">
        <v>683379.16022161942</v>
      </c>
      <c r="D42" s="127">
        <f>BRZ!D44</f>
        <v>1897148</v>
      </c>
      <c r="E42" s="126">
        <f t="shared" si="0"/>
        <v>424563.91022161942</v>
      </c>
      <c r="F42" s="129">
        <v>0.36021394230793774</v>
      </c>
    </row>
    <row r="43" spans="1:6" x14ac:dyDescent="0.25">
      <c r="A43" s="125" t="s">
        <v>114</v>
      </c>
      <c r="B43" s="126">
        <v>258815.25</v>
      </c>
      <c r="C43" s="127">
        <v>559406.85790287599</v>
      </c>
      <c r="D43" s="127">
        <f>BRZ!D45</f>
        <v>1581664.02</v>
      </c>
      <c r="E43" s="126">
        <f t="shared" si="0"/>
        <v>300591.60790287599</v>
      </c>
      <c r="F43" s="129">
        <v>0.35368248302371824</v>
      </c>
    </row>
    <row r="44" spans="1:6" x14ac:dyDescent="0.25">
      <c r="A44" s="125" t="s">
        <v>115</v>
      </c>
      <c r="B44" s="126">
        <v>258815.25</v>
      </c>
      <c r="C44" s="127">
        <v>570751.84506093408</v>
      </c>
      <c r="D44" s="127">
        <f>BRZ!D46</f>
        <v>1613297.3004000001</v>
      </c>
      <c r="E44" s="126">
        <f t="shared" si="0"/>
        <v>311936.59506093408</v>
      </c>
      <c r="F44" s="129">
        <v>0.35377970626952776</v>
      </c>
    </row>
    <row r="45" spans="1:6" x14ac:dyDescent="0.25">
      <c r="A45" s="125" t="s">
        <v>116</v>
      </c>
      <c r="B45" s="126">
        <v>258815.25</v>
      </c>
      <c r="C45" s="127">
        <v>570751.84506093408</v>
      </c>
      <c r="D45" s="127">
        <f>BRZ!D47</f>
        <v>1613297.3004000001</v>
      </c>
      <c r="E45" s="126">
        <f t="shared" si="0"/>
        <v>311936.59506093408</v>
      </c>
      <c r="F45" s="129">
        <v>0.35377970626952776</v>
      </c>
    </row>
    <row r="46" spans="1:6" x14ac:dyDescent="0.25">
      <c r="A46" s="125" t="s">
        <v>117</v>
      </c>
      <c r="B46" s="126">
        <v>258815.25</v>
      </c>
      <c r="C46" s="127">
        <v>570751.84506093408</v>
      </c>
      <c r="D46" s="127">
        <f>BRZ!D48</f>
        <v>1613297.3004000001</v>
      </c>
      <c r="E46" s="126">
        <f t="shared" si="0"/>
        <v>311936.59506093408</v>
      </c>
      <c r="F46" s="129">
        <v>0.35377970626952776</v>
      </c>
    </row>
    <row r="47" spans="1:6" x14ac:dyDescent="0.25">
      <c r="B47" s="126"/>
      <c r="C47" s="127"/>
      <c r="D47" s="127"/>
      <c r="E47" s="126">
        <f>SUM(E4:E46)</f>
        <v>8046518.7363679688</v>
      </c>
      <c r="F47" s="132"/>
    </row>
    <row r="48" spans="1:6" x14ac:dyDescent="0.25">
      <c r="A48" s="125" t="s">
        <v>118</v>
      </c>
      <c r="B48" s="126"/>
      <c r="C48" s="127"/>
      <c r="D48" s="127"/>
      <c r="E48" s="130">
        <v>8046518.7230856763</v>
      </c>
      <c r="F48" s="132"/>
    </row>
    <row r="49" spans="5:5" x14ac:dyDescent="0.25">
      <c r="E49" s="126">
        <f>E47-E48</f>
        <v>1.3282292522490025E-2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C4F5A-D13E-449F-96E0-0D71ADEBA149}">
  <sheetPr>
    <tabColor rgb="FF60FCFC"/>
  </sheetPr>
  <dimension ref="A1:F49"/>
  <sheetViews>
    <sheetView zoomScaleNormal="100" workbookViewId="0">
      <pane ySplit="3" topLeftCell="A4" activePane="bottomLeft" state="frozen"/>
      <selection activeCell="I12" sqref="I12:I38"/>
      <selection pane="bottomLeft"/>
    </sheetView>
  </sheetViews>
  <sheetFormatPr defaultColWidth="8.77734375" defaultRowHeight="13.8" x14ac:dyDescent="0.25"/>
  <cols>
    <col min="1" max="1" width="23.21875" style="125" customWidth="1"/>
    <col min="2" max="2" width="32.6640625" style="125" bestFit="1" customWidth="1"/>
    <col min="3" max="3" width="17.88671875" style="131" bestFit="1" customWidth="1"/>
    <col min="4" max="4" width="17" style="131" bestFit="1" customWidth="1"/>
    <col min="5" max="5" width="13.5546875" style="125" bestFit="1" customWidth="1"/>
    <col min="6" max="6" width="39.21875" style="125" bestFit="1" customWidth="1"/>
    <col min="7" max="16384" width="8.77734375" style="125"/>
  </cols>
  <sheetData>
    <row r="1" spans="1:6" s="120" customFormat="1" x14ac:dyDescent="0.25">
      <c r="A1" s="120" t="s">
        <v>7</v>
      </c>
      <c r="C1" s="121"/>
      <c r="D1" s="121"/>
    </row>
    <row r="2" spans="1:6" s="120" customFormat="1" x14ac:dyDescent="0.25">
      <c r="D2" s="121"/>
      <c r="F2" s="124"/>
    </row>
    <row r="3" spans="1:6" s="120" customFormat="1" x14ac:dyDescent="0.25">
      <c r="B3" s="120" t="s">
        <v>107</v>
      </c>
      <c r="C3" s="121" t="s">
        <v>109</v>
      </c>
      <c r="D3" s="121" t="s">
        <v>106</v>
      </c>
      <c r="E3" s="120" t="s">
        <v>108</v>
      </c>
      <c r="F3" s="120" t="s">
        <v>119</v>
      </c>
    </row>
    <row r="4" spans="1:6" x14ac:dyDescent="0.25">
      <c r="A4" s="125" t="s">
        <v>74</v>
      </c>
      <c r="B4" s="126">
        <v>150000</v>
      </c>
      <c r="C4" s="127">
        <v>272829</v>
      </c>
      <c r="D4" s="127"/>
      <c r="E4" s="126">
        <f t="shared" ref="E4:E46" si="0">C4-B4</f>
        <v>122829</v>
      </c>
    </row>
    <row r="5" spans="1:6" x14ac:dyDescent="0.25">
      <c r="A5" s="125" t="s">
        <v>76</v>
      </c>
      <c r="B5" s="126">
        <v>150000</v>
      </c>
      <c r="C5" s="127">
        <v>272829</v>
      </c>
      <c r="D5" s="127"/>
      <c r="E5" s="126">
        <f t="shared" si="0"/>
        <v>122829</v>
      </c>
    </row>
    <row r="6" spans="1:6" x14ac:dyDescent="0.25">
      <c r="A6" s="125" t="s">
        <v>77</v>
      </c>
      <c r="B6" s="126">
        <v>150000</v>
      </c>
      <c r="C6" s="127">
        <v>272803</v>
      </c>
      <c r="D6" s="127"/>
      <c r="E6" s="126">
        <f t="shared" si="0"/>
        <v>122803</v>
      </c>
    </row>
    <row r="7" spans="1:6" x14ac:dyDescent="0.25">
      <c r="A7" s="125" t="s">
        <v>71</v>
      </c>
      <c r="B7" s="126">
        <v>150000</v>
      </c>
      <c r="C7" s="127">
        <v>272802.99957164458</v>
      </c>
      <c r="D7" s="127">
        <v>1063972</v>
      </c>
      <c r="E7" s="126">
        <f t="shared" si="0"/>
        <v>122802.99957164458</v>
      </c>
      <c r="F7" s="132">
        <v>0.25640054397262763</v>
      </c>
    </row>
    <row r="8" spans="1:6" x14ac:dyDescent="0.25">
      <c r="A8" s="125" t="s">
        <v>75</v>
      </c>
      <c r="B8" s="126">
        <v>150000</v>
      </c>
      <c r="C8" s="127">
        <v>284083.34150372032</v>
      </c>
      <c r="D8" s="127">
        <v>1107967</v>
      </c>
      <c r="E8" s="126">
        <f t="shared" si="0"/>
        <v>134083.34150372032</v>
      </c>
      <c r="F8" s="132">
        <v>0.25640054397262763</v>
      </c>
    </row>
    <row r="9" spans="1:6" x14ac:dyDescent="0.25">
      <c r="A9" s="125" t="s">
        <v>78</v>
      </c>
      <c r="B9" s="126">
        <v>150000</v>
      </c>
      <c r="C9" s="127">
        <v>284083.34150372032</v>
      </c>
      <c r="D9" s="127">
        <v>1107967</v>
      </c>
      <c r="E9" s="126">
        <f t="shared" si="0"/>
        <v>134083.34150372032</v>
      </c>
      <c r="F9" s="132">
        <v>0.25640054397262763</v>
      </c>
    </row>
    <row r="10" spans="1:6" x14ac:dyDescent="0.25">
      <c r="A10" s="125" t="s">
        <v>79</v>
      </c>
      <c r="B10" s="126">
        <v>150000</v>
      </c>
      <c r="C10" s="127">
        <v>269123.13896454941</v>
      </c>
      <c r="D10" s="127">
        <v>1049620</v>
      </c>
      <c r="E10" s="126">
        <f t="shared" si="0"/>
        <v>119123.13896454941</v>
      </c>
      <c r="F10" s="132">
        <v>0.25640054397262763</v>
      </c>
    </row>
    <row r="11" spans="1:6" x14ac:dyDescent="0.25">
      <c r="A11" s="125" t="s">
        <v>72</v>
      </c>
      <c r="B11" s="126">
        <v>150000</v>
      </c>
      <c r="C11" s="127">
        <v>269122.88256400544</v>
      </c>
      <c r="D11" s="127">
        <f>BRZ!D13</f>
        <v>1049619</v>
      </c>
      <c r="E11" s="126">
        <f t="shared" si="0"/>
        <v>119122.88256400544</v>
      </c>
      <c r="F11" s="132">
        <v>0.25640054397262763</v>
      </c>
    </row>
    <row r="12" spans="1:6" x14ac:dyDescent="0.25">
      <c r="A12" s="125" t="s">
        <v>80</v>
      </c>
      <c r="B12" s="126">
        <v>150000</v>
      </c>
      <c r="C12" s="127">
        <v>272771.71913358622</v>
      </c>
      <c r="D12" s="127">
        <f>BRZ!D14</f>
        <v>1063850</v>
      </c>
      <c r="E12" s="126">
        <f t="shared" si="0"/>
        <v>122771.71913358622</v>
      </c>
      <c r="F12" s="132">
        <v>0.25640054437522791</v>
      </c>
    </row>
    <row r="13" spans="1:6" x14ac:dyDescent="0.25">
      <c r="A13" s="125" t="s">
        <v>81</v>
      </c>
      <c r="B13" s="126">
        <v>150000</v>
      </c>
      <c r="C13" s="127">
        <v>250119.50023966795</v>
      </c>
      <c r="D13" s="127">
        <f>BRZ!D15</f>
        <v>975503</v>
      </c>
      <c r="E13" s="126">
        <f t="shared" si="0"/>
        <v>100119.50023966795</v>
      </c>
      <c r="F13" s="132">
        <v>0.25640054437522791</v>
      </c>
    </row>
    <row r="14" spans="1:6" x14ac:dyDescent="0.25">
      <c r="A14" s="125" t="s">
        <v>82</v>
      </c>
      <c r="B14" s="126">
        <v>150000</v>
      </c>
      <c r="C14" s="127">
        <v>250119.50023966795</v>
      </c>
      <c r="D14" s="127">
        <f>BRZ!D16</f>
        <v>975503</v>
      </c>
      <c r="E14" s="126">
        <f t="shared" si="0"/>
        <v>100119.50023966795</v>
      </c>
      <c r="F14" s="132">
        <v>0.25640054437522791</v>
      </c>
    </row>
    <row r="15" spans="1:6" x14ac:dyDescent="0.25">
      <c r="A15" s="125" t="s">
        <v>73</v>
      </c>
      <c r="B15" s="126">
        <v>150000</v>
      </c>
      <c r="C15" s="127">
        <v>250119.75664021232</v>
      </c>
      <c r="D15" s="127">
        <f>BRZ!D17</f>
        <v>1030189</v>
      </c>
      <c r="E15" s="126">
        <f t="shared" si="0"/>
        <v>100119.75664021232</v>
      </c>
      <c r="F15" s="132">
        <v>0.24279016436810363</v>
      </c>
    </row>
    <row r="16" spans="1:6" x14ac:dyDescent="0.25">
      <c r="A16" s="125" t="s">
        <v>83</v>
      </c>
      <c r="B16" s="126">
        <v>150000</v>
      </c>
      <c r="C16" s="127">
        <v>272767.83794059831</v>
      </c>
      <c r="D16" s="127">
        <f>BRZ!D18</f>
        <v>1123494</v>
      </c>
      <c r="E16" s="126">
        <f t="shared" si="0"/>
        <v>122767.83794059831</v>
      </c>
      <c r="F16" s="132">
        <v>0.24278530899194684</v>
      </c>
    </row>
    <row r="17" spans="1:6" x14ac:dyDescent="0.25">
      <c r="A17" s="125" t="s">
        <v>84</v>
      </c>
      <c r="B17" s="126">
        <v>150000</v>
      </c>
      <c r="C17" s="127">
        <v>269855.38537393091</v>
      </c>
      <c r="D17" s="127">
        <f>BRZ!D19</f>
        <v>1111498</v>
      </c>
      <c r="E17" s="126">
        <f t="shared" si="0"/>
        <v>119855.38537393091</v>
      </c>
      <c r="F17" s="132">
        <v>0.24278530899194684</v>
      </c>
    </row>
    <row r="18" spans="1:6" x14ac:dyDescent="0.25">
      <c r="A18" s="125" t="s">
        <v>85</v>
      </c>
      <c r="B18" s="126">
        <v>150000</v>
      </c>
      <c r="C18" s="127">
        <v>269855.38537393091</v>
      </c>
      <c r="D18" s="127">
        <f>BRZ!D20</f>
        <v>1111498</v>
      </c>
      <c r="E18" s="126">
        <f t="shared" si="0"/>
        <v>119855.38537393091</v>
      </c>
      <c r="F18" s="132">
        <v>0.24278530899194684</v>
      </c>
    </row>
    <row r="19" spans="1:6" x14ac:dyDescent="0.25">
      <c r="A19" s="125" t="s">
        <v>86</v>
      </c>
      <c r="B19" s="126">
        <v>150000</v>
      </c>
      <c r="C19" s="127">
        <v>269855.38537393091</v>
      </c>
      <c r="D19" s="127">
        <f>BRZ!D21</f>
        <v>1111498</v>
      </c>
      <c r="E19" s="126">
        <f t="shared" si="0"/>
        <v>119855.38537393091</v>
      </c>
      <c r="F19" s="132">
        <v>0.24278530899194684</v>
      </c>
    </row>
    <row r="20" spans="1:6" x14ac:dyDescent="0.25">
      <c r="A20" s="125" t="s">
        <v>87</v>
      </c>
      <c r="B20" s="126">
        <v>150000</v>
      </c>
      <c r="C20" s="127">
        <v>261928.68662752659</v>
      </c>
      <c r="D20" s="127">
        <f>BRZ!D22</f>
        <v>1078849</v>
      </c>
      <c r="E20" s="126">
        <f t="shared" si="0"/>
        <v>111928.68662752659</v>
      </c>
      <c r="F20" s="132">
        <v>0.24278530788602168</v>
      </c>
    </row>
    <row r="21" spans="1:6" x14ac:dyDescent="0.25">
      <c r="A21" s="125" t="s">
        <v>88</v>
      </c>
      <c r="B21" s="126">
        <v>150000</v>
      </c>
      <c r="C21" s="127">
        <v>252443.89189328087</v>
      </c>
      <c r="D21" s="127">
        <f>BRZ!D23</f>
        <v>1066182</v>
      </c>
      <c r="E21" s="126">
        <f t="shared" si="0"/>
        <v>102443.89189328087</v>
      </c>
      <c r="F21" s="132">
        <v>0.23677373271475308</v>
      </c>
    </row>
    <row r="22" spans="1:6" x14ac:dyDescent="0.25">
      <c r="A22" s="125" t="s">
        <v>89</v>
      </c>
      <c r="B22" s="126">
        <v>150000</v>
      </c>
      <c r="C22" s="127">
        <v>252456.62678452348</v>
      </c>
      <c r="D22" s="127">
        <f>BRZ!D24</f>
        <v>1066181</v>
      </c>
      <c r="E22" s="126">
        <f t="shared" si="0"/>
        <v>102456.62678452348</v>
      </c>
      <c r="F22" s="132">
        <v>0.23678589919021581</v>
      </c>
    </row>
    <row r="23" spans="1:6" x14ac:dyDescent="0.25">
      <c r="A23" s="125" t="s">
        <v>90</v>
      </c>
      <c r="B23" s="126">
        <v>150000</v>
      </c>
      <c r="C23" s="127">
        <v>252628.62361531358</v>
      </c>
      <c r="D23" s="127">
        <f>BRZ!D25</f>
        <v>1066182</v>
      </c>
      <c r="E23" s="126">
        <f t="shared" si="0"/>
        <v>102628.62361531358</v>
      </c>
      <c r="F23" s="132">
        <v>0.23694699743131434</v>
      </c>
    </row>
    <row r="24" spans="1:6" x14ac:dyDescent="0.25">
      <c r="A24" s="125" t="s">
        <v>91</v>
      </c>
      <c r="B24" s="126">
        <v>150000</v>
      </c>
      <c r="C24" s="127">
        <v>244583.65</v>
      </c>
      <c r="D24" s="127">
        <f>BRZ!D26</f>
        <v>1029393</v>
      </c>
      <c r="E24" s="126">
        <f t="shared" si="0"/>
        <v>94583.65</v>
      </c>
      <c r="F24" s="132">
        <v>0.23762296061471319</v>
      </c>
    </row>
    <row r="25" spans="1:6" x14ac:dyDescent="0.25">
      <c r="A25" s="125" t="s">
        <v>92</v>
      </c>
      <c r="B25" s="126">
        <v>150000</v>
      </c>
      <c r="C25" s="127">
        <v>245574.00893806914</v>
      </c>
      <c r="D25" s="127">
        <f>BRZ!D27</f>
        <v>1034058</v>
      </c>
      <c r="E25" s="126">
        <f t="shared" si="0"/>
        <v>95574.008938069135</v>
      </c>
      <c r="F25" s="132">
        <v>0.2374857202768792</v>
      </c>
    </row>
    <row r="26" spans="1:6" x14ac:dyDescent="0.25">
      <c r="A26" s="125" t="s">
        <v>93</v>
      </c>
      <c r="B26" s="126">
        <v>150000</v>
      </c>
      <c r="C26" s="127">
        <v>246120.8846313259</v>
      </c>
      <c r="D26" s="127">
        <f>BRZ!D28</f>
        <v>1036441</v>
      </c>
      <c r="E26" s="126">
        <f t="shared" si="0"/>
        <v>96120.884631325898</v>
      </c>
      <c r="F26" s="132">
        <v>0.23746733738951459</v>
      </c>
    </row>
    <row r="27" spans="1:6" x14ac:dyDescent="0.25">
      <c r="A27" s="125" t="s">
        <v>94</v>
      </c>
      <c r="B27" s="126">
        <v>150000</v>
      </c>
      <c r="C27" s="127">
        <v>246135.04103317592</v>
      </c>
      <c r="D27" s="127">
        <f>BRZ!D29</f>
        <v>1036441</v>
      </c>
      <c r="E27" s="126">
        <f t="shared" si="0"/>
        <v>96135.041033175919</v>
      </c>
      <c r="F27" s="132">
        <v>0.23748099605590275</v>
      </c>
    </row>
    <row r="28" spans="1:6" x14ac:dyDescent="0.25">
      <c r="A28" s="125" t="s">
        <v>95</v>
      </c>
      <c r="B28" s="126">
        <v>150000</v>
      </c>
      <c r="C28" s="127">
        <v>293041.21059442236</v>
      </c>
      <c r="D28" s="127">
        <f>BRZ!D30</f>
        <v>1234385</v>
      </c>
      <c r="E28" s="126">
        <f t="shared" si="0"/>
        <v>143041.21059442236</v>
      </c>
      <c r="F28" s="132">
        <v>0.23739855117683895</v>
      </c>
    </row>
    <row r="29" spans="1:6" x14ac:dyDescent="0.25">
      <c r="A29" s="125" t="s">
        <v>96</v>
      </c>
      <c r="B29" s="126">
        <v>150000</v>
      </c>
      <c r="C29" s="127">
        <v>283295.99900785403</v>
      </c>
      <c r="D29" s="127">
        <f>BRZ!D31</f>
        <v>1193261</v>
      </c>
      <c r="E29" s="126">
        <f t="shared" si="0"/>
        <v>133295.99900785403</v>
      </c>
      <c r="F29" s="132">
        <v>0.23741327254293404</v>
      </c>
    </row>
    <row r="30" spans="1:6" x14ac:dyDescent="0.25">
      <c r="A30" s="125" t="s">
        <v>97</v>
      </c>
      <c r="B30" s="126">
        <v>150000</v>
      </c>
      <c r="C30" s="127">
        <v>280424.703910827</v>
      </c>
      <c r="D30" s="127">
        <f>BRZ!D32</f>
        <v>1181126</v>
      </c>
      <c r="E30" s="126">
        <f t="shared" si="0"/>
        <v>130424.703910827</v>
      </c>
      <c r="F30" s="132">
        <v>0.23742149771559257</v>
      </c>
    </row>
    <row r="31" spans="1:6" x14ac:dyDescent="0.25">
      <c r="A31" s="125" t="s">
        <v>98</v>
      </c>
      <c r="B31" s="126">
        <v>150000</v>
      </c>
      <c r="C31" s="127">
        <v>280410.8657700381</v>
      </c>
      <c r="D31" s="127">
        <f>BRZ!D33</f>
        <v>1181126</v>
      </c>
      <c r="E31" s="126">
        <f t="shared" si="0"/>
        <v>130410.8657700381</v>
      </c>
      <c r="F31" s="132">
        <v>0.23740978165753535</v>
      </c>
    </row>
    <row r="32" spans="1:6" x14ac:dyDescent="0.25">
      <c r="A32" s="125" t="s">
        <v>99</v>
      </c>
      <c r="B32" s="126">
        <v>150000</v>
      </c>
      <c r="C32" s="127">
        <v>322350.00070350658</v>
      </c>
      <c r="D32" s="127">
        <f>BRZ!D34</f>
        <v>1357940</v>
      </c>
      <c r="E32" s="126">
        <f t="shared" si="0"/>
        <v>172350.00070350658</v>
      </c>
      <c r="F32" s="132">
        <v>0.23738162268105112</v>
      </c>
    </row>
    <row r="33" spans="1:6" x14ac:dyDescent="0.25">
      <c r="A33" s="125" t="s">
        <v>100</v>
      </c>
      <c r="B33" s="126">
        <v>150000</v>
      </c>
      <c r="C33" s="127">
        <v>315663.91568264941</v>
      </c>
      <c r="D33" s="127">
        <f>BRZ!D35</f>
        <v>1329727</v>
      </c>
      <c r="E33" s="126">
        <f t="shared" si="0"/>
        <v>165663.91568264941</v>
      </c>
      <c r="F33" s="132">
        <v>0.23739001741158106</v>
      </c>
    </row>
    <row r="34" spans="1:6" x14ac:dyDescent="0.25">
      <c r="A34" s="125" t="s">
        <v>101</v>
      </c>
      <c r="B34" s="126">
        <v>150000</v>
      </c>
      <c r="C34" s="127">
        <v>315648.33310325537</v>
      </c>
      <c r="D34" s="127">
        <f>BRZ!D36</f>
        <v>1329727</v>
      </c>
      <c r="E34" s="126">
        <f t="shared" si="0"/>
        <v>165648.33310325537</v>
      </c>
      <c r="F34" s="132">
        <v>0.23737829878106964</v>
      </c>
    </row>
    <row r="35" spans="1:6" x14ac:dyDescent="0.25">
      <c r="A35" s="125" t="s">
        <v>102</v>
      </c>
      <c r="B35" s="126">
        <v>150000</v>
      </c>
      <c r="C35" s="127">
        <v>315601.54633369762</v>
      </c>
      <c r="D35" s="127">
        <f>BRZ!D37</f>
        <v>1329727</v>
      </c>
      <c r="E35" s="126">
        <f t="shared" si="0"/>
        <v>165601.54633369762</v>
      </c>
      <c r="F35" s="132">
        <v>0.23734311353661139</v>
      </c>
    </row>
    <row r="36" spans="1:6" x14ac:dyDescent="0.25">
      <c r="A36" s="125" t="s">
        <v>103</v>
      </c>
      <c r="B36" s="126">
        <v>150000</v>
      </c>
      <c r="C36" s="127">
        <v>367609.44032945298</v>
      </c>
      <c r="D36" s="127">
        <f>BRZ!D38</f>
        <v>1550651</v>
      </c>
      <c r="E36" s="126">
        <f t="shared" si="0"/>
        <v>217609.44032945298</v>
      </c>
      <c r="F36" s="132">
        <v>0.23706781237651345</v>
      </c>
    </row>
    <row r="37" spans="1:6" x14ac:dyDescent="0.25">
      <c r="A37" s="125" t="s">
        <v>104</v>
      </c>
      <c r="B37" s="126">
        <v>150000</v>
      </c>
      <c r="C37" s="127">
        <v>367555.60525815439</v>
      </c>
      <c r="D37" s="127">
        <f>BRZ!D39</f>
        <v>1550651</v>
      </c>
      <c r="E37" s="126">
        <f t="shared" si="0"/>
        <v>217555.60525815439</v>
      </c>
      <c r="F37" s="132">
        <v>0.23703309465389336</v>
      </c>
    </row>
    <row r="38" spans="1:6" x14ac:dyDescent="0.25">
      <c r="A38" s="125" t="s">
        <v>105</v>
      </c>
      <c r="B38" s="126">
        <v>150000</v>
      </c>
      <c r="C38" s="127">
        <v>367508.88515073882</v>
      </c>
      <c r="D38" s="127">
        <f>BRZ!D40</f>
        <v>1550651</v>
      </c>
      <c r="E38" s="126">
        <f t="shared" si="0"/>
        <v>217508.88515073882</v>
      </c>
      <c r="F38" s="132">
        <v>0.23700296530343631</v>
      </c>
    </row>
    <row r="39" spans="1:6" x14ac:dyDescent="0.25">
      <c r="A39" s="125" t="s">
        <v>110</v>
      </c>
      <c r="B39" s="126">
        <v>150000</v>
      </c>
      <c r="C39" s="127">
        <v>367425.39348061901</v>
      </c>
      <c r="D39" s="127">
        <f>BRZ!D41</f>
        <v>1550651</v>
      </c>
      <c r="E39" s="126">
        <f t="shared" si="0"/>
        <v>217425.39348061901</v>
      </c>
      <c r="F39" s="132">
        <v>0.23694912232386206</v>
      </c>
    </row>
    <row r="40" spans="1:6" x14ac:dyDescent="0.25">
      <c r="A40" s="125" t="s">
        <v>111</v>
      </c>
      <c r="B40" s="126">
        <v>150000</v>
      </c>
      <c r="C40" s="127">
        <v>366045.46941006585</v>
      </c>
      <c r="D40" s="127">
        <f>BRZ!D42</f>
        <v>1550651</v>
      </c>
      <c r="E40" s="126">
        <f t="shared" si="0"/>
        <v>216045.46941006585</v>
      </c>
      <c r="F40" s="132">
        <v>0.23605922248788788</v>
      </c>
    </row>
    <row r="41" spans="1:6" x14ac:dyDescent="0.25">
      <c r="A41" s="125" t="s">
        <v>112</v>
      </c>
      <c r="B41" s="126">
        <v>150000</v>
      </c>
      <c r="C41" s="127">
        <v>365973.63294114656</v>
      </c>
      <c r="D41" s="127">
        <f>BRZ!D43</f>
        <v>1550651</v>
      </c>
      <c r="E41" s="126">
        <f t="shared" si="0"/>
        <v>215973.63294114656</v>
      </c>
      <c r="F41" s="132">
        <v>0.23601289583610144</v>
      </c>
    </row>
    <row r="42" spans="1:6" x14ac:dyDescent="0.25">
      <c r="A42" s="125" t="s">
        <v>113</v>
      </c>
      <c r="B42" s="126">
        <v>150000</v>
      </c>
      <c r="C42" s="127">
        <v>447519.33650851308</v>
      </c>
      <c r="D42" s="127">
        <f>BRZ!D44</f>
        <v>1897148</v>
      </c>
      <c r="E42" s="126">
        <f t="shared" si="0"/>
        <v>297519.33650851308</v>
      </c>
      <c r="F42" s="132">
        <v>0.23589057707069405</v>
      </c>
    </row>
    <row r="43" spans="1:6" x14ac:dyDescent="0.25">
      <c r="A43" s="125" t="s">
        <v>114</v>
      </c>
      <c r="B43" s="126">
        <v>150000</v>
      </c>
      <c r="C43" s="127">
        <v>374961.62913604203</v>
      </c>
      <c r="D43" s="127">
        <f>BRZ!D45</f>
        <v>1581664.02</v>
      </c>
      <c r="E43" s="126">
        <f t="shared" si="0"/>
        <v>224961.62913604203</v>
      </c>
      <c r="F43" s="132">
        <v>0.23706781237651345</v>
      </c>
    </row>
    <row r="44" spans="1:6" x14ac:dyDescent="0.25">
      <c r="A44" s="125" t="s">
        <v>115</v>
      </c>
      <c r="B44" s="126">
        <v>150000</v>
      </c>
      <c r="C44" s="127">
        <v>382460.8617187629</v>
      </c>
      <c r="D44" s="127">
        <f>BRZ!D46</f>
        <v>1613297.3004000001</v>
      </c>
      <c r="E44" s="126">
        <f t="shared" si="0"/>
        <v>232460.8617187629</v>
      </c>
      <c r="F44" s="132">
        <v>0.23706781237651345</v>
      </c>
    </row>
    <row r="45" spans="1:6" x14ac:dyDescent="0.25">
      <c r="A45" s="125" t="s">
        <v>116</v>
      </c>
      <c r="B45" s="126">
        <v>150000</v>
      </c>
      <c r="C45" s="127">
        <v>382460.8617187629</v>
      </c>
      <c r="D45" s="127">
        <f>BRZ!D47</f>
        <v>1613297.3004000001</v>
      </c>
      <c r="E45" s="126">
        <f t="shared" si="0"/>
        <v>232460.8617187629</v>
      </c>
      <c r="F45" s="132">
        <v>0.23706781237651345</v>
      </c>
    </row>
    <row r="46" spans="1:6" x14ac:dyDescent="0.25">
      <c r="A46" s="125" t="s">
        <v>117</v>
      </c>
      <c r="B46" s="126">
        <v>150000</v>
      </c>
      <c r="C46" s="127">
        <v>382460.8617187629</v>
      </c>
      <c r="D46" s="127">
        <f>BRZ!D48</f>
        <v>1613297.3004000001</v>
      </c>
      <c r="E46" s="126">
        <f t="shared" si="0"/>
        <v>232460.8617187629</v>
      </c>
      <c r="F46" s="132">
        <v>0.23706781237651345</v>
      </c>
    </row>
    <row r="47" spans="1:6" x14ac:dyDescent="0.25">
      <c r="B47" s="126"/>
      <c r="C47" s="127"/>
      <c r="D47" s="127"/>
      <c r="E47" s="126">
        <f>SUM(E4:E46)</f>
        <v>6433431.1404236527</v>
      </c>
      <c r="F47" s="132"/>
    </row>
    <row r="48" spans="1:6" x14ac:dyDescent="0.25">
      <c r="A48" s="125" t="s">
        <v>118</v>
      </c>
      <c r="B48" s="126"/>
      <c r="C48" s="127"/>
      <c r="D48" s="127"/>
      <c r="E48" s="130">
        <v>6433431.1442923304</v>
      </c>
      <c r="F48" s="132"/>
    </row>
    <row r="49" spans="5:5" x14ac:dyDescent="0.25">
      <c r="E49" s="126">
        <f>E47-E48</f>
        <v>-3.8686776533722878E-3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3EC06-AD7E-4E97-8851-619AA48EAF72}">
  <sheetPr>
    <tabColor rgb="FF60FCFC"/>
  </sheetPr>
  <dimension ref="A1:F50"/>
  <sheetViews>
    <sheetView zoomScaleNormal="100" workbookViewId="0">
      <pane ySplit="4" topLeftCell="A5" activePane="bottomLeft" state="frozen"/>
      <selection pane="bottomLeft"/>
    </sheetView>
  </sheetViews>
  <sheetFormatPr defaultColWidth="8.77734375" defaultRowHeight="13.8" x14ac:dyDescent="0.25"/>
  <cols>
    <col min="1" max="1" width="23.21875" style="125" customWidth="1"/>
    <col min="2" max="2" width="32.6640625" style="125" bestFit="1" customWidth="1"/>
    <col min="3" max="3" width="17.88671875" style="131" bestFit="1" customWidth="1"/>
    <col min="4" max="4" width="17" style="131" bestFit="1" customWidth="1"/>
    <col min="5" max="5" width="13.5546875" style="125" customWidth="1"/>
    <col min="6" max="6" width="39.21875" style="125" bestFit="1" customWidth="1"/>
    <col min="7" max="16384" width="8.77734375" style="125"/>
  </cols>
  <sheetData>
    <row r="1" spans="1:6" s="120" customFormat="1" x14ac:dyDescent="0.25">
      <c r="A1" s="120" t="s">
        <v>9</v>
      </c>
      <c r="C1" s="121"/>
      <c r="D1" s="121"/>
    </row>
    <row r="2" spans="1:6" s="120" customFormat="1" x14ac:dyDescent="0.25">
      <c r="C2" s="121"/>
      <c r="D2" s="121"/>
    </row>
    <row r="3" spans="1:6" s="120" customFormat="1" x14ac:dyDescent="0.25">
      <c r="B3" s="122"/>
      <c r="D3" s="121"/>
      <c r="F3" s="124"/>
    </row>
    <row r="4" spans="1:6" s="120" customFormat="1" x14ac:dyDescent="0.25">
      <c r="B4" s="120" t="s">
        <v>107</v>
      </c>
      <c r="C4" s="121" t="s">
        <v>109</v>
      </c>
      <c r="D4" s="121" t="s">
        <v>106</v>
      </c>
      <c r="E4" s="120" t="s">
        <v>108</v>
      </c>
      <c r="F4" s="120" t="s">
        <v>119</v>
      </c>
    </row>
    <row r="5" spans="1:6" x14ac:dyDescent="0.25">
      <c r="A5" s="125" t="s">
        <v>74</v>
      </c>
      <c r="B5" s="126">
        <v>45000</v>
      </c>
      <c r="C5" s="127">
        <v>59760</v>
      </c>
      <c r="D5" s="127"/>
      <c r="E5" s="126">
        <f t="shared" ref="E5:E47" si="0">C5-B5</f>
        <v>14760</v>
      </c>
    </row>
    <row r="6" spans="1:6" x14ac:dyDescent="0.25">
      <c r="A6" s="125" t="s">
        <v>76</v>
      </c>
      <c r="B6" s="126">
        <v>45000</v>
      </c>
      <c r="C6" s="127">
        <v>59760</v>
      </c>
      <c r="D6" s="127"/>
      <c r="E6" s="126">
        <f t="shared" si="0"/>
        <v>14760</v>
      </c>
    </row>
    <row r="7" spans="1:6" x14ac:dyDescent="0.25">
      <c r="A7" s="125" t="s">
        <v>77</v>
      </c>
      <c r="B7" s="126">
        <v>45000</v>
      </c>
      <c r="C7" s="127">
        <v>59754</v>
      </c>
      <c r="D7" s="127"/>
      <c r="E7" s="126">
        <f t="shared" si="0"/>
        <v>14754</v>
      </c>
    </row>
    <row r="8" spans="1:6" x14ac:dyDescent="0.25">
      <c r="A8" s="125" t="s">
        <v>71</v>
      </c>
      <c r="B8" s="126">
        <v>45000</v>
      </c>
      <c r="C8" s="127">
        <v>59754</v>
      </c>
      <c r="D8" s="127"/>
      <c r="E8" s="126">
        <f t="shared" si="0"/>
        <v>14754</v>
      </c>
    </row>
    <row r="9" spans="1:6" x14ac:dyDescent="0.25">
      <c r="A9" s="125" t="s">
        <v>75</v>
      </c>
      <c r="B9" s="126">
        <v>45000</v>
      </c>
      <c r="C9" s="127">
        <v>62193</v>
      </c>
      <c r="D9" s="127"/>
      <c r="E9" s="126">
        <f t="shared" si="0"/>
        <v>17193</v>
      </c>
    </row>
    <row r="10" spans="1:6" x14ac:dyDescent="0.25">
      <c r="A10" s="125" t="s">
        <v>78</v>
      </c>
      <c r="B10" s="126">
        <v>45000</v>
      </c>
      <c r="C10" s="127">
        <v>62193</v>
      </c>
      <c r="D10" s="127"/>
      <c r="E10" s="126">
        <f t="shared" si="0"/>
        <v>17193</v>
      </c>
    </row>
    <row r="11" spans="1:6" x14ac:dyDescent="0.25">
      <c r="A11" s="125" t="s">
        <v>79</v>
      </c>
      <c r="B11" s="126">
        <v>45000</v>
      </c>
      <c r="C11" s="127">
        <v>58916</v>
      </c>
      <c r="D11" s="127"/>
      <c r="E11" s="126">
        <f t="shared" si="0"/>
        <v>13916</v>
      </c>
    </row>
    <row r="12" spans="1:6" x14ac:dyDescent="0.25">
      <c r="A12" s="125" t="s">
        <v>72</v>
      </c>
      <c r="B12" s="126">
        <v>45000</v>
      </c>
      <c r="C12" s="127">
        <v>58917</v>
      </c>
      <c r="D12" s="127"/>
      <c r="E12" s="126">
        <f t="shared" si="0"/>
        <v>13917</v>
      </c>
    </row>
    <row r="13" spans="1:6" x14ac:dyDescent="0.25">
      <c r="A13" s="125" t="s">
        <v>80</v>
      </c>
      <c r="B13" s="126">
        <v>45000</v>
      </c>
      <c r="C13" s="127">
        <v>59644</v>
      </c>
      <c r="D13" s="127"/>
      <c r="E13" s="126">
        <f t="shared" si="0"/>
        <v>14644</v>
      </c>
    </row>
    <row r="14" spans="1:6" x14ac:dyDescent="0.25">
      <c r="A14" s="125" t="s">
        <v>81</v>
      </c>
      <c r="B14" s="126">
        <v>45000</v>
      </c>
      <c r="C14" s="127">
        <v>54686</v>
      </c>
      <c r="D14" s="127"/>
      <c r="E14" s="126">
        <f t="shared" si="0"/>
        <v>9686</v>
      </c>
    </row>
    <row r="15" spans="1:6" ht="16.5" customHeight="1" x14ac:dyDescent="0.25">
      <c r="A15" s="125" t="s">
        <v>82</v>
      </c>
      <c r="B15" s="126">
        <v>45000</v>
      </c>
      <c r="C15" s="127">
        <v>54686</v>
      </c>
      <c r="D15" s="127"/>
      <c r="E15" s="126">
        <f t="shared" si="0"/>
        <v>9686</v>
      </c>
      <c r="F15" s="132"/>
    </row>
    <row r="16" spans="1:6" x14ac:dyDescent="0.25">
      <c r="A16" s="125" t="s">
        <v>73</v>
      </c>
      <c r="B16" s="126">
        <v>45000</v>
      </c>
      <c r="C16" s="127">
        <v>54685</v>
      </c>
      <c r="D16" s="127">
        <f>BRZ!D17</f>
        <v>1030189</v>
      </c>
      <c r="E16" s="126">
        <f t="shared" si="0"/>
        <v>9685</v>
      </c>
      <c r="F16" s="132">
        <v>5.3082492629993136E-2</v>
      </c>
    </row>
    <row r="17" spans="1:6" x14ac:dyDescent="0.25">
      <c r="A17" s="125" t="s">
        <v>83</v>
      </c>
      <c r="B17" s="126">
        <v>45000</v>
      </c>
      <c r="C17" s="127">
        <v>59659.137226004612</v>
      </c>
      <c r="D17" s="127">
        <f>BRZ!D18</f>
        <v>1123494</v>
      </c>
      <c r="E17" s="126">
        <f t="shared" si="0"/>
        <v>14659.137226004612</v>
      </c>
      <c r="F17" s="132">
        <v>5.3101429314268353E-2</v>
      </c>
    </row>
    <row r="18" spans="1:6" x14ac:dyDescent="0.25">
      <c r="A18" s="125" t="s">
        <v>84</v>
      </c>
      <c r="B18" s="126">
        <v>45000</v>
      </c>
      <c r="C18" s="127">
        <v>59022.132479950647</v>
      </c>
      <c r="D18" s="127">
        <f>BRZ!D19</f>
        <v>1111498</v>
      </c>
      <c r="E18" s="126">
        <f t="shared" si="0"/>
        <v>14022.132479950647</v>
      </c>
      <c r="F18" s="132">
        <v>5.3101429314268353E-2</v>
      </c>
    </row>
    <row r="19" spans="1:6" x14ac:dyDescent="0.25">
      <c r="A19" s="125" t="s">
        <v>85</v>
      </c>
      <c r="B19" s="126">
        <v>45000</v>
      </c>
      <c r="C19" s="127">
        <v>59022.132479950647</v>
      </c>
      <c r="D19" s="127">
        <f>BRZ!D20</f>
        <v>1111498</v>
      </c>
      <c r="E19" s="126">
        <f t="shared" si="0"/>
        <v>14022.132479950647</v>
      </c>
      <c r="F19" s="132">
        <v>5.3101429314268353E-2</v>
      </c>
    </row>
    <row r="20" spans="1:6" x14ac:dyDescent="0.25">
      <c r="A20" s="125" t="s">
        <v>86</v>
      </c>
      <c r="B20" s="126">
        <v>45000</v>
      </c>
      <c r="C20" s="127">
        <v>59022.132479950647</v>
      </c>
      <c r="D20" s="127">
        <f>BRZ!D21</f>
        <v>1111498</v>
      </c>
      <c r="E20" s="126">
        <f t="shared" si="0"/>
        <v>14022.132479950647</v>
      </c>
      <c r="F20" s="132">
        <v>5.3101429314268353E-2</v>
      </c>
    </row>
    <row r="21" spans="1:6" x14ac:dyDescent="0.25">
      <c r="A21" s="125" t="s">
        <v>87</v>
      </c>
      <c r="B21" s="126">
        <v>45000</v>
      </c>
      <c r="C21" s="127">
        <v>57288.423653311351</v>
      </c>
      <c r="D21" s="127">
        <f>BRZ!D22</f>
        <v>1078849</v>
      </c>
      <c r="E21" s="126">
        <f t="shared" si="0"/>
        <v>12288.423653311351</v>
      </c>
      <c r="F21" s="132">
        <v>5.3101429072383022E-2</v>
      </c>
    </row>
    <row r="22" spans="1:6" x14ac:dyDescent="0.25">
      <c r="A22" s="125" t="s">
        <v>88</v>
      </c>
      <c r="B22" s="126">
        <v>45000</v>
      </c>
      <c r="C22" s="127">
        <v>57079.084112903874</v>
      </c>
      <c r="D22" s="127">
        <f>BRZ!D23</f>
        <v>1066182</v>
      </c>
      <c r="E22" s="126">
        <f t="shared" si="0"/>
        <v>12079.084112903874</v>
      </c>
      <c r="F22" s="132">
        <v>5.3535966760744298E-2</v>
      </c>
    </row>
    <row r="23" spans="1:6" x14ac:dyDescent="0.25">
      <c r="A23" s="125" t="s">
        <v>89</v>
      </c>
      <c r="B23" s="126">
        <v>45000</v>
      </c>
      <c r="C23" s="127">
        <v>57042.977141317897</v>
      </c>
      <c r="D23" s="127">
        <f>BRZ!D24</f>
        <v>1066181</v>
      </c>
      <c r="E23" s="126">
        <f t="shared" si="0"/>
        <v>12042.977141317897</v>
      </c>
      <c r="F23" s="132">
        <v>5.3502151268234849E-2</v>
      </c>
    </row>
    <row r="24" spans="1:6" x14ac:dyDescent="0.25">
      <c r="A24" s="125" t="s">
        <v>90</v>
      </c>
      <c r="B24" s="126">
        <v>45000</v>
      </c>
      <c r="C24" s="127">
        <v>56978.026648865212</v>
      </c>
      <c r="D24" s="127">
        <f>BRZ!D25</f>
        <v>1066182</v>
      </c>
      <c r="E24" s="126">
        <f t="shared" si="0"/>
        <v>11978.026648865212</v>
      </c>
      <c r="F24" s="132">
        <v>5.3441182320528025E-2</v>
      </c>
    </row>
    <row r="25" spans="1:6" x14ac:dyDescent="0.25">
      <c r="A25" s="125" t="s">
        <v>91</v>
      </c>
      <c r="B25" s="126">
        <v>45000</v>
      </c>
      <c r="C25" s="127">
        <v>55023.28</v>
      </c>
      <c r="D25" s="127">
        <f>BRZ!D26</f>
        <v>1029393</v>
      </c>
      <c r="E25" s="126">
        <f t="shared" si="0"/>
        <v>10023.279999999999</v>
      </c>
      <c r="F25" s="132">
        <v>5.3457353736982571E-2</v>
      </c>
    </row>
    <row r="26" spans="1:6" x14ac:dyDescent="0.25">
      <c r="A26" s="125" t="s">
        <v>92</v>
      </c>
      <c r="B26" s="126">
        <v>45000</v>
      </c>
      <c r="C26" s="127">
        <v>55257.580351038574</v>
      </c>
      <c r="D26" s="127">
        <f>BRZ!D27</f>
        <v>1034058</v>
      </c>
      <c r="E26" s="126">
        <f t="shared" si="0"/>
        <v>10257.580351038574</v>
      </c>
      <c r="F26" s="132">
        <v>5.3437602485584539E-2</v>
      </c>
    </row>
    <row r="27" spans="1:6" x14ac:dyDescent="0.25">
      <c r="A27" s="125" t="s">
        <v>93</v>
      </c>
      <c r="B27" s="126">
        <v>45000</v>
      </c>
      <c r="C27" s="127">
        <v>55367.577190185097</v>
      </c>
      <c r="D27" s="127">
        <f>BRZ!D28</f>
        <v>1036441</v>
      </c>
      <c r="E27" s="126">
        <f t="shared" si="0"/>
        <v>10367.577190185097</v>
      </c>
      <c r="F27" s="132">
        <v>5.3420867362623727E-2</v>
      </c>
    </row>
    <row r="28" spans="1:6" x14ac:dyDescent="0.25">
      <c r="A28" s="125" t="s">
        <v>94</v>
      </c>
      <c r="B28" s="126">
        <v>45000</v>
      </c>
      <c r="C28" s="127">
        <v>55335.36690813618</v>
      </c>
      <c r="D28" s="127">
        <f>BRZ!D29</f>
        <v>1036441</v>
      </c>
      <c r="E28" s="126">
        <f t="shared" si="0"/>
        <v>10335.36690813618</v>
      </c>
      <c r="F28" s="132">
        <v>5.3389789585838635E-2</v>
      </c>
    </row>
    <row r="29" spans="1:6" x14ac:dyDescent="0.25">
      <c r="A29" s="125" t="s">
        <v>95</v>
      </c>
      <c r="B29" s="126">
        <v>45000</v>
      </c>
      <c r="C29" s="127">
        <v>65863.575062582298</v>
      </c>
      <c r="D29" s="127">
        <f>BRZ!D30</f>
        <v>1234385</v>
      </c>
      <c r="E29" s="126">
        <f t="shared" si="0"/>
        <v>20863.575062582298</v>
      </c>
      <c r="F29" s="132">
        <v>5.3357400699605304E-2</v>
      </c>
    </row>
    <row r="30" spans="1:6" x14ac:dyDescent="0.25">
      <c r="A30" s="125" t="s">
        <v>96</v>
      </c>
      <c r="B30" s="126">
        <v>45000</v>
      </c>
      <c r="C30" s="127">
        <v>63605.719071912281</v>
      </c>
      <c r="D30" s="127">
        <f>BRZ!D31</f>
        <v>1193261</v>
      </c>
      <c r="E30" s="126">
        <f t="shared" si="0"/>
        <v>18605.719071912281</v>
      </c>
      <c r="F30" s="132">
        <v>5.3304112907328977E-2</v>
      </c>
    </row>
    <row r="31" spans="1:6" x14ac:dyDescent="0.25">
      <c r="A31" s="125" t="s">
        <v>97</v>
      </c>
      <c r="B31" s="126">
        <v>45000</v>
      </c>
      <c r="C31" s="127">
        <v>62905.575507803987</v>
      </c>
      <c r="D31" s="127">
        <f>BRZ!D32</f>
        <v>1181126</v>
      </c>
      <c r="E31" s="126">
        <f t="shared" si="0"/>
        <v>17905.575507803987</v>
      </c>
      <c r="F31" s="132">
        <v>5.3258988040060067E-2</v>
      </c>
    </row>
    <row r="32" spans="1:6" x14ac:dyDescent="0.25">
      <c r="A32" s="125" t="s">
        <v>98</v>
      </c>
      <c r="B32" s="126">
        <v>45000</v>
      </c>
      <c r="C32" s="127">
        <v>62832.315552324493</v>
      </c>
      <c r="D32" s="127">
        <f>BRZ!D33</f>
        <v>1181126</v>
      </c>
      <c r="E32" s="126">
        <f t="shared" si="0"/>
        <v>17832.315552324493</v>
      </c>
      <c r="F32" s="132">
        <v>5.319696251909152E-2</v>
      </c>
    </row>
    <row r="33" spans="1:6" x14ac:dyDescent="0.25">
      <c r="A33" s="125" t="s">
        <v>99</v>
      </c>
      <c r="B33" s="126">
        <v>45000</v>
      </c>
      <c r="C33" s="127">
        <v>71992.556036765003</v>
      </c>
      <c r="D33" s="127">
        <f>BRZ!D34</f>
        <v>1357940</v>
      </c>
      <c r="E33" s="126">
        <f t="shared" si="0"/>
        <v>26992.556036765003</v>
      </c>
      <c r="F33" s="132">
        <v>5.3016006625303772E-2</v>
      </c>
    </row>
    <row r="34" spans="1:6" x14ac:dyDescent="0.25">
      <c r="A34" s="125" t="s">
        <v>100</v>
      </c>
      <c r="B34" s="126">
        <v>45000</v>
      </c>
      <c r="C34" s="127">
        <v>70429.322264421367</v>
      </c>
      <c r="D34" s="127">
        <f>BRZ!D35</f>
        <v>1329727</v>
      </c>
      <c r="E34" s="126">
        <f t="shared" si="0"/>
        <v>25429.322264421367</v>
      </c>
      <c r="F34" s="132">
        <v>5.2965249456784262E-2</v>
      </c>
    </row>
    <row r="35" spans="1:6" x14ac:dyDescent="0.25">
      <c r="A35" s="125" t="s">
        <v>101</v>
      </c>
      <c r="B35" s="126">
        <v>45000</v>
      </c>
      <c r="C35" s="127">
        <v>70378.552801810147</v>
      </c>
      <c r="D35" s="127">
        <f>BRZ!D36</f>
        <v>1329727</v>
      </c>
      <c r="E35" s="126">
        <f t="shared" si="0"/>
        <v>25378.552801810147</v>
      </c>
      <c r="F35" s="132">
        <v>5.2927069091482794E-2</v>
      </c>
    </row>
    <row r="36" spans="1:6" x14ac:dyDescent="0.25">
      <c r="A36" s="125" t="s">
        <v>102</v>
      </c>
      <c r="B36" s="126">
        <v>45000</v>
      </c>
      <c r="C36" s="127">
        <v>70343.61955691209</v>
      </c>
      <c r="D36" s="127">
        <f>BRZ!D37</f>
        <v>1329727</v>
      </c>
      <c r="E36" s="126">
        <f t="shared" si="0"/>
        <v>25343.61955691209</v>
      </c>
      <c r="F36" s="132">
        <v>5.2900798101348685E-2</v>
      </c>
    </row>
    <row r="37" spans="1:6" x14ac:dyDescent="0.25">
      <c r="A37" s="125" t="s">
        <v>103</v>
      </c>
      <c r="B37" s="126">
        <v>45000</v>
      </c>
      <c r="C37" s="127">
        <v>81817.427337746325</v>
      </c>
      <c r="D37" s="127">
        <f>BRZ!D38</f>
        <v>1550651</v>
      </c>
      <c r="E37" s="126">
        <f t="shared" si="0"/>
        <v>36817.427337746325</v>
      </c>
      <c r="F37" s="132">
        <v>5.2763276415999684E-2</v>
      </c>
    </row>
    <row r="38" spans="1:6" x14ac:dyDescent="0.25">
      <c r="A38" s="125" t="s">
        <v>104</v>
      </c>
      <c r="B38" s="126">
        <v>45000</v>
      </c>
      <c r="C38" s="127">
        <v>81687.081058855969</v>
      </c>
      <c r="D38" s="127">
        <f>BRZ!D39</f>
        <v>1550651</v>
      </c>
      <c r="E38" s="126">
        <f t="shared" si="0"/>
        <v>36687.081058855969</v>
      </c>
      <c r="F38" s="132">
        <v>5.2679217347330873E-2</v>
      </c>
    </row>
    <row r="39" spans="1:6" x14ac:dyDescent="0.25">
      <c r="A39" s="125" t="s">
        <v>105</v>
      </c>
      <c r="B39" s="126">
        <v>45000</v>
      </c>
      <c r="C39" s="127">
        <v>81647.991557641551</v>
      </c>
      <c r="D39" s="127">
        <f>BRZ!D40</f>
        <v>1550651</v>
      </c>
      <c r="E39" s="126">
        <f t="shared" si="0"/>
        <v>36647.991557641551</v>
      </c>
      <c r="F39" s="132">
        <v>5.265400890183642E-2</v>
      </c>
    </row>
    <row r="40" spans="1:6" x14ac:dyDescent="0.25">
      <c r="A40" s="125" t="s">
        <v>110</v>
      </c>
      <c r="B40" s="126">
        <v>45000</v>
      </c>
      <c r="C40" s="127">
        <v>81626.336207506596</v>
      </c>
      <c r="D40" s="127">
        <f>BRZ!D41</f>
        <v>1550651</v>
      </c>
      <c r="E40" s="126">
        <f t="shared" si="0"/>
        <v>36626.336207506596</v>
      </c>
      <c r="F40" s="132">
        <v>5.2640043573638808E-2</v>
      </c>
    </row>
    <row r="41" spans="1:6" x14ac:dyDescent="0.25">
      <c r="A41" s="125" t="s">
        <v>111</v>
      </c>
      <c r="B41" s="126">
        <v>45000</v>
      </c>
      <c r="C41" s="127">
        <v>81721.577952530381</v>
      </c>
      <c r="D41" s="127">
        <f>BRZ!D42</f>
        <v>1550651</v>
      </c>
      <c r="E41" s="126">
        <f t="shared" si="0"/>
        <v>36721.577952530381</v>
      </c>
      <c r="F41" s="132">
        <v>5.2701464064144915E-2</v>
      </c>
    </row>
    <row r="42" spans="1:6" x14ac:dyDescent="0.25">
      <c r="A42" s="125" t="s">
        <v>112</v>
      </c>
      <c r="B42" s="126">
        <v>45000</v>
      </c>
      <c r="C42" s="127">
        <v>81645.779730666007</v>
      </c>
      <c r="D42" s="127">
        <f>BRZ!D43</f>
        <v>1550651</v>
      </c>
      <c r="E42" s="126">
        <f t="shared" si="0"/>
        <v>36645.779730666007</v>
      </c>
      <c r="F42" s="132">
        <v>5.265258251577306E-2</v>
      </c>
    </row>
    <row r="43" spans="1:6" x14ac:dyDescent="0.25">
      <c r="A43" s="125" t="s">
        <v>113</v>
      </c>
      <c r="B43" s="126">
        <v>45000</v>
      </c>
      <c r="C43" s="127">
        <v>100018.43572731595</v>
      </c>
      <c r="D43" s="127">
        <f>BRZ!D44</f>
        <v>1897148</v>
      </c>
      <c r="E43" s="126">
        <f t="shared" si="0"/>
        <v>55018.435727315955</v>
      </c>
      <c r="F43" s="132">
        <v>5.2720418084048239E-2</v>
      </c>
    </row>
    <row r="44" spans="1:6" x14ac:dyDescent="0.25">
      <c r="A44" s="125" t="s">
        <v>114</v>
      </c>
      <c r="B44" s="126">
        <v>45000</v>
      </c>
      <c r="C44" s="127">
        <v>83453.775884501258</v>
      </c>
      <c r="D44" s="127">
        <f>BRZ!D45</f>
        <v>1581664.02</v>
      </c>
      <c r="E44" s="126">
        <f t="shared" si="0"/>
        <v>38453.775884501258</v>
      </c>
      <c r="F44" s="132">
        <v>5.2763276415999684E-2</v>
      </c>
    </row>
    <row r="45" spans="1:6" x14ac:dyDescent="0.25">
      <c r="A45" s="125" t="s">
        <v>115</v>
      </c>
      <c r="B45" s="126">
        <v>45000</v>
      </c>
      <c r="C45" s="127">
        <v>85122.851402191285</v>
      </c>
      <c r="D45" s="127">
        <f>BRZ!D46</f>
        <v>1613297.3004000001</v>
      </c>
      <c r="E45" s="126">
        <f t="shared" si="0"/>
        <v>40122.851402191285</v>
      </c>
      <c r="F45" s="132">
        <v>5.2763276415999684E-2</v>
      </c>
    </row>
    <row r="46" spans="1:6" x14ac:dyDescent="0.25">
      <c r="A46" s="125" t="s">
        <v>116</v>
      </c>
      <c r="B46" s="126">
        <v>45000</v>
      </c>
      <c r="C46" s="127">
        <v>85122.851402191285</v>
      </c>
      <c r="D46" s="127">
        <f>BRZ!D47</f>
        <v>1613297.3004000001</v>
      </c>
      <c r="E46" s="126">
        <f t="shared" si="0"/>
        <v>40122.851402191285</v>
      </c>
      <c r="F46" s="132">
        <v>5.2763276415999684E-2</v>
      </c>
    </row>
    <row r="47" spans="1:6" x14ac:dyDescent="0.25">
      <c r="A47" s="125" t="s">
        <v>117</v>
      </c>
      <c r="B47" s="126">
        <v>45000</v>
      </c>
      <c r="C47" s="127">
        <v>85122.851402191285</v>
      </c>
      <c r="D47" s="127">
        <f>BRZ!D48</f>
        <v>1613297.3004000001</v>
      </c>
      <c r="E47" s="126">
        <f t="shared" si="0"/>
        <v>40122.851402191285</v>
      </c>
      <c r="F47" s="132">
        <v>5.2763276415999684E-2</v>
      </c>
    </row>
    <row r="48" spans="1:6" x14ac:dyDescent="0.25">
      <c r="B48" s="126"/>
      <c r="C48" s="127"/>
      <c r="E48" s="127">
        <f>SUM(E5:E47)</f>
        <v>923384.04618948442</v>
      </c>
      <c r="F48" s="132"/>
    </row>
    <row r="49" spans="1:6" x14ac:dyDescent="0.25">
      <c r="A49" s="125" t="s">
        <v>118</v>
      </c>
      <c r="B49" s="126"/>
      <c r="C49" s="127"/>
      <c r="D49" s="127"/>
      <c r="E49" s="127">
        <v>923384.10009107518</v>
      </c>
      <c r="F49" s="132"/>
    </row>
    <row r="50" spans="1:6" x14ac:dyDescent="0.25">
      <c r="B50" s="126"/>
      <c r="C50" s="127"/>
      <c r="D50" s="127"/>
      <c r="E50" s="127">
        <f>E48-E49</f>
        <v>-5.3901590756140649E-2</v>
      </c>
      <c r="F50" s="132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944615-4F55-4546-87D2-5ADE87ED38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F0524D-16EE-40D5-9893-B498AE5F43EC}">
  <ds:schemaRefs>
    <ds:schemaRef ds:uri="8a46b197-c0a1-4f21-9a6b-51f5ee863a99"/>
    <ds:schemaRef ds:uri="http://schemas.openxmlformats.org/package/2006/metadata/core-properties"/>
    <ds:schemaRef ds:uri="http://schemas.microsoft.com/office/2006/documentManagement/types"/>
    <ds:schemaRef ds:uri="41e39310-30fa-442b-828a-d033d9a68cd1"/>
    <ds:schemaRef ds:uri="http://schemas.microsoft.com/office/2006/metadata/properties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F8CA88B-D438-4378-9313-5361E41ABD7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 Base Rates</vt:lpstr>
      <vt:lpstr>details </vt:lpstr>
      <vt:lpstr>BRZ</vt:lpstr>
      <vt:lpstr>ERZ</vt:lpstr>
      <vt:lpstr>PRZ</vt:lpstr>
      <vt:lpstr>HRZ</vt:lpstr>
      <vt:lpstr>GRZ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Edlira Gjevori</dc:creator>
  <cp:lastModifiedBy>Colleen Calhoun</cp:lastModifiedBy>
  <cp:lastPrinted>2019-06-03T16:58:03Z</cp:lastPrinted>
  <dcterms:created xsi:type="dcterms:W3CDTF">2018-01-16T16:31:34Z</dcterms:created>
  <dcterms:modified xsi:type="dcterms:W3CDTF">2026-02-17T20:48:07Z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