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A0849EAD-38C6-409C-B890-2CB32CCFE500}" xr6:coauthVersionLast="47" xr6:coauthVersionMax="47" xr10:uidLastSave="{00000000-0000-0000-0000-000000000000}"/>
  <bookViews>
    <workbookView xWindow="2115" yWindow="2445" windowWidth="21600" windowHeight="11220" firstSheet="1" activeTab="1" xr2:uid="{00000000-000D-0000-FFFF-FFFF00000000}"/>
  </bookViews>
  <sheets>
    <sheet name="Summary Tables" sheetId="7" r:id="rId1"/>
    <sheet name="MBD, MEARIE IF Not Single Agg " sheetId="6" r:id="rId2"/>
    <sheet name="MBD, MEARIE IF Not Corrected" sheetId="5" r:id="rId3"/>
    <sheet name="50-50 Corrected" sheetId="1" r:id="rId4"/>
    <sheet name="50-50 Single Agg" sheetId="4" r:id="rId5"/>
    <sheet name="Data - Corrected" sheetId="2" r:id="rId6"/>
  </sheets>
  <definedNames>
    <definedName name="_Parse_Out">#REF!</definedName>
    <definedName name="BridgeYear">#REF!</definedName>
    <definedName name="Cash">#REF!</definedName>
    <definedName name="contactf">#REF!</definedName>
    <definedName name="EBNUMBER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#REF!</definedName>
    <definedName name="SALBENF">#REF!</definedName>
    <definedName name="salreg">#REF!</definedName>
    <definedName name="SALREGF">#REF!</definedName>
    <definedName name="TEMPA">#REF!</definedName>
    <definedName name="TestYea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K29" i="4"/>
  <c r="J29" i="4"/>
  <c r="I29" i="4"/>
  <c r="M30" i="1"/>
  <c r="M29" i="1"/>
  <c r="K30" i="1"/>
  <c r="K29" i="1"/>
  <c r="J29" i="1"/>
  <c r="I30" i="1"/>
  <c r="I29" i="1"/>
  <c r="K30" i="5"/>
  <c r="K29" i="5"/>
  <c r="J29" i="5"/>
  <c r="I30" i="5"/>
  <c r="I29" i="5"/>
  <c r="M32" i="1"/>
  <c r="M30" i="5"/>
  <c r="N30" i="5" s="1"/>
  <c r="M29" i="5"/>
  <c r="G12" i="7"/>
  <c r="G14" i="7"/>
  <c r="G11" i="7"/>
  <c r="G7" i="7"/>
  <c r="G9" i="7"/>
  <c r="G6" i="7"/>
  <c r="E12" i="7"/>
  <c r="E14" i="7"/>
  <c r="E11" i="7"/>
  <c r="E7" i="7"/>
  <c r="E9" i="7"/>
  <c r="E6" i="7"/>
  <c r="E13" i="6"/>
  <c r="E15" i="6"/>
  <c r="E12" i="6"/>
  <c r="E12" i="5"/>
  <c r="D13" i="6"/>
  <c r="D15" i="6"/>
  <c r="D12" i="6"/>
  <c r="D12" i="5"/>
  <c r="E13" i="5"/>
  <c r="E15" i="5"/>
  <c r="D13" i="5"/>
  <c r="D15" i="5"/>
  <c r="AB53" i="2"/>
  <c r="O55" i="2"/>
  <c r="O53" i="2"/>
  <c r="O52" i="2"/>
  <c r="M29" i="6" l="1"/>
  <c r="M32" i="6" s="1"/>
  <c r="N29" i="5"/>
  <c r="M32" i="5"/>
  <c r="L29" i="5"/>
  <c r="J12" i="5"/>
  <c r="K12" i="5" s="1"/>
  <c r="L12" i="5" s="1"/>
  <c r="J13" i="1"/>
  <c r="K13" i="1" s="1"/>
  <c r="O29" i="5"/>
  <c r="J32" i="5"/>
  <c r="K32" i="5"/>
  <c r="O48" i="2"/>
  <c r="D15" i="4" s="1"/>
  <c r="O46" i="2"/>
  <c r="D15" i="1"/>
  <c r="O45" i="2"/>
  <c r="AA42" i="2"/>
  <c r="Z42" i="2"/>
  <c r="AB42" i="2" s="1"/>
  <c r="AE41" i="2"/>
  <c r="AD41" i="2"/>
  <c r="AF41" i="2" s="1"/>
  <c r="AA41" i="2"/>
  <c r="Z41" i="2"/>
  <c r="AB41" i="2" s="1"/>
  <c r="AA40" i="2"/>
  <c r="Z40" i="2"/>
  <c r="AB40" i="2" s="1"/>
  <c r="AA39" i="2"/>
  <c r="Z39" i="2"/>
  <c r="AB39" i="2" s="1"/>
  <c r="AE38" i="2"/>
  <c r="AD38" i="2"/>
  <c r="AF38" i="2" s="1"/>
  <c r="AA38" i="2"/>
  <c r="Z38" i="2"/>
  <c r="AB38" i="2" s="1"/>
  <c r="AE37" i="2"/>
  <c r="AD37" i="2"/>
  <c r="AF37" i="2" s="1"/>
  <c r="AA37" i="2"/>
  <c r="AA45" i="2" s="1"/>
  <c r="Z37" i="2"/>
  <c r="AB37" i="2" s="1"/>
  <c r="AA36" i="2"/>
  <c r="Z36" i="2"/>
  <c r="AB36" i="2" s="1"/>
  <c r="AE35" i="2"/>
  <c r="AD35" i="2"/>
  <c r="AF35" i="2" s="1"/>
  <c r="AA35" i="2"/>
  <c r="Z35" i="2"/>
  <c r="AB35" i="2" s="1"/>
  <c r="AA34" i="2"/>
  <c r="Z34" i="2"/>
  <c r="AB34" i="2" s="1"/>
  <c r="AE33" i="2"/>
  <c r="AD33" i="2"/>
  <c r="AF33" i="2" s="1"/>
  <c r="AA33" i="2"/>
  <c r="Z33" i="2"/>
  <c r="AA32" i="2"/>
  <c r="Z32" i="2"/>
  <c r="AB32" i="2" s="1"/>
  <c r="AE31" i="2"/>
  <c r="AD31" i="2"/>
  <c r="AF31" i="2" s="1"/>
  <c r="AA31" i="2"/>
  <c r="Z31" i="2"/>
  <c r="AB31" i="2" s="1"/>
  <c r="AE29" i="2"/>
  <c r="AD29" i="2"/>
  <c r="AF29" i="2" s="1"/>
  <c r="AA29" i="2"/>
  <c r="Z29" i="2"/>
  <c r="AB29" i="2" s="1"/>
  <c r="AE27" i="2"/>
  <c r="AD27" i="2"/>
  <c r="AF27" i="2" s="1"/>
  <c r="AA27" i="2"/>
  <c r="Z27" i="2"/>
  <c r="AB27" i="2" s="1"/>
  <c r="AA26" i="2"/>
  <c r="Z26" i="2"/>
  <c r="AB26" i="2" s="1"/>
  <c r="AE25" i="2"/>
  <c r="AD25" i="2"/>
  <c r="AF25" i="2" s="1"/>
  <c r="AA25" i="2"/>
  <c r="Z25" i="2"/>
  <c r="AB25" i="2" s="1"/>
  <c r="AE24" i="2"/>
  <c r="AD24" i="2"/>
  <c r="AF24" i="2" s="1"/>
  <c r="AA24" i="2"/>
  <c r="Z24" i="2"/>
  <c r="AB24" i="2" s="1"/>
  <c r="AE23" i="2"/>
  <c r="AD23" i="2"/>
  <c r="AF23" i="2" s="1"/>
  <c r="AA23" i="2"/>
  <c r="Z23" i="2"/>
  <c r="AB23" i="2" s="1"/>
  <c r="AE22" i="2"/>
  <c r="AD22" i="2"/>
  <c r="AF22" i="2" s="1"/>
  <c r="AA22" i="2"/>
  <c r="Z22" i="2"/>
  <c r="AB22" i="2" s="1"/>
  <c r="AE21" i="2"/>
  <c r="AD21" i="2"/>
  <c r="AF21" i="2" s="1"/>
  <c r="AA21" i="2"/>
  <c r="Z21" i="2"/>
  <c r="AB21" i="2" s="1"/>
  <c r="AE20" i="2"/>
  <c r="AD20" i="2"/>
  <c r="AF20" i="2" s="1"/>
  <c r="AA20" i="2"/>
  <c r="Z20" i="2"/>
  <c r="AB20" i="2" s="1"/>
  <c r="AA19" i="2"/>
  <c r="Z19" i="2"/>
  <c r="AB19" i="2" s="1"/>
  <c r="AE18" i="2"/>
  <c r="AD18" i="2"/>
  <c r="AF18" i="2" s="1"/>
  <c r="AA18" i="2"/>
  <c r="Z18" i="2"/>
  <c r="AB18" i="2" s="1"/>
  <c r="AA17" i="2"/>
  <c r="Z17" i="2"/>
  <c r="AB17" i="2" s="1"/>
  <c r="AE16" i="2"/>
  <c r="AD16" i="2"/>
  <c r="AF16" i="2" s="1"/>
  <c r="AA16" i="2"/>
  <c r="Z16" i="2"/>
  <c r="AB16" i="2" s="1"/>
  <c r="AA15" i="2"/>
  <c r="Z15" i="2"/>
  <c r="AB15" i="2" s="1"/>
  <c r="AE13" i="2"/>
  <c r="AD13" i="2"/>
  <c r="AF13" i="2" s="1"/>
  <c r="AA13" i="2"/>
  <c r="Z13" i="2"/>
  <c r="AB13" i="2" s="1"/>
  <c r="AE12" i="2"/>
  <c r="AD12" i="2"/>
  <c r="AF12" i="2" s="1"/>
  <c r="AA12" i="2"/>
  <c r="Z12" i="2"/>
  <c r="AB12" i="2" s="1"/>
  <c r="AA11" i="2"/>
  <c r="AA46" i="2" s="1"/>
  <c r="Z11" i="2"/>
  <c r="Z46" i="2" s="1"/>
  <c r="AE9" i="2"/>
  <c r="AD9" i="2"/>
  <c r="AF9" i="2" s="1"/>
  <c r="AA9" i="2"/>
  <c r="Z9" i="2"/>
  <c r="AB9" i="2" s="1"/>
  <c r="AE8" i="2"/>
  <c r="AD8" i="2"/>
  <c r="AF8" i="2" s="1"/>
  <c r="AA8" i="2"/>
  <c r="Z8" i="2"/>
  <c r="AE7" i="2"/>
  <c r="AD7" i="2"/>
  <c r="AF7" i="2" s="1"/>
  <c r="AA7" i="2"/>
  <c r="Z7" i="2"/>
  <c r="AE5" i="2"/>
  <c r="AD5" i="2"/>
  <c r="AF5" i="2" s="1"/>
  <c r="AA5" i="2"/>
  <c r="Z5" i="2"/>
  <c r="N30" i="1"/>
  <c r="N29" i="1"/>
  <c r="N29" i="4" l="1"/>
  <c r="M32" i="4"/>
  <c r="N12" i="5"/>
  <c r="O12" i="5"/>
  <c r="P12" i="5" s="1"/>
  <c r="O30" i="1"/>
  <c r="N29" i="6"/>
  <c r="L30" i="1"/>
  <c r="J32" i="1"/>
  <c r="K32" i="1"/>
  <c r="D12" i="1"/>
  <c r="D12" i="4"/>
  <c r="AA53" i="2"/>
  <c r="AB33" i="2"/>
  <c r="AA52" i="2"/>
  <c r="AA55" i="2" s="1"/>
  <c r="D13" i="1"/>
  <c r="D13" i="4"/>
  <c r="AB8" i="2"/>
  <c r="Z53" i="2"/>
  <c r="AB5" i="2"/>
  <c r="Z52" i="2"/>
  <c r="Z45" i="2"/>
  <c r="AB45" i="2" s="1"/>
  <c r="AA48" i="2"/>
  <c r="AB46" i="2"/>
  <c r="AB7" i="2"/>
  <c r="AB11" i="2"/>
  <c r="K32" i="4" l="1"/>
  <c r="K29" i="6"/>
  <c r="K32" i="6" s="1"/>
  <c r="J29" i="6"/>
  <c r="I32" i="1"/>
  <c r="L29" i="1"/>
  <c r="J12" i="1"/>
  <c r="K12" i="1" s="1"/>
  <c r="O29" i="1"/>
  <c r="E12" i="1"/>
  <c r="E12" i="4"/>
  <c r="E13" i="1"/>
  <c r="L13" i="1" s="1"/>
  <c r="N13" i="1" s="1"/>
  <c r="E13" i="4"/>
  <c r="AB52" i="2"/>
  <c r="Z55" i="2"/>
  <c r="AB55" i="2" s="1"/>
  <c r="Z48" i="2"/>
  <c r="AB48" i="2" s="1"/>
  <c r="L29" i="4" l="1"/>
  <c r="I29" i="6"/>
  <c r="L29" i="6" s="1"/>
  <c r="L12" i="1"/>
  <c r="L15" i="1" s="1"/>
  <c r="O13" i="1"/>
  <c r="P13" i="1" s="1"/>
  <c r="J32" i="6"/>
  <c r="J32" i="4"/>
  <c r="E15" i="1"/>
  <c r="E15" i="4"/>
  <c r="N12" i="1" l="1"/>
  <c r="O12" i="1"/>
  <c r="I32" i="6"/>
  <c r="J12" i="6"/>
  <c r="K12" i="6" s="1"/>
  <c r="L12" i="6" s="1"/>
  <c r="O29" i="6"/>
  <c r="J12" i="4"/>
  <c r="K12" i="4" s="1"/>
  <c r="L12" i="4" s="1"/>
  <c r="O29" i="4"/>
  <c r="I32" i="4"/>
  <c r="P12" i="1" l="1"/>
  <c r="P15" i="1" s="1"/>
  <c r="K22" i="7" s="1"/>
  <c r="N12" i="4"/>
  <c r="O12" i="4"/>
  <c r="L15" i="4"/>
  <c r="N12" i="6"/>
  <c r="L15" i="6"/>
  <c r="O12" i="6"/>
  <c r="P12" i="6" l="1"/>
  <c r="P15" i="6" s="1"/>
  <c r="K27" i="7" s="1"/>
  <c r="P12" i="4"/>
  <c r="P15" i="4" s="1"/>
  <c r="K23" i="7" s="1"/>
  <c r="I32" i="5" l="1"/>
  <c r="O30" i="5"/>
  <c r="L30" i="5"/>
  <c r="J13" i="5"/>
  <c r="K13" i="5" s="1"/>
  <c r="L13" i="5" s="1"/>
  <c r="L15" i="5" s="1"/>
  <c r="N13" i="5" l="1"/>
  <c r="O13" i="5"/>
  <c r="P13" i="5" l="1"/>
  <c r="P15" i="5" s="1"/>
  <c r="K26" i="7" s="1"/>
  <c r="K32" i="7" s="1"/>
</calcChain>
</file>

<file path=xl/sharedStrings.xml><?xml version="1.0" encoding="utf-8"?>
<sst xmlns="http://schemas.openxmlformats.org/spreadsheetml/2006/main" count="1046" uniqueCount="319">
  <si>
    <t>Legend</t>
  </si>
  <si>
    <t>Changed as result of correction</t>
  </si>
  <si>
    <t>Added Hydro Ottawa analysis</t>
  </si>
  <si>
    <t xml:space="preserve">Table 1 - Hydro Ottawa Compensation Variance From P50 </t>
  </si>
  <si>
    <t>Table 2 - Hydro Ottawa Compensation Variance From P50</t>
  </si>
  <si>
    <t>Average</t>
  </si>
  <si>
    <t>FTE &amp; $ Weighted Average</t>
  </si>
  <si>
    <t>Base</t>
  </si>
  <si>
    <t>Allocated to OM&amp;A (2)</t>
  </si>
  <si>
    <t>Base Variance to P50</t>
  </si>
  <si>
    <t>Variance Impact to Overtime and Incentive Pay</t>
  </si>
  <si>
    <t>Variance Impact to Benefits</t>
  </si>
  <si>
    <t>Variance Impact to Total Compensation</t>
  </si>
  <si>
    <t>(a)</t>
  </si>
  <si>
    <t xml:space="preserve">(c) </t>
  </si>
  <si>
    <t>(e)</t>
  </si>
  <si>
    <t>(g) = (f) x (c)</t>
  </si>
  <si>
    <t>(h) = (g) x (i)</t>
  </si>
  <si>
    <t>(j) = (e) x (k)</t>
  </si>
  <si>
    <t>(i) = (g) + (h) + (j)</t>
  </si>
  <si>
    <t>50/50 (Where both MBD/MEARIE)</t>
  </si>
  <si>
    <t>Management</t>
  </si>
  <si>
    <t>Union</t>
  </si>
  <si>
    <t>Non-Union</t>
  </si>
  <si>
    <t>Total</t>
  </si>
  <si>
    <t>(1) Attachment J2.2(A) Updated Breakout of Appendix 2-K</t>
  </si>
  <si>
    <t>Incentive, Overtime, and Benefit Ratios</t>
  </si>
  <si>
    <t>Data From: Attachment J2.2(A) Updated Breakout of Appendix 2-K</t>
  </si>
  <si>
    <t>(i)</t>
  </si>
  <si>
    <t>(k)</t>
  </si>
  <si>
    <t>Incentive $</t>
  </si>
  <si>
    <t>Overtime $</t>
  </si>
  <si>
    <t>Incentive &amp; Overtime Percentage</t>
  </si>
  <si>
    <t>Benefits $</t>
  </si>
  <si>
    <t>Benefits Proportional to Salary (3)</t>
  </si>
  <si>
    <t>Benefits Proportional to Salary Percentage</t>
  </si>
  <si>
    <t>Management + Executive</t>
  </si>
  <si>
    <t>Not used in analysis due to insufficient data</t>
  </si>
  <si>
    <t>All compensation data in $CAD
000s</t>
  </si>
  <si>
    <t>HOL</t>
  </si>
  <si>
    <t>Base Salary</t>
  </si>
  <si>
    <t>As % of P50</t>
  </si>
  <si>
    <t>Target Total Cash Compensation</t>
  </si>
  <si>
    <t>TTC</t>
  </si>
  <si>
    <t>Job #</t>
  </si>
  <si>
    <t>HOL Position Title</t>
  </si>
  <si>
    <t>Benchmark Title</t>
  </si>
  <si>
    <t>Survey</t>
  </si>
  <si>
    <t>Market Scope</t>
  </si>
  <si>
    <t>Category (1)</t>
  </si>
  <si>
    <t>FTE (1)</t>
  </si>
  <si>
    <t>Actual</t>
  </si>
  <si>
    <t>Orgs #</t>
  </si>
  <si>
    <t>Obs #</t>
  </si>
  <si>
    <t>P25</t>
  </si>
  <si>
    <t>P50</t>
  </si>
  <si>
    <t>P75</t>
  </si>
  <si>
    <t>Avg</t>
  </si>
  <si>
    <t>Target TCC</t>
  </si>
  <si>
    <t>HOL Actual</t>
  </si>
  <si>
    <t>1</t>
  </si>
  <si>
    <t>Manager, Distribution
Operations</t>
  </si>
  <si>
    <t>--</t>
  </si>
  <si>
    <t>MBD</t>
  </si>
  <si>
    <t>National</t>
  </si>
  <si>
    <t>$134</t>
  </si>
  <si>
    <t>$147</t>
  </si>
  <si>
    <t>Manager Operations</t>
  </si>
  <si>
    <t>MEARIE</t>
  </si>
  <si>
    <t>Provincial (Ont)</t>
  </si>
  <si>
    <t>20</t>
  </si>
  <si>
    <t>35</t>
  </si>
  <si>
    <t>$131</t>
  </si>
  <si>
    <t>$135</t>
  </si>
  <si>
    <t>$151</t>
  </si>
  <si>
    <t>$140</t>
  </si>
  <si>
    <t>$146</t>
  </si>
  <si>
    <t>$166</t>
  </si>
  <si>
    <t>$149</t>
  </si>
  <si>
    <t>2</t>
  </si>
  <si>
    <t>Supervisor, Distribution
Operations</t>
  </si>
  <si>
    <t>$123</t>
  </si>
  <si>
    <t>Line Supervisor</t>
  </si>
  <si>
    <t>24</t>
  </si>
  <si>
    <t>113</t>
  </si>
  <si>
    <t>$115</t>
  </si>
  <si>
    <t>$117</t>
  </si>
  <si>
    <t>$124</t>
  </si>
  <si>
    <t>$119</t>
  </si>
  <si>
    <t>$116</t>
  </si>
  <si>
    <t>$121</t>
  </si>
  <si>
    <t>$125</t>
  </si>
  <si>
    <t>3</t>
  </si>
  <si>
    <t>Distribution Engineer</t>
  </si>
  <si>
    <t>Electrical Engineering - Senior
Professional (P3)</t>
  </si>
  <si>
    <t>National ex
Mining</t>
  </si>
  <si>
    <t>$113</t>
  </si>
  <si>
    <t>97</t>
  </si>
  <si>
    <t>578</t>
  </si>
  <si>
    <t>$106</t>
  </si>
  <si>
    <t>$127</t>
  </si>
  <si>
    <t>81</t>
  </si>
  <si>
    <t>495</t>
  </si>
  <si>
    <t>$109</t>
  </si>
  <si>
    <t>$122</t>
  </si>
  <si>
    <t>$132</t>
  </si>
  <si>
    <t>Project Engineer</t>
  </si>
  <si>
    <t>16</t>
  </si>
  <si>
    <t>34</t>
  </si>
  <si>
    <t>$104</t>
  </si>
  <si>
    <t>$110</t>
  </si>
  <si>
    <t>$111</t>
  </si>
  <si>
    <t>$105</t>
  </si>
  <si>
    <t>4</t>
  </si>
  <si>
    <t>System Operator</t>
  </si>
  <si>
    <t>$112</t>
  </si>
  <si>
    <t>System Control Operator</t>
  </si>
  <si>
    <t>12</t>
  </si>
  <si>
    <t>$100</t>
  </si>
  <si>
    <t>$108</t>
  </si>
  <si>
    <t>5</t>
  </si>
  <si>
    <t>Network Administrator</t>
  </si>
  <si>
    <t>IT Data/Voice Network
Administration - Senior Professional
(P3)</t>
  </si>
  <si>
    <t>86</t>
  </si>
  <si>
    <t>689</t>
  </si>
  <si>
    <t>$89</t>
  </si>
  <si>
    <t>$101</t>
  </si>
  <si>
    <t>78</t>
  </si>
  <si>
    <t>632</t>
  </si>
  <si>
    <t>$93</t>
  </si>
  <si>
    <t>$103</t>
  </si>
  <si>
    <t>Systems/Program Administrator or
Applications/Systems Support
Professional</t>
  </si>
  <si>
    <t>15</t>
  </si>
  <si>
    <t>21</t>
  </si>
  <si>
    <t>$94</t>
  </si>
  <si>
    <t>$99</t>
  </si>
  <si>
    <t>$98</t>
  </si>
  <si>
    <t>6</t>
  </si>
  <si>
    <t>Powerline Technician</t>
  </si>
  <si>
    <t>Lineperson</t>
  </si>
  <si>
    <t>30</t>
  </si>
  <si>
    <t>$97</t>
  </si>
  <si>
    <t>7</t>
  </si>
  <si>
    <t>Management Accountant</t>
  </si>
  <si>
    <t>Accounting - Senior Professional (P3)</t>
  </si>
  <si>
    <t>$95</t>
  </si>
  <si>
    <t>433</t>
  </si>
  <si>
    <t>2128</t>
  </si>
  <si>
    <t>$102</t>
  </si>
  <si>
    <t>383</t>
  </si>
  <si>
    <t>1914</t>
  </si>
  <si>
    <t>$96</t>
  </si>
  <si>
    <t>$126</t>
  </si>
  <si>
    <t>Accountant</t>
  </si>
  <si>
    <t>$90</t>
  </si>
  <si>
    <t>$107</t>
  </si>
  <si>
    <t>%</t>
  </si>
  <si>
    <t>8</t>
  </si>
  <si>
    <t>System Designer</t>
  </si>
  <si>
    <t>Electrical Engineering
Technologist/Technician - Specialist
Para-Professional (S4)</t>
  </si>
  <si>
    <t>65</t>
  </si>
  <si>
    <t>$85</t>
  </si>
  <si>
    <t>$87</t>
  </si>
  <si>
    <t>10</t>
  </si>
  <si>
    <t>63</t>
  </si>
  <si>
    <t>$86</t>
  </si>
  <si>
    <t>Design Technician / Engineering
Technician / Engineering
Technologist</t>
  </si>
  <si>
    <t>27</t>
  </si>
  <si>
    <t>9</t>
  </si>
  <si>
    <t>Communications Officer</t>
  </si>
  <si>
    <t>General Communications &amp;
Corporate Affairs - Experienced
Professional (P2)</t>
  </si>
  <si>
    <t>144</t>
  </si>
  <si>
    <t>386</t>
  </si>
  <si>
    <t>$75</t>
  </si>
  <si>
    <t>$83</t>
  </si>
  <si>
    <t>$92</t>
  </si>
  <si>
    <t>$84</t>
  </si>
  <si>
    <t>133</t>
  </si>
  <si>
    <t>351</t>
  </si>
  <si>
    <t>$78</t>
  </si>
  <si>
    <t>$88</t>
  </si>
  <si>
    <t>Communications Specialist</t>
  </si>
  <si>
    <t>14</t>
  </si>
  <si>
    <t>18</t>
  </si>
  <si>
    <t>$81</t>
  </si>
  <si>
    <t>$82</t>
  </si>
  <si>
    <t>$91</t>
  </si>
  <si>
    <t>Supervisor, Billing</t>
  </si>
  <si>
    <t>Billing &amp; Invoicing - Team Leader
(Para-Professionals) (M1)</t>
  </si>
  <si>
    <t>32</t>
  </si>
  <si>
    <t>54</t>
  </si>
  <si>
    <t>$74</t>
  </si>
  <si>
    <t>23</t>
  </si>
  <si>
    <t>36</t>
  </si>
  <si>
    <t>$76</t>
  </si>
  <si>
    <t>Supervisor Customer Service and/or
Billing and/or Collections</t>
  </si>
  <si>
    <t>40</t>
  </si>
  <si>
    <t>11</t>
  </si>
  <si>
    <t>Senior Procurement Agent</t>
  </si>
  <si>
    <t>Procurement - Experienced
Professional (P2)</t>
  </si>
  <si>
    <t>332</t>
  </si>
  <si>
    <t>1862</t>
  </si>
  <si>
    <t>$70</t>
  </si>
  <si>
    <t>$79</t>
  </si>
  <si>
    <t>$80</t>
  </si>
  <si>
    <t>303</t>
  </si>
  <si>
    <t>1721</t>
  </si>
  <si>
    <t>$72</t>
  </si>
  <si>
    <t>Warehouse Attendant</t>
  </si>
  <si>
    <t>Warehouse Shipping &amp;
Receiving - Senior Para-Professional (S3)</t>
  </si>
  <si>
    <t>128</t>
  </si>
  <si>
    <t>1322</t>
  </si>
  <si>
    <t>$54</t>
  </si>
  <si>
    <t>$60</t>
  </si>
  <si>
    <t>$67</t>
  </si>
  <si>
    <t>$61</t>
  </si>
  <si>
    <t>120</t>
  </si>
  <si>
    <t>1305</t>
  </si>
  <si>
    <t>$55</t>
  </si>
  <si>
    <t>$68</t>
  </si>
  <si>
    <t>$62</t>
  </si>
  <si>
    <t>^{(2)} Stockkeeper
Material Handler
Stockperson</t>
  </si>
  <si>
    <t>38</t>
  </si>
  <si>
    <t>$51</t>
  </si>
  <si>
    <t>$59</t>
  </si>
  <si>
    <t>13</t>
  </si>
  <si>
    <t>IT Service Desk Technician</t>
  </si>
  <si>
    <t>General IT User Support -Entry Professional (P1)</t>
  </si>
  <si>
    <t>124</t>
  </si>
  <si>
    <t>796</t>
  </si>
  <si>
    <t>$56</t>
  </si>
  <si>
    <t>$64</t>
  </si>
  <si>
    <t>692</t>
  </si>
  <si>
    <t>$65</t>
  </si>
  <si>
    <t>GIS/CAD Technician</t>
  </si>
  <si>
    <t>Geographic Information
Systems (GIS) - Entry
Professional (P1)</t>
  </si>
  <si>
    <t>56</t>
  </si>
  <si>
    <t>44</t>
  </si>
  <si>
    <t>^{(3)} Technical DraftsPerson
Draftsperson</t>
  </si>
  <si>
    <t>Customer Contact Agent</t>
  </si>
  <si>
    <t>General Customer Service -Experienced Para-Professional
(S2)</t>
  </si>
  <si>
    <t>114</t>
  </si>
  <si>
    <t>1785</t>
  </si>
  <si>
    <t>$46</t>
  </si>
  <si>
    <t>$57</t>
  </si>
  <si>
    <t>105</t>
  </si>
  <si>
    <t>1691</t>
  </si>
  <si>
    <t>$53</t>
  </si>
  <si>
    <t>$58</t>
  </si>
  <si>
    <t>^{(4)} Customer Service Rep. /
Customer Service Clerk</t>
  </si>
  <si>
    <t>29</t>
  </si>
  <si>
    <t>Billing Service Associate</t>
  </si>
  <si>
    <t>Billing &amp; Invoicing - Experienced
Para-Professional (S2)</t>
  </si>
  <si>
    <t>67</t>
  </si>
  <si>
    <t>553</t>
  </si>
  <si>
    <t>61</t>
  </si>
  <si>
    <t>477</t>
  </si>
  <si>
    <t>$66</t>
  </si>
  <si>
    <t>Billing Clerk/ Cust Accts Rep</t>
  </si>
  <si>
    <t>$77</t>
  </si>
  <si>
    <t>17</t>
  </si>
  <si>
    <t>Collection Agent</t>
  </si>
  <si>
    <t>Credit &amp; Collections -Experienced Para-Professional
(S2)</t>
  </si>
  <si>
    <t>295</t>
  </si>
  <si>
    <t>265</t>
  </si>
  <si>
    <t>$52</t>
  </si>
  <si>
    <t>Collection Clerk</t>
  </si>
  <si>
    <t>$73</t>
  </si>
  <si>
    <t>Director, Distribution
Operations</t>
  </si>
  <si>
    <t>^{(5)} Engineering Operations
Management - Manager (M3)
and Physical Asset Management
- Manager (M3)</t>
  </si>
  <si>
    <t>$157</t>
  </si>
  <si>
    <t>28</t>
  </si>
  <si>
    <t>$152</t>
  </si>
  <si>
    <t>$174</t>
  </si>
  <si>
    <t>$155</t>
  </si>
  <si>
    <t>$189</t>
  </si>
  <si>
    <t>50.5</t>
  </si>
  <si>
    <t>$178</t>
  </si>
  <si>
    <t>$209</t>
  </si>
  <si>
    <t>$182</t>
  </si>
  <si>
    <t>Director Operations</t>
  </si>
  <si>
    <t>$143</t>
  </si>
  <si>
    <t>$154</t>
  </si>
  <si>
    <t>$184</t>
  </si>
  <si>
    <t>$164</t>
  </si>
  <si>
    <t>$183</t>
  </si>
  <si>
    <t>$220</t>
  </si>
  <si>
    <t>$187</t>
  </si>
  <si>
    <t>19</t>
  </si>
  <si>
    <t>IT Systems Support</t>
  </si>
  <si>
    <t>Enterprise Data Architecture -Experienced Professional (P2)</t>
  </si>
  <si>
    <t>^{(6)} Computer Programmer
IT/Analyst / System Analyst /
Technical Support Analyst</t>
  </si>
  <si>
    <t>Vehicle and Utility
Equipment Technician</t>
  </si>
  <si>
    <t>Heavy Equipment Mechanic -Experienced Para-Professional
(S2)</t>
  </si>
  <si>
    <t>436</t>
  </si>
  <si>
    <t>26</t>
  </si>
  <si>
    <t>412</t>
  </si>
  <si>
    <t>Trans. / Work Equip Mechanic</t>
  </si>
  <si>
    <t>Formulas not adjusted or created as they are not used for subsequent analysis</t>
  </si>
  <si>
    <t>50/50 (where available)</t>
  </si>
  <si>
    <t>Sources:</t>
  </si>
  <si>
    <t>(1) 1-SEC-23</t>
  </si>
  <si>
    <t>Highlighted col from 1-3-3, App. F, p.8-11</t>
  </si>
  <si>
    <t>Union/Non-Union</t>
  </si>
  <si>
    <t>SEC Revised Numbers</t>
  </si>
  <si>
    <t>SEC Revised analysis</t>
  </si>
  <si>
    <t>2026 Total Salary and Wages Excluding Overtime and Incentive Pay</t>
  </si>
  <si>
    <t xml:space="preserve">2026 Total Salary and Wages Excluding Overtime and Incentive Pay(1)                                                        </t>
  </si>
  <si>
    <t>(f) = (e) x 69.00%</t>
  </si>
  <si>
    <t>(2) 69% of labour costs remain in OM&amp;A, see SEC submissions for analysis based on Appendix 2-K and 2-D</t>
  </si>
  <si>
    <t>MBD if available, MEARIE IF NOT</t>
  </si>
  <si>
    <t>v</t>
  </si>
  <si>
    <t>50/50 (MBD/MEARIE)</t>
  </si>
  <si>
    <t>MBD if available, MEARIE if not</t>
  </si>
  <si>
    <t>Aggregated Approach (Total Only)</t>
  </si>
  <si>
    <t>Disaggregated Approach (Management, Non-Union/Union)</t>
  </si>
  <si>
    <t xml:space="preserve">FTE Reduction </t>
  </si>
  <si>
    <t>Table 4 - 2026 Hydro Ottawa Compensation Variance From P50</t>
  </si>
  <si>
    <t xml:space="preserve">Table 2 - Hydro Ottawa Compensation Variance From P50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</si>
</sst>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F4CCCC"/>
        <bgColor rgb="FFF4CCCC"/>
      </patternFill>
    </fill>
    <fill>
      <patternFill patternType="solid">
        <fgColor rgb="FFD8D8D8"/>
        <bgColor rgb="FFD8D8D8"/>
      </patternFill>
    </fill>
    <fill>
      <patternFill patternType="solid">
        <fgColor theme="6" tint="0.39997558519241921"/>
        <bgColor rgb="FFFABF8F"/>
      </patternFill>
    </fill>
    <fill>
      <patternFill patternType="solid">
        <fgColor theme="6" tint="0.39997558519241921"/>
        <bgColor rgb="FFB6DDE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27"/>
  </cellStyleXfs>
  <cellXfs count="152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/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11" fillId="0" borderId="0" xfId="0" applyFont="1" applyAlignment="1">
      <alignment vertical="center"/>
    </xf>
    <xf numFmtId="0" fontId="4" fillId="0" borderId="0" xfId="0" applyFont="1"/>
    <xf numFmtId="165" fontId="10" fillId="2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0" fontId="10" fillId="2" borderId="0" xfId="0" applyNumberFormat="1" applyFont="1" applyFill="1"/>
    <xf numFmtId="0" fontId="1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0" fontId="14" fillId="3" borderId="0" xfId="0" applyFont="1" applyFill="1"/>
    <xf numFmtId="0" fontId="14" fillId="0" borderId="0" xfId="0" applyFont="1"/>
    <xf numFmtId="0" fontId="11" fillId="0" borderId="0" xfId="0" applyFont="1"/>
    <xf numFmtId="0" fontId="10" fillId="4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2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165" fontId="10" fillId="0" borderId="18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5" fontId="10" fillId="4" borderId="18" xfId="0" applyNumberFormat="1" applyFont="1" applyFill="1" applyBorder="1" applyAlignment="1">
      <alignment horizontal="center" wrapText="1"/>
    </xf>
    <xf numFmtId="165" fontId="10" fillId="4" borderId="0" xfId="0" applyNumberFormat="1" applyFont="1" applyFill="1" applyAlignment="1">
      <alignment horizontal="center" wrapText="1"/>
    </xf>
    <xf numFmtId="9" fontId="10" fillId="4" borderId="19" xfId="0" applyNumberFormat="1" applyFont="1" applyFill="1" applyBorder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9" fontId="10" fillId="0" borderId="16" xfId="0" applyNumberFormat="1" applyFont="1" applyBorder="1" applyAlignment="1">
      <alignment horizontal="center" wrapText="1"/>
    </xf>
    <xf numFmtId="9" fontId="10" fillId="0" borderId="19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9" fontId="10" fillId="2" borderId="22" xfId="0" applyNumberFormat="1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9" fontId="10" fillId="0" borderId="22" xfId="0" applyNumberFormat="1" applyFont="1" applyBorder="1" applyAlignment="1">
      <alignment horizontal="center" wrapText="1"/>
    </xf>
    <xf numFmtId="165" fontId="10" fillId="0" borderId="24" xfId="0" applyNumberFormat="1" applyFont="1" applyBorder="1" applyAlignment="1">
      <alignment horizontal="center" wrapText="1"/>
    </xf>
    <xf numFmtId="165" fontId="10" fillId="0" borderId="25" xfId="0" applyNumberFormat="1" applyFont="1" applyBorder="1" applyAlignment="1">
      <alignment horizontal="center" wrapText="1"/>
    </xf>
    <xf numFmtId="9" fontId="10" fillId="0" borderId="26" xfId="0" applyNumberFormat="1" applyFont="1" applyBorder="1" applyAlignment="1">
      <alignment horizontal="center" wrapText="1"/>
    </xf>
    <xf numFmtId="165" fontId="10" fillId="4" borderId="24" xfId="0" applyNumberFormat="1" applyFont="1" applyFill="1" applyBorder="1" applyAlignment="1">
      <alignment horizontal="center" wrapText="1"/>
    </xf>
    <xf numFmtId="165" fontId="10" fillId="4" borderId="25" xfId="0" applyNumberFormat="1" applyFont="1" applyFill="1" applyBorder="1" applyAlignment="1">
      <alignment horizontal="center" wrapText="1"/>
    </xf>
    <xf numFmtId="9" fontId="10" fillId="4" borderId="26" xfId="0" applyNumberFormat="1" applyFont="1" applyFill="1" applyBorder="1" applyAlignment="1">
      <alignment horizontal="center" wrapText="1"/>
    </xf>
    <xf numFmtId="166" fontId="10" fillId="0" borderId="0" xfId="0" applyNumberFormat="1" applyFont="1"/>
    <xf numFmtId="166" fontId="10" fillId="2" borderId="0" xfId="0" applyNumberFormat="1" applyFont="1" applyFill="1"/>
    <xf numFmtId="10" fontId="10" fillId="2" borderId="2" xfId="0" applyNumberFormat="1" applyFont="1" applyFill="1" applyBorder="1"/>
    <xf numFmtId="0" fontId="11" fillId="0" borderId="0" xfId="0" applyFont="1" applyAlignment="1">
      <alignment horizontal="left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" fillId="3" borderId="32" xfId="0" applyFont="1" applyFill="1" applyBorder="1"/>
    <xf numFmtId="0" fontId="3" fillId="3" borderId="32" xfId="0" applyFont="1" applyFill="1" applyBorder="1" applyAlignment="1">
      <alignment horizontal="center" wrapText="1"/>
    </xf>
    <xf numFmtId="0" fontId="3" fillId="3" borderId="32" xfId="0" applyFont="1" applyFill="1" applyBorder="1" applyAlignment="1">
      <alignment horizontal="center"/>
    </xf>
    <xf numFmtId="165" fontId="4" fillId="3" borderId="32" xfId="0" applyNumberFormat="1" applyFont="1" applyFill="1" applyBorder="1"/>
    <xf numFmtId="10" fontId="4" fillId="3" borderId="32" xfId="0" applyNumberFormat="1" applyFont="1" applyFill="1" applyBorder="1"/>
    <xf numFmtId="0" fontId="10" fillId="3" borderId="32" xfId="0" applyFont="1" applyFill="1" applyBorder="1" applyAlignment="1">
      <alignment wrapText="1"/>
    </xf>
    <xf numFmtId="10" fontId="10" fillId="6" borderId="0" xfId="0" applyNumberFormat="1" applyFont="1" applyFill="1"/>
    <xf numFmtId="164" fontId="10" fillId="7" borderId="0" xfId="0" applyNumberFormat="1" applyFont="1" applyFill="1" applyAlignment="1">
      <alignment horizontal="center"/>
    </xf>
    <xf numFmtId="0" fontId="0" fillId="8" borderId="0" xfId="0" applyFill="1"/>
    <xf numFmtId="10" fontId="10" fillId="6" borderId="27" xfId="0" applyNumberFormat="1" applyFont="1" applyFill="1" applyBorder="1"/>
    <xf numFmtId="166" fontId="10" fillId="7" borderId="0" xfId="0" applyNumberFormat="1" applyFont="1" applyFill="1"/>
    <xf numFmtId="166" fontId="10" fillId="6" borderId="0" xfId="0" applyNumberFormat="1" applyFont="1" applyFill="1"/>
    <xf numFmtId="10" fontId="10" fillId="7" borderId="0" xfId="0" applyNumberFormat="1" applyFont="1" applyFill="1"/>
    <xf numFmtId="0" fontId="3" fillId="7" borderId="32" xfId="0" applyFont="1" applyFill="1" applyBorder="1" applyAlignment="1">
      <alignment horizontal="center" wrapText="1"/>
    </xf>
    <xf numFmtId="165" fontId="4" fillId="7" borderId="32" xfId="0" applyNumberFormat="1" applyFont="1" applyFill="1" applyBorder="1"/>
    <xf numFmtId="165" fontId="3" fillId="7" borderId="0" xfId="0" applyNumberFormat="1" applyFont="1" applyFill="1"/>
    <xf numFmtId="9" fontId="4" fillId="7" borderId="0" xfId="0" applyNumberFormat="1" applyFont="1" applyFill="1" applyAlignment="1">
      <alignment horizontal="center"/>
    </xf>
    <xf numFmtId="0" fontId="11" fillId="6" borderId="0" xfId="0" applyFont="1" applyFill="1" applyAlignment="1">
      <alignment horizontal="center" wrapText="1"/>
    </xf>
    <xf numFmtId="0" fontId="12" fillId="6" borderId="0" xfId="0" applyFont="1" applyFill="1" applyAlignment="1">
      <alignment horizontal="center"/>
    </xf>
    <xf numFmtId="165" fontId="13" fillId="6" borderId="0" xfId="0" applyNumberFormat="1" applyFont="1" applyFill="1" applyAlignment="1">
      <alignment horizontal="center"/>
    </xf>
    <xf numFmtId="165" fontId="13" fillId="7" borderId="0" xfId="0" applyNumberFormat="1" applyFont="1" applyFill="1" applyAlignment="1">
      <alignment horizontal="center"/>
    </xf>
    <xf numFmtId="0" fontId="12" fillId="6" borderId="0" xfId="0" applyFont="1" applyFill="1"/>
    <xf numFmtId="0" fontId="4" fillId="6" borderId="0" xfId="0" applyFont="1" applyFill="1"/>
    <xf numFmtId="165" fontId="10" fillId="6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5" fontId="0" fillId="8" borderId="0" xfId="0" applyNumberFormat="1" applyFill="1"/>
    <xf numFmtId="10" fontId="0" fillId="8" borderId="0" xfId="0" applyNumberFormat="1" applyFill="1"/>
    <xf numFmtId="0" fontId="10" fillId="8" borderId="0" xfId="0" applyFont="1" applyFill="1"/>
    <xf numFmtId="10" fontId="17" fillId="8" borderId="0" xfId="0" applyNumberFormat="1" applyFont="1" applyFill="1"/>
    <xf numFmtId="10" fontId="11" fillId="8" borderId="0" xfId="0" applyNumberFormat="1" applyFont="1" applyFill="1"/>
    <xf numFmtId="10" fontId="10" fillId="8" borderId="0" xfId="0" applyNumberFormat="1" applyFont="1" applyFill="1"/>
    <xf numFmtId="164" fontId="10" fillId="8" borderId="0" xfId="0" applyNumberFormat="1" applyFont="1" applyFill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9" fillId="0" borderId="27" xfId="0" applyFont="1" applyBorder="1"/>
    <xf numFmtId="0" fontId="0" fillId="9" borderId="0" xfId="0" applyFill="1"/>
    <xf numFmtId="165" fontId="0" fillId="0" borderId="0" xfId="0" applyNumberFormat="1"/>
    <xf numFmtId="0" fontId="1" fillId="0" borderId="0" xfId="0" applyFont="1"/>
    <xf numFmtId="10" fontId="0" fillId="8" borderId="0" xfId="0" applyNumberFormat="1" applyFill="1" applyAlignment="1">
      <alignment horizontal="center"/>
    </xf>
    <xf numFmtId="165" fontId="1" fillId="7" borderId="32" xfId="0" applyNumberFormat="1" applyFont="1" applyFill="1" applyBorder="1"/>
    <xf numFmtId="0" fontId="21" fillId="9" borderId="0" xfId="0" applyFont="1" applyFill="1"/>
    <xf numFmtId="0" fontId="22" fillId="9" borderId="0" xfId="0" applyFont="1" applyFill="1" applyAlignment="1">
      <alignment vertical="center"/>
    </xf>
    <xf numFmtId="165" fontId="21" fillId="9" borderId="0" xfId="0" applyNumberFormat="1" applyFont="1" applyFill="1"/>
    <xf numFmtId="0" fontId="20" fillId="9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10" fontId="21" fillId="9" borderId="0" xfId="0" applyNumberFormat="1" applyFont="1" applyFill="1" applyAlignment="1">
      <alignment horizontal="center"/>
    </xf>
    <xf numFmtId="0" fontId="23" fillId="9" borderId="0" xfId="0" applyFont="1" applyFill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/>
    <xf numFmtId="0" fontId="18" fillId="2" borderId="0" xfId="0" applyFont="1" applyFill="1" applyAlignment="1">
      <alignment horizontal="center"/>
    </xf>
    <xf numFmtId="0" fontId="16" fillId="0" borderId="27" xfId="1" applyFont="1" applyAlignment="1">
      <alignment horizontal="left"/>
    </xf>
    <xf numFmtId="0" fontId="11" fillId="5" borderId="4" xfId="0" applyFont="1" applyFill="1" applyBorder="1" applyAlignment="1">
      <alignment horizontal="center"/>
    </xf>
    <xf numFmtId="0" fontId="15" fillId="0" borderId="5" xfId="0" applyFont="1" applyBorder="1"/>
    <xf numFmtId="0" fontId="15" fillId="0" borderId="6" xfId="0" applyFont="1" applyBorder="1"/>
    <xf numFmtId="0" fontId="11" fillId="0" borderId="8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1" fillId="4" borderId="8" xfId="0" applyFont="1" applyFill="1" applyBorder="1" applyAlignment="1">
      <alignment horizont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</cellXfs>
  <cellStyles count="2">
    <cellStyle name="Normal" xfId="0" builtinId="0"/>
    <cellStyle name="Normal 3" xfId="1" xr:uid="{989B2674-7C9E-43EA-ABE1-0F075AB1F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1CF8-DBE2-4593-B755-44174AB6F73C}">
  <dimension ref="A4:N33"/>
  <sheetViews>
    <sheetView workbookViewId="0">
      <selection activeCell="J13" sqref="J13"/>
    </sheetView>
  </sheetViews>
  <sheetFormatPr defaultRowHeight="14.25" x14ac:dyDescent="0.2"/>
  <cols>
    <col min="3" max="3" width="7.125" customWidth="1"/>
    <col min="4" max="4" width="16.125" customWidth="1"/>
    <col min="5" max="5" width="16.5" customWidth="1"/>
    <col min="6" max="6" width="3.25" customWidth="1"/>
    <col min="7" max="7" width="21.75" customWidth="1"/>
    <col min="8" max="8" width="14.375" customWidth="1"/>
    <col min="11" max="11" width="10.875" bestFit="1" customWidth="1"/>
  </cols>
  <sheetData>
    <row r="4" spans="1:7" x14ac:dyDescent="0.2">
      <c r="A4" s="137" t="s">
        <v>318</v>
      </c>
      <c r="B4" s="137"/>
      <c r="C4" s="137"/>
      <c r="D4" s="137"/>
      <c r="E4" s="137"/>
      <c r="F4" s="137"/>
      <c r="G4" s="137"/>
    </row>
    <row r="5" spans="1:7" x14ac:dyDescent="0.2">
      <c r="A5" s="131"/>
      <c r="B5" s="131"/>
      <c r="C5" s="131"/>
      <c r="D5" s="131"/>
      <c r="E5" s="134" t="s">
        <v>5</v>
      </c>
      <c r="F5" s="135"/>
      <c r="G5" s="134" t="s">
        <v>6</v>
      </c>
    </row>
    <row r="6" spans="1:7" x14ac:dyDescent="0.2">
      <c r="A6" s="132" t="s">
        <v>312</v>
      </c>
      <c r="B6" s="131"/>
      <c r="C6" s="131"/>
      <c r="D6" s="131" t="s">
        <v>21</v>
      </c>
      <c r="E6" s="136">
        <f>'Data - Corrected'!O45-1</f>
        <v>1.5000000000000124E-2</v>
      </c>
      <c r="F6" s="135"/>
      <c r="G6" s="136">
        <f>'Data - Corrected'!AB45-1</f>
        <v>3.0812123392391477E-2</v>
      </c>
    </row>
    <row r="7" spans="1:7" x14ac:dyDescent="0.2">
      <c r="A7" s="131"/>
      <c r="B7" s="131"/>
      <c r="C7" s="131"/>
      <c r="D7" s="131" t="s">
        <v>303</v>
      </c>
      <c r="E7" s="136">
        <f>'Data - Corrected'!O46-1</f>
        <v>6.1898437500000236E-2</v>
      </c>
      <c r="F7" s="135"/>
      <c r="G7" s="136">
        <f>'Data - Corrected'!AB46-1</f>
        <v>7.5934170564924353E-2</v>
      </c>
    </row>
    <row r="8" spans="1:7" x14ac:dyDescent="0.2">
      <c r="A8" s="131"/>
      <c r="B8" s="131"/>
      <c r="C8" s="131"/>
      <c r="D8" s="131"/>
      <c r="E8" s="136"/>
      <c r="F8" s="135"/>
      <c r="G8" s="136"/>
    </row>
    <row r="9" spans="1:7" x14ac:dyDescent="0.2">
      <c r="A9" s="131"/>
      <c r="B9" s="131"/>
      <c r="C9" s="131"/>
      <c r="D9" s="131" t="s">
        <v>24</v>
      </c>
      <c r="E9" s="136">
        <f>'Data - Corrected'!O48-1</f>
        <v>0.10249999999999981</v>
      </c>
      <c r="F9" s="135"/>
      <c r="G9" s="136">
        <f>'Data - Corrected'!AB48-1</f>
        <v>7.0787193187317854E-2</v>
      </c>
    </row>
    <row r="10" spans="1:7" x14ac:dyDescent="0.2">
      <c r="A10" s="131"/>
      <c r="B10" s="131"/>
      <c r="C10" s="131"/>
      <c r="D10" s="131"/>
      <c r="E10" s="135"/>
      <c r="F10" s="135"/>
      <c r="G10" s="135"/>
    </row>
    <row r="11" spans="1:7" x14ac:dyDescent="0.2">
      <c r="A11" s="132" t="s">
        <v>313</v>
      </c>
      <c r="B11" s="131"/>
      <c r="C11" s="131"/>
      <c r="D11" s="131" t="s">
        <v>21</v>
      </c>
      <c r="E11" s="136">
        <f>'Data - Corrected'!O52-1</f>
        <v>4.2499999999999982E-2</v>
      </c>
      <c r="F11" s="135"/>
      <c r="G11" s="136">
        <f>'Data - Corrected'!AB52-1</f>
        <v>3.6170501288252055E-2</v>
      </c>
    </row>
    <row r="12" spans="1:7" x14ac:dyDescent="0.2">
      <c r="A12" s="131"/>
      <c r="B12" s="131"/>
      <c r="C12" s="131"/>
      <c r="D12" s="131" t="s">
        <v>303</v>
      </c>
      <c r="E12" s="136">
        <f>'Data - Corrected'!O53-1</f>
        <v>0.17812500000000009</v>
      </c>
      <c r="F12" s="135"/>
      <c r="G12" s="136">
        <f>'Data - Corrected'!AB53-1</f>
        <v>9.915394688745427E-2</v>
      </c>
    </row>
    <row r="13" spans="1:7" x14ac:dyDescent="0.2">
      <c r="A13" s="131"/>
      <c r="B13" s="131"/>
      <c r="C13" s="131"/>
      <c r="D13" s="131"/>
      <c r="E13" s="136"/>
      <c r="F13" s="135"/>
      <c r="G13" s="136"/>
    </row>
    <row r="14" spans="1:7" x14ac:dyDescent="0.2">
      <c r="A14" s="131"/>
      <c r="B14" s="131"/>
      <c r="C14" s="131"/>
      <c r="D14" s="131" t="s">
        <v>24</v>
      </c>
      <c r="E14" s="136">
        <f>'Data - Corrected'!O55-1</f>
        <v>0.15100000000000002</v>
      </c>
      <c r="F14" s="135"/>
      <c r="G14" s="136">
        <f>'Data - Corrected'!AB55-1</f>
        <v>9.18660141931813E-2</v>
      </c>
    </row>
    <row r="20" spans="7:14" ht="18.75" customHeight="1" x14ac:dyDescent="0.25">
      <c r="G20" s="138" t="s">
        <v>317</v>
      </c>
      <c r="H20" s="138"/>
      <c r="I20" s="138"/>
      <c r="J20" s="138"/>
      <c r="K20" s="138"/>
      <c r="L20" s="125"/>
      <c r="M20" s="125"/>
      <c r="N20" s="125"/>
    </row>
    <row r="21" spans="7:14" x14ac:dyDescent="0.2">
      <c r="G21" s="132" t="s">
        <v>312</v>
      </c>
      <c r="H21" s="131"/>
      <c r="I21" s="131"/>
      <c r="J21" s="131"/>
      <c r="K21" s="131"/>
    </row>
    <row r="22" spans="7:14" x14ac:dyDescent="0.2">
      <c r="G22" s="131" t="s">
        <v>315</v>
      </c>
      <c r="H22" s="131"/>
      <c r="I22" s="131"/>
      <c r="J22" s="131"/>
      <c r="K22" s="133">
        <f>'50-50 Corrected'!P15</f>
        <v>4293963.983370224</v>
      </c>
    </row>
    <row r="23" spans="7:14" x14ac:dyDescent="0.2">
      <c r="G23" s="131" t="s">
        <v>314</v>
      </c>
      <c r="H23" s="131"/>
      <c r="I23" s="131"/>
      <c r="J23" s="131"/>
      <c r="K23" s="133">
        <f>'50-50 Single Agg'!P15</f>
        <v>4652884.3127080584</v>
      </c>
    </row>
    <row r="24" spans="7:14" x14ac:dyDescent="0.2">
      <c r="G24" s="131"/>
      <c r="H24" s="131"/>
      <c r="I24" s="131"/>
      <c r="J24" s="131"/>
      <c r="K24" s="133"/>
    </row>
    <row r="25" spans="7:14" x14ac:dyDescent="0.2">
      <c r="G25" s="132" t="s">
        <v>313</v>
      </c>
      <c r="H25" s="131"/>
      <c r="I25" s="131"/>
      <c r="J25" s="131"/>
      <c r="K25" s="133"/>
    </row>
    <row r="26" spans="7:14" x14ac:dyDescent="0.2">
      <c r="G26" s="131" t="s">
        <v>315</v>
      </c>
      <c r="H26" s="131"/>
      <c r="I26" s="131"/>
      <c r="J26" s="131"/>
      <c r="K26" s="133">
        <f>'MBD, MEARIE IF Not Corrected'!P15</f>
        <v>5841196.314978784</v>
      </c>
    </row>
    <row r="27" spans="7:14" x14ac:dyDescent="0.2">
      <c r="G27" s="131" t="s">
        <v>314</v>
      </c>
      <c r="H27" s="131"/>
      <c r="I27" s="131"/>
      <c r="J27" s="131"/>
      <c r="K27" s="133">
        <f>'MBD, MEARIE IF Not Single Agg '!P15</f>
        <v>6038407.7551905122</v>
      </c>
    </row>
    <row r="28" spans="7:14" x14ac:dyDescent="0.2">
      <c r="G28" s="131"/>
      <c r="H28" s="131"/>
      <c r="I28" s="131"/>
      <c r="J28" s="131"/>
      <c r="K28" s="131"/>
    </row>
    <row r="32" spans="7:14" x14ac:dyDescent="0.2">
      <c r="G32" s="126" t="s">
        <v>5</v>
      </c>
      <c r="K32" s="127">
        <f>AVERAGE(K22:K27)</f>
        <v>5206613.0915618949</v>
      </c>
    </row>
    <row r="33" spans="7:7" ht="15" x14ac:dyDescent="0.25">
      <c r="G33" s="1"/>
    </row>
  </sheetData>
  <mergeCells count="2">
    <mergeCell ref="A4:G4"/>
    <mergeCell ref="G20:K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94D4-5C12-4946-9749-C17CAC537A81}">
  <sheetPr>
    <pageSetUpPr fitToPage="1"/>
  </sheetPr>
  <dimension ref="A1:Q987"/>
  <sheetViews>
    <sheetView tabSelected="1" topLeftCell="E19" workbookViewId="0">
      <selection activeCell="J31" sqref="J31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9" t="s">
        <v>3</v>
      </c>
      <c r="C5" s="140"/>
      <c r="D5" s="140"/>
      <c r="E5" s="140"/>
      <c r="F5" s="140"/>
      <c r="G5" s="6"/>
      <c r="H5" s="139" t="s">
        <v>4</v>
      </c>
      <c r="I5" s="140"/>
      <c r="J5" s="140"/>
      <c r="K5" s="140"/>
      <c r="L5" s="140"/>
      <c r="M5" s="140"/>
      <c r="N5" s="140"/>
      <c r="O5" s="140"/>
      <c r="P5" s="140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20</v>
      </c>
      <c r="C12" s="23" t="s">
        <v>21</v>
      </c>
      <c r="D12" s="121">
        <f>'Data - Corrected'!O52-1</f>
        <v>4.2499999999999982E-2</v>
      </c>
      <c r="E12" s="122">
        <f>'Data - Corrected'!AB52-1</f>
        <v>3.6170501288252055E-2</v>
      </c>
      <c r="F12" s="19"/>
      <c r="H12" s="22" t="s">
        <v>20</v>
      </c>
      <c r="I12" s="23" t="s">
        <v>24</v>
      </c>
      <c r="J12" s="114">
        <f>$I$29</f>
        <v>75494404</v>
      </c>
      <c r="K12" s="114">
        <f>J12*0.69</f>
        <v>52091138.759999998</v>
      </c>
      <c r="L12" s="114">
        <f>$E15*$K12</f>
        <v>4785405.292665136</v>
      </c>
      <c r="M12" s="21"/>
      <c r="N12" s="115">
        <f>L12*$L$29</f>
        <v>380974.13371945469</v>
      </c>
      <c r="O12" s="115">
        <f>L12*$O$29</f>
        <v>872028.32880592172</v>
      </c>
      <c r="P12" s="115">
        <f t="shared" ref="P12" si="0">L12+N12+O12</f>
        <v>6038407.7551905122</v>
      </c>
    </row>
    <row r="13" spans="1:16" ht="14.25" customHeight="1" x14ac:dyDescent="0.2">
      <c r="C13" s="23" t="s">
        <v>303</v>
      </c>
      <c r="D13" s="121">
        <f>'Data - Corrected'!O53-1</f>
        <v>0.17812500000000009</v>
      </c>
      <c r="E13" s="122">
        <f>'Data - Corrected'!AB53-1</f>
        <v>9.915394688745427E-2</v>
      </c>
      <c r="F13" s="19"/>
      <c r="I13" s="23"/>
      <c r="J13" s="24"/>
      <c r="K13" s="24"/>
      <c r="L13" s="24"/>
      <c r="M13" s="21"/>
      <c r="N13" s="25"/>
      <c r="O13" s="25"/>
      <c r="P13" s="25"/>
    </row>
    <row r="14" spans="1:16" ht="14.25" customHeight="1" x14ac:dyDescent="0.2">
      <c r="D14" s="121"/>
      <c r="E14" s="122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121">
        <f>'Data - Corrected'!O55-1</f>
        <v>0.15100000000000002</v>
      </c>
      <c r="E15" s="122">
        <f>'Data - Corrected'!AB55-1</f>
        <v>9.18660141931813E-2</v>
      </c>
      <c r="F15" s="19"/>
      <c r="I15" s="23" t="s">
        <v>24</v>
      </c>
      <c r="L15" s="110">
        <f>SUM(L12:L14)</f>
        <v>4785405.292665136</v>
      </c>
      <c r="M15" s="21"/>
      <c r="N15" s="20"/>
      <c r="O15" s="20"/>
      <c r="P15" s="111">
        <f>SUM(P12:P14)</f>
        <v>6038407.7551905122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24</v>
      </c>
      <c r="I29" s="105">
        <f>'50-50 Corrected'!I32</f>
        <v>75494404</v>
      </c>
      <c r="J29" s="105">
        <f>'50-50 Corrected'!J32</f>
        <v>1257415</v>
      </c>
      <c r="K29" s="105">
        <f>'50-50 Corrected'!K32</f>
        <v>4752821</v>
      </c>
      <c r="L29" s="95">
        <f t="shared" ref="L29" si="1">(J29+K29)/I29</f>
        <v>7.9611675588564149E-2</v>
      </c>
      <c r="M29" s="105">
        <f>'50-50 Corrected'!M32</f>
        <v>22928486</v>
      </c>
      <c r="N29" s="94">
        <f t="shared" ref="N29" si="2">M29*$N$27</f>
        <v>13757091.6</v>
      </c>
      <c r="O29" s="95">
        <f t="shared" ref="O29" si="3">N29/I29</f>
        <v>0.18222664026859528</v>
      </c>
      <c r="P29" s="32"/>
      <c r="Q29" s="33"/>
    </row>
    <row r="30" spans="4:17" ht="14.25" customHeight="1" x14ac:dyDescent="0.2">
      <c r="H30" s="91"/>
      <c r="I30" s="105"/>
      <c r="J30" s="105"/>
      <c r="K30" s="105"/>
      <c r="L30" s="95"/>
      <c r="M30" s="105"/>
      <c r="N30" s="94"/>
      <c r="O30" s="95"/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75494404</v>
      </c>
      <c r="J32" s="106">
        <f>SUM(J29:J30)</f>
        <v>1257415</v>
      </c>
      <c r="K32" s="106">
        <f>SUM(K29:K30)</f>
        <v>4752821</v>
      </c>
      <c r="M32" s="106">
        <f>SUM(M29:M30)</f>
        <v>22928486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/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0E5A-4188-4F67-9CBB-09907F0F00F4}">
  <sheetPr>
    <pageSetUpPr fitToPage="1"/>
  </sheetPr>
  <dimension ref="A1:Q987"/>
  <sheetViews>
    <sheetView topLeftCell="C8" workbookViewId="0">
      <selection activeCell="H36" sqref="H36:I36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9" t="s">
        <v>3</v>
      </c>
      <c r="C5" s="140"/>
      <c r="D5" s="140"/>
      <c r="E5" s="140"/>
      <c r="F5" s="140"/>
      <c r="G5" s="6"/>
      <c r="H5" s="141" t="s">
        <v>4</v>
      </c>
      <c r="I5" s="140"/>
      <c r="J5" s="140"/>
      <c r="K5" s="140"/>
      <c r="L5" s="140"/>
      <c r="M5" s="140"/>
      <c r="N5" s="140"/>
      <c r="O5" s="140"/>
      <c r="P5" s="140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310</v>
      </c>
      <c r="C12" s="23" t="s">
        <v>21</v>
      </c>
      <c r="D12" s="121">
        <f>'Data - Corrected'!O52-1</f>
        <v>4.2499999999999982E-2</v>
      </c>
      <c r="E12" s="122">
        <f>'Data - Corrected'!AB52-1</f>
        <v>3.6170501288252055E-2</v>
      </c>
      <c r="F12" s="19"/>
      <c r="H12" s="22" t="s">
        <v>20</v>
      </c>
      <c r="I12" s="23" t="s">
        <v>21</v>
      </c>
      <c r="J12" s="24">
        <f>$I$29</f>
        <v>17533344</v>
      </c>
      <c r="K12" s="24">
        <f>J12*0.69</f>
        <v>12098007.359999999</v>
      </c>
      <c r="L12" s="24">
        <f t="shared" ref="L12:L13" si="0">$E12*$K12</f>
        <v>437590.99080016284</v>
      </c>
      <c r="M12" s="21"/>
      <c r="N12" s="25">
        <f>L12*$L$29</f>
        <v>41665.51697156806</v>
      </c>
      <c r="O12" s="25">
        <f>L12*$O$29</f>
        <v>79656.764323843978</v>
      </c>
      <c r="P12" s="25">
        <f t="shared" ref="P12:P13" si="1">L12+N12+O12</f>
        <v>558913.27209557488</v>
      </c>
    </row>
    <row r="13" spans="1:16" ht="14.25" customHeight="1" x14ac:dyDescent="0.2">
      <c r="C13" s="23" t="s">
        <v>303</v>
      </c>
      <c r="D13" s="121">
        <f>'Data - Corrected'!O53-1</f>
        <v>0.17812500000000009</v>
      </c>
      <c r="E13" s="122">
        <f>'Data - Corrected'!AB53-1</f>
        <v>9.915394688745427E-2</v>
      </c>
      <c r="F13" s="19"/>
      <c r="I13" s="23" t="s">
        <v>303</v>
      </c>
      <c r="J13" s="24">
        <f>$I$30</f>
        <v>62301847</v>
      </c>
      <c r="K13" s="24">
        <f>J13*0.69</f>
        <v>42988274.43</v>
      </c>
      <c r="L13" s="24">
        <f t="shared" si="0"/>
        <v>4262457.0796155287</v>
      </c>
      <c r="M13" s="21"/>
      <c r="N13" s="25">
        <f>L13*$L$30</f>
        <v>296980.25291694887</v>
      </c>
      <c r="O13" s="25">
        <f>L13*$O$30</f>
        <v>722845.71035073174</v>
      </c>
      <c r="P13" s="25">
        <f t="shared" si="1"/>
        <v>5282283.042883209</v>
      </c>
    </row>
    <row r="14" spans="1:16" ht="14.25" customHeight="1" x14ac:dyDescent="0.2">
      <c r="D14" s="121"/>
      <c r="E14" s="122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121">
        <f>'Data - Corrected'!O55-1</f>
        <v>0.15100000000000002</v>
      </c>
      <c r="E15" s="122">
        <f>'Data - Corrected'!AB55-1</f>
        <v>9.18660141931813E-2</v>
      </c>
      <c r="F15" s="19"/>
      <c r="I15" s="23" t="s">
        <v>24</v>
      </c>
      <c r="L15" s="110">
        <f>SUM(L12:L14)</f>
        <v>4700048.0704156915</v>
      </c>
      <c r="M15" s="21"/>
      <c r="N15" s="20"/>
      <c r="O15" s="20"/>
      <c r="P15" s="111">
        <f>SUM(P12:P14)</f>
        <v>5841196.314978784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36</v>
      </c>
      <c r="I29" s="105">
        <f>(19202793-J29-K29)</f>
        <v>17533344</v>
      </c>
      <c r="J29" s="105">
        <f>(519829+737586)</f>
        <v>1257415</v>
      </c>
      <c r="K29" s="130">
        <f>412034</f>
        <v>412034</v>
      </c>
      <c r="L29" s="95">
        <f t="shared" ref="L29:L30" si="2">(J29+K29)/I29</f>
        <v>9.5215664507580525E-2</v>
      </c>
      <c r="M29" s="105">
        <f>5319463*(1-$I$36)</f>
        <v>5319463</v>
      </c>
      <c r="N29" s="94">
        <f t="shared" ref="N29:N30" si="3">M29*$N$27</f>
        <v>3191677.8</v>
      </c>
      <c r="O29" s="95">
        <f t="shared" ref="O29:O30" si="4">N29/I29</f>
        <v>0.18203474476973702</v>
      </c>
      <c r="P29" s="32"/>
      <c r="Q29" s="33"/>
    </row>
    <row r="30" spans="4:17" ht="14.25" customHeight="1" x14ac:dyDescent="0.2">
      <c r="H30" s="91" t="s">
        <v>303</v>
      </c>
      <c r="I30" s="105">
        <f>(49394441+12907406-J30)</f>
        <v>62301847</v>
      </c>
      <c r="J30" s="105"/>
      <c r="K30" s="105">
        <f>(4239845+100942)</f>
        <v>4340787</v>
      </c>
      <c r="L30" s="95">
        <f t="shared" si="2"/>
        <v>6.9673488171225484E-2</v>
      </c>
      <c r="M30" s="105">
        <f>17609023*(1-$I$36)</f>
        <v>17609023</v>
      </c>
      <c r="N30" s="94">
        <f t="shared" si="3"/>
        <v>10565413.799999999</v>
      </c>
      <c r="O30" s="95">
        <f t="shared" si="4"/>
        <v>0.16958427893799038</v>
      </c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79835191</v>
      </c>
      <c r="J32" s="106">
        <f>SUM(J29:J30)</f>
        <v>1257415</v>
      </c>
      <c r="K32" s="106">
        <f>SUM(K29:K30)</f>
        <v>4752821</v>
      </c>
      <c r="M32" s="106">
        <f>SUM(M29:M30)</f>
        <v>22928486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/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7"/>
  <sheetViews>
    <sheetView topLeftCell="E10" workbookViewId="0">
      <selection activeCell="H36" sqref="H36:I36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9" t="s">
        <v>3</v>
      </c>
      <c r="C5" s="140"/>
      <c r="D5" s="140"/>
      <c r="E5" s="140"/>
      <c r="F5" s="140"/>
      <c r="G5" s="6"/>
      <c r="H5" s="139" t="s">
        <v>4</v>
      </c>
      <c r="I5" s="140"/>
      <c r="J5" s="140"/>
      <c r="K5" s="140"/>
      <c r="L5" s="140"/>
      <c r="M5" s="140"/>
      <c r="N5" s="140"/>
      <c r="O5" s="140"/>
      <c r="P5" s="140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124" t="s">
        <v>310</v>
      </c>
      <c r="C12" s="23" t="s">
        <v>21</v>
      </c>
      <c r="D12" s="18">
        <f>'Data - Corrected'!O45-1</f>
        <v>1.5000000000000124E-2</v>
      </c>
      <c r="E12" s="19">
        <f>'Data - Corrected'!AB45-1</f>
        <v>3.0812123392391477E-2</v>
      </c>
      <c r="F12" s="19"/>
      <c r="H12" s="22" t="s">
        <v>20</v>
      </c>
      <c r="I12" s="23" t="s">
        <v>21</v>
      </c>
      <c r="J12" s="24">
        <f>$I$29</f>
        <v>17533344</v>
      </c>
      <c r="K12" s="24">
        <f>J12*0.69</f>
        <v>12098007.359999999</v>
      </c>
      <c r="L12" s="24">
        <f t="shared" ref="L12:L13" si="0">$E12*$K12</f>
        <v>372765.29557838023</v>
      </c>
      <c r="M12" s="21"/>
      <c r="N12" s="25">
        <f>L12*$L$29</f>
        <v>35493.095323860143</v>
      </c>
      <c r="O12" s="25">
        <f>L12*$O$29</f>
        <v>67856.23543962602</v>
      </c>
      <c r="P12" s="25">
        <f t="shared" ref="P12:P13" si="1">L12+N12+O12</f>
        <v>476114.62634186639</v>
      </c>
    </row>
    <row r="13" spans="1:16" ht="14.25" customHeight="1" x14ac:dyDescent="0.2">
      <c r="C13" s="23" t="s">
        <v>303</v>
      </c>
      <c r="D13" s="97">
        <f>'Data - Corrected'!O46-1</f>
        <v>6.1898437500000236E-2</v>
      </c>
      <c r="E13" s="98">
        <f>'Data - Corrected'!AB46-1</f>
        <v>7.5934170564924353E-2</v>
      </c>
      <c r="F13" s="19"/>
      <c r="I13" s="23" t="s">
        <v>303</v>
      </c>
      <c r="J13" s="24">
        <f>$I$30</f>
        <v>57961060</v>
      </c>
      <c r="K13" s="24">
        <f>J13*0.69</f>
        <v>39993131.399999999</v>
      </c>
      <c r="L13" s="24">
        <f t="shared" si="0"/>
        <v>3036845.2611530316</v>
      </c>
      <c r="M13" s="21"/>
      <c r="N13" s="25">
        <f>L13*$L$30</f>
        <v>227433.70170636431</v>
      </c>
      <c r="O13" s="25">
        <f>L13*$O$30</f>
        <v>553570.39416896168</v>
      </c>
      <c r="P13" s="25">
        <f t="shared" si="1"/>
        <v>3817849.3570283577</v>
      </c>
    </row>
    <row r="14" spans="1:16" ht="14.25" customHeight="1" x14ac:dyDescent="0.2">
      <c r="D14" s="18"/>
      <c r="E14" s="19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26">
        <f>'Data - Corrected'!O48-1</f>
        <v>0.10249999999999981</v>
      </c>
      <c r="E15" s="19">
        <f>'Data - Corrected'!AB48-1</f>
        <v>7.0787193187317854E-2</v>
      </c>
      <c r="F15" s="19"/>
      <c r="I15" s="23" t="s">
        <v>24</v>
      </c>
      <c r="L15" s="110">
        <f>SUM(L12:L14)</f>
        <v>3409610.5567314117</v>
      </c>
      <c r="M15" s="21"/>
      <c r="N15" s="20"/>
      <c r="O15" s="20"/>
      <c r="P15" s="111">
        <f>SUM(P12:P14)</f>
        <v>4293963.983370224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>
      <c r="J23" s="123" t="s">
        <v>311</v>
      </c>
    </row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36</v>
      </c>
      <c r="I29" s="105">
        <f>(19202793-J29-K29)</f>
        <v>17533344</v>
      </c>
      <c r="J29" s="105">
        <f>(519829+737586)</f>
        <v>1257415</v>
      </c>
      <c r="K29" s="130">
        <f>412034</f>
        <v>412034</v>
      </c>
      <c r="L29" s="95">
        <f t="shared" ref="L29:L30" si="2">(J29+K29)/I29</f>
        <v>9.5215664507580525E-2</v>
      </c>
      <c r="M29" s="130">
        <f>5319463</f>
        <v>5319463</v>
      </c>
      <c r="N29" s="94">
        <f>M29*$N$27</f>
        <v>3191677.8</v>
      </c>
      <c r="O29" s="95">
        <f t="shared" ref="O29:O30" si="3">N29/I29</f>
        <v>0.18203474476973702</v>
      </c>
      <c r="P29" s="32"/>
      <c r="Q29" s="33"/>
    </row>
    <row r="30" spans="4:17" ht="14.25" customHeight="1" x14ac:dyDescent="0.2">
      <c r="H30" s="91" t="s">
        <v>303</v>
      </c>
      <c r="I30" s="105">
        <f>(49394441+12907406-J30-K30)</f>
        <v>57961060</v>
      </c>
      <c r="J30" s="105"/>
      <c r="K30" s="105">
        <f>(4239845+100942)</f>
        <v>4340787</v>
      </c>
      <c r="L30" s="95">
        <f t="shared" si="2"/>
        <v>7.4891435732886869E-2</v>
      </c>
      <c r="M30" s="105">
        <f>17609023</f>
        <v>17609023</v>
      </c>
      <c r="N30" s="94">
        <f>M30*$N$27</f>
        <v>10565413.799999999</v>
      </c>
      <c r="O30" s="95">
        <f t="shared" si="3"/>
        <v>0.18228468906538284</v>
      </c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75494404</v>
      </c>
      <c r="J32" s="106">
        <f>SUM(J29:J30)</f>
        <v>1257415</v>
      </c>
      <c r="K32" s="106">
        <f>SUM(K29:K30)</f>
        <v>4752821</v>
      </c>
      <c r="M32" s="106">
        <f>SUM(M29:M30)</f>
        <v>22928486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/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6C3B-E6B5-466E-8338-6FA1598BC526}">
  <sheetPr>
    <pageSetUpPr fitToPage="1"/>
  </sheetPr>
  <dimension ref="A1:Q987"/>
  <sheetViews>
    <sheetView topLeftCell="C10" workbookViewId="0">
      <selection activeCell="I42" sqref="I42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9" t="s">
        <v>3</v>
      </c>
      <c r="C5" s="140"/>
      <c r="D5" s="140"/>
      <c r="E5" s="140"/>
      <c r="F5" s="140"/>
      <c r="G5" s="6"/>
      <c r="H5" s="139" t="s">
        <v>4</v>
      </c>
      <c r="I5" s="140"/>
      <c r="J5" s="140"/>
      <c r="K5" s="140"/>
      <c r="L5" s="140"/>
      <c r="M5" s="140"/>
      <c r="N5" s="140"/>
      <c r="O5" s="140"/>
      <c r="P5" s="140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20</v>
      </c>
      <c r="C12" s="23" t="s">
        <v>21</v>
      </c>
      <c r="D12" s="18">
        <f>'Data - Corrected'!O45-1</f>
        <v>1.5000000000000124E-2</v>
      </c>
      <c r="E12" s="19">
        <f>'Data - Corrected'!AB45-1</f>
        <v>3.0812123392391477E-2</v>
      </c>
      <c r="F12" s="19"/>
      <c r="H12" s="22" t="s">
        <v>20</v>
      </c>
      <c r="I12" s="23" t="s">
        <v>24</v>
      </c>
      <c r="J12" s="114">
        <f>$I$29</f>
        <v>75494404</v>
      </c>
      <c r="K12" s="114">
        <f>J12*0.69</f>
        <v>52091138.759999998</v>
      </c>
      <c r="L12" s="114">
        <f>$E15*$K12</f>
        <v>3687385.5027515008</v>
      </c>
      <c r="M12" s="21"/>
      <c r="N12" s="115">
        <f>L12*$L$29</f>
        <v>293558.93841502699</v>
      </c>
      <c r="O12" s="115">
        <f>L12*$O$29</f>
        <v>671939.87154153106</v>
      </c>
      <c r="P12" s="115">
        <f t="shared" ref="P12" si="0">L12+N12+O12</f>
        <v>4652884.3127080584</v>
      </c>
    </row>
    <row r="13" spans="1:16" ht="14.25" customHeight="1" x14ac:dyDescent="0.2">
      <c r="C13" s="23" t="s">
        <v>303</v>
      </c>
      <c r="D13" s="97">
        <f>'Data - Corrected'!O46-1</f>
        <v>6.1898437500000236E-2</v>
      </c>
      <c r="E13" s="98">
        <f>'Data - Corrected'!AB46-1</f>
        <v>7.5934170564924353E-2</v>
      </c>
      <c r="F13" s="19"/>
      <c r="I13" s="23"/>
      <c r="J13" s="24"/>
      <c r="K13" s="24"/>
      <c r="L13" s="24"/>
      <c r="M13" s="21"/>
      <c r="N13" s="25"/>
      <c r="O13" s="25"/>
      <c r="P13" s="25"/>
    </row>
    <row r="14" spans="1:16" ht="14.25" customHeight="1" x14ac:dyDescent="0.2">
      <c r="D14" s="18"/>
      <c r="E14" s="19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26">
        <f>'Data - Corrected'!O48-1</f>
        <v>0.10249999999999981</v>
      </c>
      <c r="E15" s="19">
        <f>'Data - Corrected'!AB48-1</f>
        <v>7.0787193187317854E-2</v>
      </c>
      <c r="F15" s="19"/>
      <c r="I15" s="23" t="s">
        <v>24</v>
      </c>
      <c r="L15" s="110">
        <f>SUM(L12:L14)</f>
        <v>3687385.5027515008</v>
      </c>
      <c r="M15" s="21"/>
      <c r="N15" s="20"/>
      <c r="O15" s="20"/>
      <c r="P15" s="111">
        <f>SUM(P12:P14)</f>
        <v>4652884.3127080584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24</v>
      </c>
      <c r="I29" s="105">
        <f>'50-50 Corrected'!I32</f>
        <v>75494404</v>
      </c>
      <c r="J29" s="105">
        <f>'50-50 Corrected'!J32</f>
        <v>1257415</v>
      </c>
      <c r="K29" s="105">
        <f>'50-50 Corrected'!K32</f>
        <v>4752821</v>
      </c>
      <c r="L29" s="95">
        <f t="shared" ref="L29" si="1">(J29+K29)/I29</f>
        <v>7.9611675588564149E-2</v>
      </c>
      <c r="M29" s="105">
        <f>'50-50 Corrected'!M32</f>
        <v>22928486</v>
      </c>
      <c r="N29" s="94">
        <f t="shared" ref="N29" si="2">M29*$N$27</f>
        <v>13757091.6</v>
      </c>
      <c r="O29" s="95">
        <f t="shared" ref="O29" si="3">N29/I29</f>
        <v>0.18222664026859528</v>
      </c>
      <c r="P29" s="32"/>
      <c r="Q29" s="33"/>
    </row>
    <row r="30" spans="4:17" ht="14.25" customHeight="1" x14ac:dyDescent="0.2">
      <c r="H30" s="91"/>
      <c r="I30" s="105"/>
      <c r="J30" s="105"/>
      <c r="K30" s="105"/>
      <c r="L30" s="95"/>
      <c r="M30" s="105"/>
      <c r="N30" s="94"/>
      <c r="O30" s="95"/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75494404</v>
      </c>
      <c r="J32" s="106">
        <f>SUM(J29:J30)</f>
        <v>1257415</v>
      </c>
      <c r="K32" s="106">
        <f>SUM(K29:K30)</f>
        <v>4752821</v>
      </c>
      <c r="M32" s="106">
        <f>SUM(M29:M30)</f>
        <v>22928486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/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8"/>
  <sheetViews>
    <sheetView workbookViewId="0">
      <selection activeCell="C60" sqref="C60"/>
    </sheetView>
  </sheetViews>
  <sheetFormatPr defaultColWidth="12.625" defaultRowHeight="15" customHeight="1" x14ac:dyDescent="0.2"/>
  <cols>
    <col min="1" max="1" width="9" customWidth="1"/>
    <col min="2" max="2" width="28.625" customWidth="1"/>
    <col min="3" max="3" width="37.375" customWidth="1"/>
    <col min="4" max="4" width="26.875" customWidth="1"/>
    <col min="5" max="5" width="26.75" customWidth="1"/>
    <col min="6" max="7" width="26.5" customWidth="1"/>
    <col min="8" max="14" width="8" customWidth="1"/>
    <col min="15" max="15" width="13.375" customWidth="1"/>
    <col min="16" max="19" width="9" customWidth="1"/>
    <col min="20" max="20" width="8" customWidth="1"/>
    <col min="21" max="21" width="14.625" customWidth="1"/>
    <col min="22" max="22" width="9" customWidth="1"/>
    <col min="23" max="23" width="10.25" customWidth="1"/>
    <col min="24" max="24" width="13.875" customWidth="1"/>
    <col min="25" max="25" width="9" customWidth="1"/>
    <col min="26" max="26" width="31.25" customWidth="1"/>
    <col min="27" max="27" width="17.375" customWidth="1"/>
    <col min="28" max="28" width="11.625" customWidth="1"/>
    <col min="29" max="29" width="16.25" customWidth="1"/>
    <col min="30" max="30" width="14" customWidth="1"/>
    <col min="31" max="31" width="15.375" customWidth="1"/>
    <col min="32" max="35" width="9" customWidth="1"/>
  </cols>
  <sheetData>
    <row r="1" spans="1:35" ht="14.25" customHeight="1" x14ac:dyDescent="0.25">
      <c r="A1" s="37" t="s">
        <v>0</v>
      </c>
      <c r="B1" s="3" t="s">
        <v>1</v>
      </c>
      <c r="C1" s="38" t="s">
        <v>37</v>
      </c>
      <c r="D1" s="39" t="s">
        <v>2</v>
      </c>
      <c r="E1" s="99" t="s">
        <v>305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14.25" customHeight="1" x14ac:dyDescent="0.25">
      <c r="A2" s="8" t="s">
        <v>38</v>
      </c>
      <c r="B2" s="8"/>
      <c r="C2" s="8"/>
      <c r="D2" s="8"/>
      <c r="E2" s="8"/>
      <c r="F2" s="8"/>
      <c r="G2" s="8"/>
      <c r="H2" s="40" t="s">
        <v>39</v>
      </c>
      <c r="I2" s="143" t="s">
        <v>40</v>
      </c>
      <c r="J2" s="144"/>
      <c r="K2" s="144"/>
      <c r="L2" s="144"/>
      <c r="M2" s="144"/>
      <c r="N2" s="145"/>
      <c r="O2" s="41" t="s">
        <v>41</v>
      </c>
      <c r="P2" s="8"/>
      <c r="Q2" s="40" t="s">
        <v>39</v>
      </c>
      <c r="R2" s="143" t="s">
        <v>42</v>
      </c>
      <c r="S2" s="144"/>
      <c r="T2" s="144"/>
      <c r="U2" s="144"/>
      <c r="V2" s="144"/>
      <c r="W2" s="145"/>
      <c r="X2" s="41" t="s">
        <v>41</v>
      </c>
      <c r="Y2" s="8"/>
      <c r="Z2" s="146" t="s">
        <v>40</v>
      </c>
      <c r="AA2" s="147"/>
      <c r="AB2" s="148"/>
      <c r="AC2" s="8"/>
      <c r="AD2" s="149" t="s">
        <v>43</v>
      </c>
      <c r="AE2" s="147"/>
      <c r="AF2" s="148"/>
      <c r="AG2" s="9"/>
      <c r="AH2" s="9"/>
      <c r="AI2" s="9"/>
    </row>
    <row r="3" spans="1:35" ht="14.25" customHeight="1" x14ac:dyDescent="0.25">
      <c r="A3" s="42" t="s">
        <v>44</v>
      </c>
      <c r="B3" s="42" t="s">
        <v>45</v>
      </c>
      <c r="C3" s="42" t="s">
        <v>46</v>
      </c>
      <c r="D3" s="42" t="s">
        <v>47</v>
      </c>
      <c r="E3" s="42" t="s">
        <v>48</v>
      </c>
      <c r="F3" s="43" t="s">
        <v>49</v>
      </c>
      <c r="G3" s="11" t="s">
        <v>50</v>
      </c>
      <c r="H3" s="44" t="s">
        <v>51</v>
      </c>
      <c r="I3" s="45" t="s">
        <v>52</v>
      </c>
      <c r="J3" s="45" t="s">
        <v>53</v>
      </c>
      <c r="K3" s="45" t="s">
        <v>54</v>
      </c>
      <c r="L3" s="45" t="s">
        <v>55</v>
      </c>
      <c r="M3" s="45" t="s">
        <v>56</v>
      </c>
      <c r="N3" s="45" t="s">
        <v>57</v>
      </c>
      <c r="O3" s="46" t="s">
        <v>51</v>
      </c>
      <c r="P3" s="11"/>
      <c r="Q3" s="47" t="s">
        <v>58</v>
      </c>
      <c r="R3" s="45" t="s">
        <v>52</v>
      </c>
      <c r="S3" s="45" t="s">
        <v>53</v>
      </c>
      <c r="T3" s="45" t="s">
        <v>54</v>
      </c>
      <c r="U3" s="45" t="s">
        <v>55</v>
      </c>
      <c r="V3" s="45" t="s">
        <v>56</v>
      </c>
      <c r="W3" s="45" t="s">
        <v>57</v>
      </c>
      <c r="X3" s="46" t="s">
        <v>58</v>
      </c>
      <c r="Y3" s="17"/>
      <c r="Z3" s="48" t="s">
        <v>59</v>
      </c>
      <c r="AA3" s="49" t="s">
        <v>55</v>
      </c>
      <c r="AB3" s="50" t="s">
        <v>41</v>
      </c>
      <c r="AC3" s="17"/>
      <c r="AD3" s="51" t="s">
        <v>59</v>
      </c>
      <c r="AE3" s="52" t="s">
        <v>55</v>
      </c>
      <c r="AF3" s="53" t="s">
        <v>41</v>
      </c>
      <c r="AG3" s="11"/>
      <c r="AH3" s="11"/>
      <c r="AI3" s="11"/>
    </row>
    <row r="4" spans="1:35" ht="14.25" customHeight="1" x14ac:dyDescent="0.2">
      <c r="A4" s="54" t="s">
        <v>60</v>
      </c>
      <c r="B4" s="54" t="s">
        <v>61</v>
      </c>
      <c r="C4" s="54" t="s">
        <v>62</v>
      </c>
      <c r="D4" s="54" t="s">
        <v>63</v>
      </c>
      <c r="E4" s="54" t="s">
        <v>64</v>
      </c>
      <c r="F4" s="54" t="s">
        <v>21</v>
      </c>
      <c r="G4" s="55">
        <v>3.98</v>
      </c>
      <c r="H4" s="56" t="s">
        <v>65</v>
      </c>
      <c r="I4" s="57" t="s">
        <v>62</v>
      </c>
      <c r="J4" s="57" t="s">
        <v>62</v>
      </c>
      <c r="K4" s="57" t="s">
        <v>62</v>
      </c>
      <c r="L4" s="57" t="s">
        <v>62</v>
      </c>
      <c r="M4" s="57" t="s">
        <v>62</v>
      </c>
      <c r="N4" s="57" t="s">
        <v>62</v>
      </c>
      <c r="O4" s="58"/>
      <c r="P4" s="55"/>
      <c r="Q4" s="59" t="s">
        <v>66</v>
      </c>
      <c r="R4" s="57" t="s">
        <v>62</v>
      </c>
      <c r="S4" s="57" t="s">
        <v>62</v>
      </c>
      <c r="T4" s="57" t="s">
        <v>62</v>
      </c>
      <c r="U4" s="57" t="s">
        <v>62</v>
      </c>
      <c r="V4" s="57" t="s">
        <v>62</v>
      </c>
      <c r="W4" s="57" t="s">
        <v>62</v>
      </c>
      <c r="X4" s="58"/>
      <c r="Y4" s="17"/>
      <c r="Z4" s="60"/>
      <c r="AA4" s="61"/>
      <c r="AB4" s="62"/>
      <c r="AC4" s="17"/>
      <c r="AD4" s="63"/>
      <c r="AE4" s="64"/>
      <c r="AF4" s="65"/>
      <c r="AG4" s="66"/>
      <c r="AH4" s="66"/>
      <c r="AI4" s="66"/>
    </row>
    <row r="5" spans="1:35" ht="14.25" customHeight="1" x14ac:dyDescent="0.2">
      <c r="A5" s="54" t="s">
        <v>60</v>
      </c>
      <c r="B5" s="54" t="s">
        <v>61</v>
      </c>
      <c r="C5" s="54" t="s">
        <v>67</v>
      </c>
      <c r="D5" s="54" t="s">
        <v>68</v>
      </c>
      <c r="E5" s="54" t="s">
        <v>69</v>
      </c>
      <c r="F5" s="54" t="s">
        <v>21</v>
      </c>
      <c r="G5" s="55">
        <v>3.98</v>
      </c>
      <c r="H5" s="56" t="s">
        <v>65</v>
      </c>
      <c r="I5" s="57" t="s">
        <v>70</v>
      </c>
      <c r="J5" s="57" t="s">
        <v>71</v>
      </c>
      <c r="K5" s="57" t="s">
        <v>72</v>
      </c>
      <c r="L5" s="57" t="s">
        <v>73</v>
      </c>
      <c r="M5" s="57" t="s">
        <v>74</v>
      </c>
      <c r="N5" s="57" t="s">
        <v>75</v>
      </c>
      <c r="O5" s="67">
        <v>0.99</v>
      </c>
      <c r="P5" s="55"/>
      <c r="Q5" s="59" t="s">
        <v>66</v>
      </c>
      <c r="R5" s="57" t="s">
        <v>70</v>
      </c>
      <c r="S5" s="57" t="s">
        <v>71</v>
      </c>
      <c r="T5" s="57" t="s">
        <v>72</v>
      </c>
      <c r="U5" s="57" t="s">
        <v>76</v>
      </c>
      <c r="V5" s="57" t="s">
        <v>77</v>
      </c>
      <c r="W5" s="57" t="s">
        <v>78</v>
      </c>
      <c r="X5" s="67">
        <v>1.01</v>
      </c>
      <c r="Y5" s="17"/>
      <c r="Z5" s="60">
        <f>H5*G5</f>
        <v>533.32000000000005</v>
      </c>
      <c r="AA5" s="61">
        <f>L5*G5</f>
        <v>537.29999999999995</v>
      </c>
      <c r="AB5" s="68">
        <f>Z5/AA5</f>
        <v>0.9925925925925928</v>
      </c>
      <c r="AC5" s="17"/>
      <c r="AD5" s="63">
        <f>Q5*G5</f>
        <v>585.05999999999995</v>
      </c>
      <c r="AE5" s="64">
        <f>U5*G5</f>
        <v>581.08000000000004</v>
      </c>
      <c r="AF5" s="65">
        <f>AD5/AE5</f>
        <v>1.006849315068493</v>
      </c>
      <c r="AG5" s="66"/>
      <c r="AH5" s="66"/>
      <c r="AI5" s="66"/>
    </row>
    <row r="6" spans="1:35" ht="14.25" customHeight="1" x14ac:dyDescent="0.2">
      <c r="A6" s="54" t="s">
        <v>79</v>
      </c>
      <c r="B6" s="54" t="s">
        <v>80</v>
      </c>
      <c r="C6" s="54" t="s">
        <v>62</v>
      </c>
      <c r="D6" s="54" t="s">
        <v>63</v>
      </c>
      <c r="E6" s="54" t="s">
        <v>64</v>
      </c>
      <c r="F6" s="54" t="s">
        <v>21</v>
      </c>
      <c r="G6" s="55">
        <v>11</v>
      </c>
      <c r="H6" s="56" t="s">
        <v>81</v>
      </c>
      <c r="I6" s="57" t="s">
        <v>62</v>
      </c>
      <c r="J6" s="57" t="s">
        <v>62</v>
      </c>
      <c r="K6" s="57" t="s">
        <v>62</v>
      </c>
      <c r="L6" s="57" t="s">
        <v>62</v>
      </c>
      <c r="M6" s="57" t="s">
        <v>62</v>
      </c>
      <c r="N6" s="57" t="s">
        <v>62</v>
      </c>
      <c r="O6" s="67"/>
      <c r="P6" s="55"/>
      <c r="Q6" s="59" t="s">
        <v>81</v>
      </c>
      <c r="R6" s="57" t="s">
        <v>62</v>
      </c>
      <c r="S6" s="57" t="s">
        <v>62</v>
      </c>
      <c r="T6" s="57" t="s">
        <v>62</v>
      </c>
      <c r="U6" s="57" t="s">
        <v>62</v>
      </c>
      <c r="V6" s="57" t="s">
        <v>62</v>
      </c>
      <c r="W6" s="57" t="s">
        <v>62</v>
      </c>
      <c r="X6" s="67"/>
      <c r="Y6" s="17"/>
      <c r="Z6" s="60"/>
      <c r="AA6" s="61"/>
      <c r="AB6" s="68"/>
      <c r="AC6" s="17"/>
      <c r="AD6" s="63"/>
      <c r="AE6" s="64"/>
      <c r="AF6" s="65"/>
      <c r="AG6" s="66"/>
      <c r="AH6" s="66"/>
      <c r="AI6" s="66"/>
    </row>
    <row r="7" spans="1:35" ht="14.25" customHeight="1" x14ac:dyDescent="0.2">
      <c r="A7" s="54" t="s">
        <v>79</v>
      </c>
      <c r="B7" s="54" t="s">
        <v>80</v>
      </c>
      <c r="C7" s="54" t="s">
        <v>82</v>
      </c>
      <c r="D7" s="54" t="s">
        <v>68</v>
      </c>
      <c r="E7" s="54" t="s">
        <v>69</v>
      </c>
      <c r="F7" s="54" t="s">
        <v>21</v>
      </c>
      <c r="G7" s="55">
        <v>11</v>
      </c>
      <c r="H7" s="56" t="s">
        <v>81</v>
      </c>
      <c r="I7" s="57" t="s">
        <v>83</v>
      </c>
      <c r="J7" s="57" t="s">
        <v>84</v>
      </c>
      <c r="K7" s="57" t="s">
        <v>85</v>
      </c>
      <c r="L7" s="57" t="s">
        <v>86</v>
      </c>
      <c r="M7" s="57" t="s">
        <v>87</v>
      </c>
      <c r="N7" s="57" t="s">
        <v>88</v>
      </c>
      <c r="O7" s="67">
        <v>1.05</v>
      </c>
      <c r="P7" s="55"/>
      <c r="Q7" s="59" t="s">
        <v>81</v>
      </c>
      <c r="R7" s="57" t="s">
        <v>83</v>
      </c>
      <c r="S7" s="57" t="s">
        <v>84</v>
      </c>
      <c r="T7" s="57" t="s">
        <v>89</v>
      </c>
      <c r="U7" s="57" t="s">
        <v>90</v>
      </c>
      <c r="V7" s="57" t="s">
        <v>65</v>
      </c>
      <c r="W7" s="57" t="s">
        <v>91</v>
      </c>
      <c r="X7" s="67">
        <v>1.02</v>
      </c>
      <c r="Y7" s="17"/>
      <c r="Z7" s="60">
        <f t="shared" ref="Z7:Z9" si="0">H7*G7</f>
        <v>1353</v>
      </c>
      <c r="AA7" s="61">
        <f t="shared" ref="AA7:AA9" si="1">L7*G7</f>
        <v>1287</v>
      </c>
      <c r="AB7" s="68">
        <f t="shared" ref="AB7:AB9" si="2">Z7/AA7</f>
        <v>1.0512820512820513</v>
      </c>
      <c r="AC7" s="17"/>
      <c r="AD7" s="63">
        <f t="shared" ref="AD7:AD9" si="3">Q7*G7</f>
        <v>1353</v>
      </c>
      <c r="AE7" s="64">
        <f t="shared" ref="AE7:AE9" si="4">U7*G7</f>
        <v>1331</v>
      </c>
      <c r="AF7" s="65">
        <f t="shared" ref="AF7:AF9" si="5">AD7/AE7</f>
        <v>1.0165289256198347</v>
      </c>
      <c r="AG7" s="66"/>
      <c r="AH7" s="66"/>
      <c r="AI7" s="66"/>
    </row>
    <row r="8" spans="1:35" ht="14.25" customHeight="1" x14ac:dyDescent="0.2">
      <c r="A8" s="54" t="s">
        <v>92</v>
      </c>
      <c r="B8" s="54" t="s">
        <v>93</v>
      </c>
      <c r="C8" s="54" t="s">
        <v>94</v>
      </c>
      <c r="D8" s="54" t="s">
        <v>63</v>
      </c>
      <c r="E8" s="54" t="s">
        <v>95</v>
      </c>
      <c r="F8" s="54" t="s">
        <v>23</v>
      </c>
      <c r="G8" s="55">
        <v>2.82</v>
      </c>
      <c r="H8" s="56" t="s">
        <v>96</v>
      </c>
      <c r="I8" s="57" t="s">
        <v>97</v>
      </c>
      <c r="J8" s="57" t="s">
        <v>98</v>
      </c>
      <c r="K8" s="57" t="s">
        <v>99</v>
      </c>
      <c r="L8" s="57" t="s">
        <v>89</v>
      </c>
      <c r="M8" s="57" t="s">
        <v>100</v>
      </c>
      <c r="N8" s="57" t="s">
        <v>86</v>
      </c>
      <c r="O8" s="67">
        <v>0.98</v>
      </c>
      <c r="P8" s="55"/>
      <c r="Q8" s="59" t="s">
        <v>96</v>
      </c>
      <c r="R8" s="57" t="s">
        <v>101</v>
      </c>
      <c r="S8" s="57" t="s">
        <v>102</v>
      </c>
      <c r="T8" s="57" t="s">
        <v>103</v>
      </c>
      <c r="U8" s="57" t="s">
        <v>104</v>
      </c>
      <c r="V8" s="57" t="s">
        <v>105</v>
      </c>
      <c r="W8" s="57" t="s">
        <v>90</v>
      </c>
      <c r="X8" s="67">
        <v>0.93</v>
      </c>
      <c r="Y8" s="17"/>
      <c r="Z8" s="60">
        <f t="shared" si="0"/>
        <v>318.65999999999997</v>
      </c>
      <c r="AA8" s="61">
        <f t="shared" si="1"/>
        <v>327.12</v>
      </c>
      <c r="AB8" s="68">
        <f t="shared" si="2"/>
        <v>0.97413793103448265</v>
      </c>
      <c r="AC8" s="17"/>
      <c r="AD8" s="63">
        <f t="shared" si="3"/>
        <v>318.65999999999997</v>
      </c>
      <c r="AE8" s="64">
        <f t="shared" si="4"/>
        <v>344.03999999999996</v>
      </c>
      <c r="AF8" s="65">
        <f t="shared" si="5"/>
        <v>0.92622950819672134</v>
      </c>
      <c r="AG8" s="66"/>
      <c r="AH8" s="66"/>
      <c r="AI8" s="66"/>
    </row>
    <row r="9" spans="1:35" ht="14.25" customHeight="1" x14ac:dyDescent="0.2">
      <c r="A9" s="54" t="s">
        <v>92</v>
      </c>
      <c r="B9" s="54" t="s">
        <v>93</v>
      </c>
      <c r="C9" s="54" t="s">
        <v>106</v>
      </c>
      <c r="D9" s="54" t="s">
        <v>68</v>
      </c>
      <c r="E9" s="54" t="s">
        <v>69</v>
      </c>
      <c r="F9" s="54" t="s">
        <v>23</v>
      </c>
      <c r="G9" s="55">
        <v>2.82</v>
      </c>
      <c r="H9" s="56" t="s">
        <v>96</v>
      </c>
      <c r="I9" s="57" t="s">
        <v>107</v>
      </c>
      <c r="J9" s="57" t="s">
        <v>108</v>
      </c>
      <c r="K9" s="57" t="s">
        <v>109</v>
      </c>
      <c r="L9" s="57" t="s">
        <v>110</v>
      </c>
      <c r="M9" s="57" t="s">
        <v>104</v>
      </c>
      <c r="N9" s="57" t="s">
        <v>111</v>
      </c>
      <c r="O9" s="67">
        <v>1.03</v>
      </c>
      <c r="P9" s="55"/>
      <c r="Q9" s="59" t="s">
        <v>96</v>
      </c>
      <c r="R9" s="57" t="s">
        <v>107</v>
      </c>
      <c r="S9" s="57" t="s">
        <v>108</v>
      </c>
      <c r="T9" s="57" t="s">
        <v>112</v>
      </c>
      <c r="U9" s="57" t="s">
        <v>111</v>
      </c>
      <c r="V9" s="57" t="s">
        <v>105</v>
      </c>
      <c r="W9" s="57" t="s">
        <v>85</v>
      </c>
      <c r="X9" s="67">
        <v>1.02</v>
      </c>
      <c r="Y9" s="17"/>
      <c r="Z9" s="60">
        <f t="shared" si="0"/>
        <v>318.65999999999997</v>
      </c>
      <c r="AA9" s="61">
        <f t="shared" si="1"/>
        <v>310.2</v>
      </c>
      <c r="AB9" s="68">
        <f t="shared" si="2"/>
        <v>1.0272727272727271</v>
      </c>
      <c r="AC9" s="17"/>
      <c r="AD9" s="63">
        <f t="shared" si="3"/>
        <v>318.65999999999997</v>
      </c>
      <c r="AE9" s="64">
        <f t="shared" si="4"/>
        <v>313.02</v>
      </c>
      <c r="AF9" s="65">
        <f t="shared" si="5"/>
        <v>1.0180180180180181</v>
      </c>
      <c r="AG9" s="66"/>
      <c r="AH9" s="66"/>
      <c r="AI9" s="66"/>
    </row>
    <row r="10" spans="1:35" ht="14.25" customHeight="1" x14ac:dyDescent="0.2">
      <c r="A10" s="54" t="s">
        <v>113</v>
      </c>
      <c r="B10" s="54" t="s">
        <v>114</v>
      </c>
      <c r="C10" s="54" t="s">
        <v>62</v>
      </c>
      <c r="D10" s="54" t="s">
        <v>63</v>
      </c>
      <c r="E10" s="54" t="s">
        <v>64</v>
      </c>
      <c r="F10" s="54" t="s">
        <v>22</v>
      </c>
      <c r="G10" s="55">
        <v>19.170000000000002</v>
      </c>
      <c r="H10" s="56" t="s">
        <v>115</v>
      </c>
      <c r="I10" s="57" t="s">
        <v>62</v>
      </c>
      <c r="J10" s="57" t="s">
        <v>62</v>
      </c>
      <c r="K10" s="57" t="s">
        <v>62</v>
      </c>
      <c r="L10" s="57" t="s">
        <v>62</v>
      </c>
      <c r="M10" s="57" t="s">
        <v>62</v>
      </c>
      <c r="N10" s="57" t="s">
        <v>62</v>
      </c>
      <c r="O10" s="67"/>
      <c r="P10" s="55"/>
      <c r="Q10" s="59" t="s">
        <v>115</v>
      </c>
      <c r="R10" s="57" t="s">
        <v>62</v>
      </c>
      <c r="S10" s="57" t="s">
        <v>62</v>
      </c>
      <c r="T10" s="57" t="s">
        <v>62</v>
      </c>
      <c r="U10" s="57" t="s">
        <v>62</v>
      </c>
      <c r="V10" s="57" t="s">
        <v>62</v>
      </c>
      <c r="W10" s="57" t="s">
        <v>62</v>
      </c>
      <c r="X10" s="67"/>
      <c r="Y10" s="17"/>
      <c r="Z10" s="60"/>
      <c r="AA10" s="61"/>
      <c r="AB10" s="68"/>
      <c r="AC10" s="17"/>
      <c r="AD10" s="63"/>
      <c r="AE10" s="64"/>
      <c r="AF10" s="65"/>
      <c r="AG10" s="66"/>
      <c r="AH10" s="66"/>
      <c r="AI10" s="66"/>
    </row>
    <row r="11" spans="1:35" ht="14.25" customHeight="1" x14ac:dyDescent="0.2">
      <c r="A11" s="54" t="s">
        <v>113</v>
      </c>
      <c r="B11" s="54" t="s">
        <v>114</v>
      </c>
      <c r="C11" s="54" t="s">
        <v>116</v>
      </c>
      <c r="D11" s="54" t="s">
        <v>68</v>
      </c>
      <c r="E11" s="54" t="s">
        <v>69</v>
      </c>
      <c r="F11" s="54" t="s">
        <v>22</v>
      </c>
      <c r="G11" s="55">
        <v>19.170000000000002</v>
      </c>
      <c r="H11" s="56" t="s">
        <v>115</v>
      </c>
      <c r="I11" s="57" t="s">
        <v>117</v>
      </c>
      <c r="J11" s="57" t="s">
        <v>117</v>
      </c>
      <c r="K11" s="57" t="s">
        <v>118</v>
      </c>
      <c r="L11" s="57" t="s">
        <v>109</v>
      </c>
      <c r="M11" s="57" t="s">
        <v>119</v>
      </c>
      <c r="N11" s="57" t="s">
        <v>99</v>
      </c>
      <c r="O11" s="67">
        <v>1.08</v>
      </c>
      <c r="P11" s="55"/>
      <c r="Q11" s="59" t="s">
        <v>115</v>
      </c>
      <c r="R11" s="57" t="s">
        <v>62</v>
      </c>
      <c r="S11" s="57" t="s">
        <v>62</v>
      </c>
      <c r="T11" s="57" t="s">
        <v>62</v>
      </c>
      <c r="U11" s="57" t="s">
        <v>62</v>
      </c>
      <c r="V11" s="57" t="s">
        <v>62</v>
      </c>
      <c r="W11" s="57" t="s">
        <v>62</v>
      </c>
      <c r="X11" s="67"/>
      <c r="Y11" s="17"/>
      <c r="Z11" s="60">
        <f t="shared" ref="Z11:Z13" si="6">H11*G11</f>
        <v>2147.04</v>
      </c>
      <c r="AA11" s="61">
        <f t="shared" ref="AA11:AA13" si="7">L11*G11</f>
        <v>1993.6800000000003</v>
      </c>
      <c r="AB11" s="68">
        <f t="shared" ref="AB11:AB13" si="8">Z11/AA11</f>
        <v>1.0769230769230766</v>
      </c>
      <c r="AC11" s="17"/>
      <c r="AD11" s="63"/>
      <c r="AE11" s="64"/>
      <c r="AF11" s="65"/>
      <c r="AG11" s="66"/>
      <c r="AH11" s="66"/>
      <c r="AI11" s="66"/>
    </row>
    <row r="12" spans="1:35" ht="14.25" customHeight="1" x14ac:dyDescent="0.2">
      <c r="A12" s="54" t="s">
        <v>120</v>
      </c>
      <c r="B12" s="54" t="s">
        <v>121</v>
      </c>
      <c r="C12" s="54" t="s">
        <v>122</v>
      </c>
      <c r="D12" s="54" t="s">
        <v>63</v>
      </c>
      <c r="E12" s="54" t="s">
        <v>95</v>
      </c>
      <c r="F12" s="54" t="s">
        <v>22</v>
      </c>
      <c r="G12" s="55">
        <v>5</v>
      </c>
      <c r="H12" s="56" t="s">
        <v>119</v>
      </c>
      <c r="I12" s="57" t="s">
        <v>123</v>
      </c>
      <c r="J12" s="57" t="s">
        <v>124</v>
      </c>
      <c r="K12" s="57" t="s">
        <v>125</v>
      </c>
      <c r="L12" s="57" t="s">
        <v>118</v>
      </c>
      <c r="M12" s="57" t="s">
        <v>110</v>
      </c>
      <c r="N12" s="57" t="s">
        <v>126</v>
      </c>
      <c r="O12" s="67">
        <v>1.08</v>
      </c>
      <c r="P12" s="55"/>
      <c r="Q12" s="59" t="s">
        <v>119</v>
      </c>
      <c r="R12" s="57" t="s">
        <v>127</v>
      </c>
      <c r="S12" s="57" t="s">
        <v>128</v>
      </c>
      <c r="T12" s="57" t="s">
        <v>129</v>
      </c>
      <c r="U12" s="57" t="s">
        <v>130</v>
      </c>
      <c r="V12" s="57" t="s">
        <v>86</v>
      </c>
      <c r="W12" s="57" t="s">
        <v>112</v>
      </c>
      <c r="X12" s="67">
        <v>1.05</v>
      </c>
      <c r="Y12" s="17"/>
      <c r="Z12" s="60">
        <f t="shared" si="6"/>
        <v>540</v>
      </c>
      <c r="AA12" s="61">
        <f t="shared" si="7"/>
        <v>500</v>
      </c>
      <c r="AB12" s="68">
        <f t="shared" si="8"/>
        <v>1.08</v>
      </c>
      <c r="AC12" s="17"/>
      <c r="AD12" s="63">
        <f t="shared" ref="AD12:AD13" si="9">Q12*G12</f>
        <v>540</v>
      </c>
      <c r="AE12" s="64">
        <f t="shared" ref="AE12:AE13" si="10">U12*G12</f>
        <v>515</v>
      </c>
      <c r="AF12" s="65">
        <f t="shared" ref="AF12:AF13" si="11">AD12/AE12</f>
        <v>1.0485436893203883</v>
      </c>
      <c r="AG12" s="66"/>
      <c r="AH12" s="66"/>
      <c r="AI12" s="66"/>
    </row>
    <row r="13" spans="1:35" ht="14.25" customHeight="1" x14ac:dyDescent="0.2">
      <c r="A13" s="54" t="s">
        <v>120</v>
      </c>
      <c r="B13" s="54" t="s">
        <v>121</v>
      </c>
      <c r="C13" s="54" t="s">
        <v>131</v>
      </c>
      <c r="D13" s="54" t="s">
        <v>68</v>
      </c>
      <c r="E13" s="54" t="s">
        <v>69</v>
      </c>
      <c r="F13" s="54" t="s">
        <v>22</v>
      </c>
      <c r="G13" s="55">
        <v>5</v>
      </c>
      <c r="H13" s="56" t="s">
        <v>119</v>
      </c>
      <c r="I13" s="57" t="s">
        <v>132</v>
      </c>
      <c r="J13" s="57" t="s">
        <v>133</v>
      </c>
      <c r="K13" s="57" t="s">
        <v>134</v>
      </c>
      <c r="L13" s="57" t="s">
        <v>135</v>
      </c>
      <c r="M13" s="57" t="s">
        <v>110</v>
      </c>
      <c r="N13" s="57" t="s">
        <v>118</v>
      </c>
      <c r="O13" s="67">
        <v>1.0900000000000001</v>
      </c>
      <c r="P13" s="55"/>
      <c r="Q13" s="59" t="s">
        <v>119</v>
      </c>
      <c r="R13" s="57" t="s">
        <v>132</v>
      </c>
      <c r="S13" s="57" t="s">
        <v>133</v>
      </c>
      <c r="T13" s="57" t="s">
        <v>136</v>
      </c>
      <c r="U13" s="57" t="s">
        <v>130</v>
      </c>
      <c r="V13" s="57" t="s">
        <v>89</v>
      </c>
      <c r="W13" s="57" t="s">
        <v>112</v>
      </c>
      <c r="X13" s="67">
        <v>1.05</v>
      </c>
      <c r="Y13" s="17"/>
      <c r="Z13" s="60">
        <f t="shared" si="6"/>
        <v>540</v>
      </c>
      <c r="AA13" s="61">
        <f t="shared" si="7"/>
        <v>495</v>
      </c>
      <c r="AB13" s="68">
        <f t="shared" si="8"/>
        <v>1.0909090909090908</v>
      </c>
      <c r="AC13" s="17"/>
      <c r="AD13" s="63">
        <f t="shared" si="9"/>
        <v>540</v>
      </c>
      <c r="AE13" s="64">
        <f t="shared" si="10"/>
        <v>515</v>
      </c>
      <c r="AF13" s="65">
        <f t="shared" si="11"/>
        <v>1.0485436893203883</v>
      </c>
      <c r="AG13" s="66"/>
      <c r="AH13" s="66"/>
      <c r="AI13" s="66"/>
    </row>
    <row r="14" spans="1:35" ht="14.25" customHeight="1" x14ac:dyDescent="0.2">
      <c r="A14" s="54" t="s">
        <v>137</v>
      </c>
      <c r="B14" s="54" t="s">
        <v>138</v>
      </c>
      <c r="C14" s="54" t="s">
        <v>62</v>
      </c>
      <c r="D14" s="54" t="s">
        <v>63</v>
      </c>
      <c r="E14" s="54" t="s">
        <v>95</v>
      </c>
      <c r="F14" s="54" t="s">
        <v>22</v>
      </c>
      <c r="G14" s="55">
        <v>86.98</v>
      </c>
      <c r="H14" s="56" t="s">
        <v>109</v>
      </c>
      <c r="I14" s="57" t="s">
        <v>62</v>
      </c>
      <c r="J14" s="57" t="s">
        <v>62</v>
      </c>
      <c r="K14" s="57" t="s">
        <v>62</v>
      </c>
      <c r="L14" s="57" t="s">
        <v>62</v>
      </c>
      <c r="M14" s="57" t="s">
        <v>62</v>
      </c>
      <c r="N14" s="57" t="s">
        <v>62</v>
      </c>
      <c r="O14" s="67"/>
      <c r="P14" s="17"/>
      <c r="Q14" s="59" t="s">
        <v>109</v>
      </c>
      <c r="R14" s="57" t="s">
        <v>62</v>
      </c>
      <c r="S14" s="57" t="s">
        <v>62</v>
      </c>
      <c r="T14" s="57" t="s">
        <v>62</v>
      </c>
      <c r="U14" s="57" t="s">
        <v>62</v>
      </c>
      <c r="V14" s="57" t="s">
        <v>62</v>
      </c>
      <c r="W14" s="57" t="s">
        <v>62</v>
      </c>
      <c r="X14" s="69"/>
      <c r="Y14" s="17"/>
      <c r="Z14" s="60"/>
      <c r="AA14" s="61"/>
      <c r="AB14" s="68"/>
      <c r="AC14" s="17"/>
      <c r="AD14" s="63"/>
      <c r="AE14" s="64"/>
      <c r="AF14" s="65"/>
      <c r="AG14" s="66"/>
      <c r="AH14" s="66"/>
      <c r="AI14" s="66"/>
    </row>
    <row r="15" spans="1:35" ht="14.25" customHeight="1" x14ac:dyDescent="0.2">
      <c r="A15" s="54" t="s">
        <v>137</v>
      </c>
      <c r="B15" s="54" t="s">
        <v>138</v>
      </c>
      <c r="C15" s="54" t="s">
        <v>139</v>
      </c>
      <c r="D15" s="54" t="s">
        <v>68</v>
      </c>
      <c r="E15" s="54" t="s">
        <v>69</v>
      </c>
      <c r="F15" s="54" t="s">
        <v>22</v>
      </c>
      <c r="G15" s="55">
        <v>86.98</v>
      </c>
      <c r="H15" s="56" t="s">
        <v>109</v>
      </c>
      <c r="I15" s="57" t="s">
        <v>140</v>
      </c>
      <c r="J15" s="57" t="s">
        <v>140</v>
      </c>
      <c r="K15" s="57" t="s">
        <v>141</v>
      </c>
      <c r="L15" s="57" t="s">
        <v>126</v>
      </c>
      <c r="M15" s="57" t="s">
        <v>109</v>
      </c>
      <c r="N15" s="57" t="s">
        <v>118</v>
      </c>
      <c r="O15" s="67">
        <v>1.03</v>
      </c>
      <c r="P15" s="17"/>
      <c r="Q15" s="59" t="s">
        <v>109</v>
      </c>
      <c r="R15" s="57" t="s">
        <v>62</v>
      </c>
      <c r="S15" s="57" t="s">
        <v>62</v>
      </c>
      <c r="T15" s="57" t="s">
        <v>62</v>
      </c>
      <c r="U15" s="57" t="s">
        <v>62</v>
      </c>
      <c r="V15" s="57" t="s">
        <v>62</v>
      </c>
      <c r="W15" s="57" t="s">
        <v>62</v>
      </c>
      <c r="X15" s="67"/>
      <c r="Y15" s="17"/>
      <c r="Z15" s="60">
        <f t="shared" ref="Z15:Z27" si="12">H15*G15</f>
        <v>9045.92</v>
      </c>
      <c r="AA15" s="61">
        <f t="shared" ref="AA15:AA27" si="13">L15*G15</f>
        <v>8784.98</v>
      </c>
      <c r="AB15" s="68">
        <f t="shared" ref="AB15:AB27" si="14">Z15/AA15</f>
        <v>1.0297029702970297</v>
      </c>
      <c r="AC15" s="17"/>
      <c r="AD15" s="63"/>
      <c r="AE15" s="64"/>
      <c r="AF15" s="65"/>
      <c r="AG15" s="66"/>
      <c r="AH15" s="66"/>
      <c r="AI15" s="66"/>
    </row>
    <row r="16" spans="1:35" ht="14.25" customHeight="1" x14ac:dyDescent="0.2">
      <c r="A16" s="54" t="s">
        <v>142</v>
      </c>
      <c r="B16" s="54" t="s">
        <v>143</v>
      </c>
      <c r="C16" s="54" t="s">
        <v>144</v>
      </c>
      <c r="D16" s="54" t="s">
        <v>63</v>
      </c>
      <c r="E16" s="54" t="s">
        <v>95</v>
      </c>
      <c r="F16" s="54" t="s">
        <v>23</v>
      </c>
      <c r="G16" s="55">
        <v>3.54</v>
      </c>
      <c r="H16" s="56" t="s">
        <v>145</v>
      </c>
      <c r="I16" s="57" t="s">
        <v>146</v>
      </c>
      <c r="J16" s="57" t="s">
        <v>147</v>
      </c>
      <c r="K16" s="57" t="s">
        <v>125</v>
      </c>
      <c r="L16" s="57" t="s">
        <v>118</v>
      </c>
      <c r="M16" s="57" t="s">
        <v>85</v>
      </c>
      <c r="N16" s="57" t="s">
        <v>148</v>
      </c>
      <c r="O16" s="67">
        <v>0.96</v>
      </c>
      <c r="P16" s="17"/>
      <c r="Q16" s="59" t="s">
        <v>145</v>
      </c>
      <c r="R16" s="57" t="s">
        <v>149</v>
      </c>
      <c r="S16" s="57" t="s">
        <v>150</v>
      </c>
      <c r="T16" s="57" t="s">
        <v>151</v>
      </c>
      <c r="U16" s="57" t="s">
        <v>103</v>
      </c>
      <c r="V16" s="57" t="s">
        <v>152</v>
      </c>
      <c r="W16" s="57" t="s">
        <v>103</v>
      </c>
      <c r="X16" s="67">
        <v>0.87</v>
      </c>
      <c r="Y16" s="17"/>
      <c r="Z16" s="60">
        <f t="shared" si="12"/>
        <v>336.3</v>
      </c>
      <c r="AA16" s="61">
        <f t="shared" si="13"/>
        <v>354</v>
      </c>
      <c r="AB16" s="68">
        <f t="shared" si="14"/>
        <v>0.95000000000000007</v>
      </c>
      <c r="AC16" s="17"/>
      <c r="AD16" s="63">
        <f>Q16*G16</f>
        <v>336.3</v>
      </c>
      <c r="AE16" s="64">
        <f>U16*G16</f>
        <v>385.86</v>
      </c>
      <c r="AF16" s="65">
        <f>AD16/AE16</f>
        <v>0.87155963302752293</v>
      </c>
      <c r="AG16" s="66"/>
      <c r="AH16" s="66"/>
      <c r="AI16" s="66"/>
    </row>
    <row r="17" spans="1:35" ht="14.25" customHeight="1" x14ac:dyDescent="0.2">
      <c r="A17" s="54" t="s">
        <v>142</v>
      </c>
      <c r="B17" s="54" t="s">
        <v>143</v>
      </c>
      <c r="C17" s="54" t="s">
        <v>153</v>
      </c>
      <c r="D17" s="54" t="s">
        <v>68</v>
      </c>
      <c r="E17" s="54" t="s">
        <v>69</v>
      </c>
      <c r="F17" s="54" t="s">
        <v>23</v>
      </c>
      <c r="G17" s="55">
        <v>3.54</v>
      </c>
      <c r="H17" s="56" t="s">
        <v>145</v>
      </c>
      <c r="I17" s="57" t="s">
        <v>92</v>
      </c>
      <c r="J17" s="57" t="s">
        <v>92</v>
      </c>
      <c r="K17" s="57" t="s">
        <v>154</v>
      </c>
      <c r="L17" s="57" t="s">
        <v>155</v>
      </c>
      <c r="M17" s="57" t="s">
        <v>111</v>
      </c>
      <c r="N17" s="57" t="s">
        <v>130</v>
      </c>
      <c r="O17" s="67">
        <v>0.89</v>
      </c>
      <c r="P17" s="17"/>
      <c r="Q17" s="59" t="s">
        <v>145</v>
      </c>
      <c r="R17" s="57" t="s">
        <v>62</v>
      </c>
      <c r="S17" s="57" t="s">
        <v>62</v>
      </c>
      <c r="T17" s="57" t="s">
        <v>62</v>
      </c>
      <c r="U17" s="57" t="s">
        <v>62</v>
      </c>
      <c r="V17" s="57" t="s">
        <v>62</v>
      </c>
      <c r="W17" s="57" t="s">
        <v>62</v>
      </c>
      <c r="X17" s="67" t="s">
        <v>156</v>
      </c>
      <c r="Y17" s="17"/>
      <c r="Z17" s="60">
        <f t="shared" si="12"/>
        <v>336.3</v>
      </c>
      <c r="AA17" s="61">
        <f t="shared" si="13"/>
        <v>378.78000000000003</v>
      </c>
      <c r="AB17" s="68">
        <f t="shared" si="14"/>
        <v>0.88785046728971961</v>
      </c>
      <c r="AC17" s="17"/>
      <c r="AD17" s="63"/>
      <c r="AE17" s="64"/>
      <c r="AF17" s="65"/>
      <c r="AG17" s="66"/>
      <c r="AH17" s="66"/>
      <c r="AI17" s="66"/>
    </row>
    <row r="18" spans="1:35" ht="14.25" customHeight="1" x14ac:dyDescent="0.2">
      <c r="A18" s="54" t="s">
        <v>157</v>
      </c>
      <c r="B18" s="54" t="s">
        <v>158</v>
      </c>
      <c r="C18" s="54" t="s">
        <v>159</v>
      </c>
      <c r="D18" s="54" t="s">
        <v>63</v>
      </c>
      <c r="E18" s="54" t="s">
        <v>95</v>
      </c>
      <c r="F18" s="54" t="s">
        <v>22</v>
      </c>
      <c r="G18" s="55">
        <v>18.7</v>
      </c>
      <c r="H18" s="56" t="s">
        <v>96</v>
      </c>
      <c r="I18" s="57" t="s">
        <v>117</v>
      </c>
      <c r="J18" s="57" t="s">
        <v>160</v>
      </c>
      <c r="K18" s="57" t="s">
        <v>62</v>
      </c>
      <c r="L18" s="57" t="s">
        <v>161</v>
      </c>
      <c r="M18" s="57" t="s">
        <v>62</v>
      </c>
      <c r="N18" s="57" t="s">
        <v>162</v>
      </c>
      <c r="O18" s="67">
        <v>1.32</v>
      </c>
      <c r="P18" s="17"/>
      <c r="Q18" s="59" t="s">
        <v>96</v>
      </c>
      <c r="R18" s="57" t="s">
        <v>163</v>
      </c>
      <c r="S18" s="57" t="s">
        <v>164</v>
      </c>
      <c r="T18" s="57" t="s">
        <v>62</v>
      </c>
      <c r="U18" s="57" t="s">
        <v>165</v>
      </c>
      <c r="V18" s="57" t="s">
        <v>62</v>
      </c>
      <c r="W18" s="57" t="s">
        <v>162</v>
      </c>
      <c r="X18" s="67">
        <v>1.31</v>
      </c>
      <c r="Y18" s="17"/>
      <c r="Z18" s="60">
        <f t="shared" si="12"/>
        <v>2113.1</v>
      </c>
      <c r="AA18" s="61">
        <f t="shared" si="13"/>
        <v>1589.5</v>
      </c>
      <c r="AB18" s="68">
        <f t="shared" si="14"/>
        <v>1.3294117647058823</v>
      </c>
      <c r="AC18" s="17"/>
      <c r="AD18" s="63">
        <f>Q18*G18</f>
        <v>2113.1</v>
      </c>
      <c r="AE18" s="64">
        <f>U18*G18</f>
        <v>1608.2</v>
      </c>
      <c r="AF18" s="65">
        <f>AD18/AE18</f>
        <v>1.3139534883720929</v>
      </c>
      <c r="AG18" s="66"/>
      <c r="AH18" s="66"/>
      <c r="AI18" s="66"/>
    </row>
    <row r="19" spans="1:35" ht="14.25" customHeight="1" x14ac:dyDescent="0.2">
      <c r="A19" s="54" t="s">
        <v>157</v>
      </c>
      <c r="B19" s="54" t="s">
        <v>158</v>
      </c>
      <c r="C19" s="54" t="s">
        <v>166</v>
      </c>
      <c r="D19" s="54" t="s">
        <v>68</v>
      </c>
      <c r="E19" s="54" t="s">
        <v>69</v>
      </c>
      <c r="F19" s="54" t="s">
        <v>22</v>
      </c>
      <c r="G19" s="55">
        <v>18.7</v>
      </c>
      <c r="H19" s="56" t="s">
        <v>96</v>
      </c>
      <c r="I19" s="57" t="s">
        <v>167</v>
      </c>
      <c r="J19" s="57" t="s">
        <v>167</v>
      </c>
      <c r="K19" s="57" t="s">
        <v>151</v>
      </c>
      <c r="L19" s="57" t="s">
        <v>126</v>
      </c>
      <c r="M19" s="57" t="s">
        <v>99</v>
      </c>
      <c r="N19" s="57" t="s">
        <v>126</v>
      </c>
      <c r="O19" s="67">
        <v>1.1200000000000001</v>
      </c>
      <c r="P19" s="17"/>
      <c r="Q19" s="59" t="s">
        <v>96</v>
      </c>
      <c r="R19" s="57" t="s">
        <v>62</v>
      </c>
      <c r="S19" s="57" t="s">
        <v>62</v>
      </c>
      <c r="T19" s="57" t="s">
        <v>62</v>
      </c>
      <c r="U19" s="57" t="s">
        <v>62</v>
      </c>
      <c r="V19" s="57" t="s">
        <v>62</v>
      </c>
      <c r="W19" s="57" t="s">
        <v>62</v>
      </c>
      <c r="X19" s="67"/>
      <c r="Y19" s="17"/>
      <c r="Z19" s="60">
        <f t="shared" si="12"/>
        <v>2113.1</v>
      </c>
      <c r="AA19" s="61">
        <f t="shared" si="13"/>
        <v>1888.6999999999998</v>
      </c>
      <c r="AB19" s="68">
        <f t="shared" si="14"/>
        <v>1.1188118811881189</v>
      </c>
      <c r="AC19" s="17"/>
      <c r="AD19" s="63"/>
      <c r="AE19" s="64"/>
      <c r="AF19" s="65"/>
      <c r="AG19" s="66"/>
      <c r="AH19" s="66"/>
      <c r="AI19" s="66"/>
    </row>
    <row r="20" spans="1:35" ht="14.25" customHeight="1" x14ac:dyDescent="0.2">
      <c r="A20" s="54" t="s">
        <v>168</v>
      </c>
      <c r="B20" s="54" t="s">
        <v>169</v>
      </c>
      <c r="C20" s="54" t="s">
        <v>170</v>
      </c>
      <c r="D20" s="54" t="s">
        <v>63</v>
      </c>
      <c r="E20" s="54" t="s">
        <v>95</v>
      </c>
      <c r="F20" s="54" t="s">
        <v>22</v>
      </c>
      <c r="G20" s="55">
        <v>1</v>
      </c>
      <c r="H20" s="56" t="s">
        <v>161</v>
      </c>
      <c r="I20" s="57" t="s">
        <v>171</v>
      </c>
      <c r="J20" s="57" t="s">
        <v>172</v>
      </c>
      <c r="K20" s="57" t="s">
        <v>173</v>
      </c>
      <c r="L20" s="57" t="s">
        <v>174</v>
      </c>
      <c r="M20" s="57" t="s">
        <v>175</v>
      </c>
      <c r="N20" s="57" t="s">
        <v>176</v>
      </c>
      <c r="O20" s="67">
        <v>1.02</v>
      </c>
      <c r="P20" s="17"/>
      <c r="Q20" s="59" t="s">
        <v>161</v>
      </c>
      <c r="R20" s="57" t="s">
        <v>177</v>
      </c>
      <c r="S20" s="57" t="s">
        <v>178</v>
      </c>
      <c r="T20" s="57" t="s">
        <v>179</v>
      </c>
      <c r="U20" s="57" t="s">
        <v>180</v>
      </c>
      <c r="V20" s="57" t="s">
        <v>141</v>
      </c>
      <c r="W20" s="57" t="s">
        <v>125</v>
      </c>
      <c r="X20" s="67">
        <v>0.97</v>
      </c>
      <c r="Y20" s="17"/>
      <c r="Z20" s="60">
        <f t="shared" si="12"/>
        <v>85</v>
      </c>
      <c r="AA20" s="61">
        <f t="shared" si="13"/>
        <v>83</v>
      </c>
      <c r="AB20" s="68">
        <f t="shared" si="14"/>
        <v>1.0240963855421688</v>
      </c>
      <c r="AC20" s="17"/>
      <c r="AD20" s="63">
        <f t="shared" ref="AD20:AD25" si="15">Q20*G20</f>
        <v>85</v>
      </c>
      <c r="AE20" s="64">
        <f t="shared" ref="AE20:AE25" si="16">U20*G20</f>
        <v>88</v>
      </c>
      <c r="AF20" s="65">
        <f t="shared" ref="AF20:AF25" si="17">AD20/AE20</f>
        <v>0.96590909090909094</v>
      </c>
      <c r="AG20" s="66"/>
      <c r="AH20" s="66"/>
      <c r="AI20" s="66"/>
    </row>
    <row r="21" spans="1:35" ht="14.25" customHeight="1" x14ac:dyDescent="0.2">
      <c r="A21" s="54" t="s">
        <v>168</v>
      </c>
      <c r="B21" s="54" t="s">
        <v>169</v>
      </c>
      <c r="C21" s="54" t="s">
        <v>181</v>
      </c>
      <c r="D21" s="54" t="s">
        <v>68</v>
      </c>
      <c r="E21" s="54" t="s">
        <v>69</v>
      </c>
      <c r="F21" s="54" t="s">
        <v>22</v>
      </c>
      <c r="G21" s="55">
        <v>1</v>
      </c>
      <c r="H21" s="56" t="s">
        <v>161</v>
      </c>
      <c r="I21" s="57" t="s">
        <v>182</v>
      </c>
      <c r="J21" s="57" t="s">
        <v>183</v>
      </c>
      <c r="K21" s="57" t="s">
        <v>184</v>
      </c>
      <c r="L21" s="57" t="s">
        <v>162</v>
      </c>
      <c r="M21" s="57" t="s">
        <v>134</v>
      </c>
      <c r="N21" s="57" t="s">
        <v>180</v>
      </c>
      <c r="O21" s="67">
        <v>0.98</v>
      </c>
      <c r="P21" s="17"/>
      <c r="Q21" s="59" t="s">
        <v>161</v>
      </c>
      <c r="R21" s="57" t="s">
        <v>182</v>
      </c>
      <c r="S21" s="57" t="s">
        <v>183</v>
      </c>
      <c r="T21" s="57" t="s">
        <v>185</v>
      </c>
      <c r="U21" s="57" t="s">
        <v>125</v>
      </c>
      <c r="V21" s="57" t="s">
        <v>141</v>
      </c>
      <c r="W21" s="57" t="s">
        <v>186</v>
      </c>
      <c r="X21" s="67">
        <v>0.95</v>
      </c>
      <c r="Y21" s="17"/>
      <c r="Z21" s="60">
        <f t="shared" si="12"/>
        <v>85</v>
      </c>
      <c r="AA21" s="61">
        <f t="shared" si="13"/>
        <v>87</v>
      </c>
      <c r="AB21" s="68">
        <f t="shared" si="14"/>
        <v>0.97701149425287359</v>
      </c>
      <c r="AC21" s="17"/>
      <c r="AD21" s="63">
        <f t="shared" si="15"/>
        <v>85</v>
      </c>
      <c r="AE21" s="64">
        <f t="shared" si="16"/>
        <v>89</v>
      </c>
      <c r="AF21" s="65">
        <f t="shared" si="17"/>
        <v>0.9550561797752809</v>
      </c>
      <c r="AG21" s="66"/>
      <c r="AH21" s="66"/>
      <c r="AI21" s="66"/>
    </row>
    <row r="22" spans="1:35" ht="14.25" customHeight="1" x14ac:dyDescent="0.2">
      <c r="A22" s="54" t="s">
        <v>163</v>
      </c>
      <c r="B22" s="54" t="s">
        <v>187</v>
      </c>
      <c r="C22" s="54" t="s">
        <v>188</v>
      </c>
      <c r="D22" s="54" t="s">
        <v>63</v>
      </c>
      <c r="E22" s="54" t="s">
        <v>95</v>
      </c>
      <c r="F22" s="54" t="s">
        <v>21</v>
      </c>
      <c r="G22" s="55">
        <v>1</v>
      </c>
      <c r="H22" s="56" t="s">
        <v>175</v>
      </c>
      <c r="I22" s="57" t="s">
        <v>189</v>
      </c>
      <c r="J22" s="57" t="s">
        <v>190</v>
      </c>
      <c r="K22" s="57" t="s">
        <v>191</v>
      </c>
      <c r="L22" s="57" t="s">
        <v>176</v>
      </c>
      <c r="M22" s="57" t="s">
        <v>129</v>
      </c>
      <c r="N22" s="57" t="s">
        <v>174</v>
      </c>
      <c r="O22" s="67">
        <v>1.1000000000000001</v>
      </c>
      <c r="P22" s="17"/>
      <c r="Q22" s="59" t="s">
        <v>175</v>
      </c>
      <c r="R22" s="57" t="s">
        <v>192</v>
      </c>
      <c r="S22" s="57" t="s">
        <v>193</v>
      </c>
      <c r="T22" s="57" t="s">
        <v>194</v>
      </c>
      <c r="U22" s="57" t="s">
        <v>186</v>
      </c>
      <c r="V22" s="57" t="s">
        <v>136</v>
      </c>
      <c r="W22" s="57" t="s">
        <v>186</v>
      </c>
      <c r="X22" s="67">
        <v>1.02</v>
      </c>
      <c r="Y22" s="17"/>
      <c r="Z22" s="60">
        <f t="shared" si="12"/>
        <v>92</v>
      </c>
      <c r="AA22" s="61">
        <f t="shared" si="13"/>
        <v>84</v>
      </c>
      <c r="AB22" s="68">
        <f t="shared" si="14"/>
        <v>1.0952380952380953</v>
      </c>
      <c r="AC22" s="17"/>
      <c r="AD22" s="63">
        <f t="shared" si="15"/>
        <v>92</v>
      </c>
      <c r="AE22" s="64">
        <f t="shared" si="16"/>
        <v>91</v>
      </c>
      <c r="AF22" s="65">
        <f t="shared" si="17"/>
        <v>1.0109890109890109</v>
      </c>
      <c r="AG22" s="66"/>
      <c r="AH22" s="66"/>
      <c r="AI22" s="66"/>
    </row>
    <row r="23" spans="1:35" ht="14.25" customHeight="1" x14ac:dyDescent="0.2">
      <c r="A23" s="54" t="s">
        <v>163</v>
      </c>
      <c r="B23" s="54" t="s">
        <v>187</v>
      </c>
      <c r="C23" s="54" t="s">
        <v>195</v>
      </c>
      <c r="D23" s="54" t="s">
        <v>68</v>
      </c>
      <c r="E23" s="54" t="s">
        <v>69</v>
      </c>
      <c r="F23" s="54" t="s">
        <v>21</v>
      </c>
      <c r="G23" s="55">
        <v>1</v>
      </c>
      <c r="H23" s="56" t="s">
        <v>175</v>
      </c>
      <c r="I23" s="57" t="s">
        <v>70</v>
      </c>
      <c r="J23" s="57" t="s">
        <v>196</v>
      </c>
      <c r="K23" s="57" t="s">
        <v>175</v>
      </c>
      <c r="L23" s="57" t="s">
        <v>130</v>
      </c>
      <c r="M23" s="57" t="s">
        <v>89</v>
      </c>
      <c r="N23" s="57" t="s">
        <v>109</v>
      </c>
      <c r="O23" s="67">
        <v>0.89</v>
      </c>
      <c r="P23" s="17"/>
      <c r="Q23" s="59" t="s">
        <v>175</v>
      </c>
      <c r="R23" s="57" t="s">
        <v>70</v>
      </c>
      <c r="S23" s="57" t="s">
        <v>196</v>
      </c>
      <c r="T23" s="57" t="s">
        <v>151</v>
      </c>
      <c r="U23" s="57" t="s">
        <v>103</v>
      </c>
      <c r="V23" s="57" t="s">
        <v>87</v>
      </c>
      <c r="W23" s="57" t="s">
        <v>110</v>
      </c>
      <c r="X23" s="67">
        <v>0.85</v>
      </c>
      <c r="Y23" s="17"/>
      <c r="Z23" s="60">
        <f t="shared" si="12"/>
        <v>92</v>
      </c>
      <c r="AA23" s="61">
        <f t="shared" si="13"/>
        <v>103</v>
      </c>
      <c r="AB23" s="68">
        <f t="shared" si="14"/>
        <v>0.89320388349514568</v>
      </c>
      <c r="AC23" s="17"/>
      <c r="AD23" s="63">
        <f t="shared" si="15"/>
        <v>92</v>
      </c>
      <c r="AE23" s="64">
        <f t="shared" si="16"/>
        <v>109</v>
      </c>
      <c r="AF23" s="65">
        <f t="shared" si="17"/>
        <v>0.84403669724770647</v>
      </c>
      <c r="AG23" s="66"/>
      <c r="AH23" s="66"/>
      <c r="AI23" s="66"/>
    </row>
    <row r="24" spans="1:35" ht="14.25" customHeight="1" x14ac:dyDescent="0.2">
      <c r="A24" s="54" t="s">
        <v>197</v>
      </c>
      <c r="B24" s="54" t="s">
        <v>198</v>
      </c>
      <c r="C24" s="54" t="s">
        <v>199</v>
      </c>
      <c r="D24" s="54" t="s">
        <v>63</v>
      </c>
      <c r="E24" s="54" t="s">
        <v>95</v>
      </c>
      <c r="F24" s="54" t="s">
        <v>22</v>
      </c>
      <c r="G24" s="55">
        <v>2.2400000000000002</v>
      </c>
      <c r="H24" s="56" t="s">
        <v>175</v>
      </c>
      <c r="I24" s="57" t="s">
        <v>200</v>
      </c>
      <c r="J24" s="57" t="s">
        <v>201</v>
      </c>
      <c r="K24" s="57" t="s">
        <v>202</v>
      </c>
      <c r="L24" s="57" t="s">
        <v>203</v>
      </c>
      <c r="M24" s="57" t="s">
        <v>125</v>
      </c>
      <c r="N24" s="57" t="s">
        <v>204</v>
      </c>
      <c r="O24" s="67">
        <v>1.1599999999999999</v>
      </c>
      <c r="P24" s="55"/>
      <c r="Q24" s="59" t="s">
        <v>175</v>
      </c>
      <c r="R24" s="57" t="s">
        <v>205</v>
      </c>
      <c r="S24" s="57" t="s">
        <v>206</v>
      </c>
      <c r="T24" s="57" t="s">
        <v>207</v>
      </c>
      <c r="U24" s="57" t="s">
        <v>185</v>
      </c>
      <c r="V24" s="57" t="s">
        <v>134</v>
      </c>
      <c r="W24" s="57" t="s">
        <v>176</v>
      </c>
      <c r="X24" s="67">
        <v>1.1200000000000001</v>
      </c>
      <c r="Y24" s="17"/>
      <c r="Z24" s="60">
        <f t="shared" si="12"/>
        <v>206.08</v>
      </c>
      <c r="AA24" s="61">
        <f t="shared" si="13"/>
        <v>176.96</v>
      </c>
      <c r="AB24" s="68">
        <f t="shared" si="14"/>
        <v>1.1645569620253164</v>
      </c>
      <c r="AC24" s="17"/>
      <c r="AD24" s="63">
        <f t="shared" si="15"/>
        <v>206.08</v>
      </c>
      <c r="AE24" s="64">
        <f t="shared" si="16"/>
        <v>183.68</v>
      </c>
      <c r="AF24" s="65">
        <f t="shared" si="17"/>
        <v>1.1219512195121952</v>
      </c>
      <c r="AG24" s="66"/>
      <c r="AH24" s="66"/>
      <c r="AI24" s="66"/>
    </row>
    <row r="25" spans="1:35" ht="14.25" customHeight="1" x14ac:dyDescent="0.2">
      <c r="A25" s="54" t="s">
        <v>117</v>
      </c>
      <c r="B25" s="54" t="s">
        <v>208</v>
      </c>
      <c r="C25" s="54" t="s">
        <v>209</v>
      </c>
      <c r="D25" s="54" t="s">
        <v>63</v>
      </c>
      <c r="E25" s="54" t="s">
        <v>95</v>
      </c>
      <c r="F25" s="54" t="s">
        <v>22</v>
      </c>
      <c r="G25" s="55">
        <v>6.04</v>
      </c>
      <c r="H25" s="56" t="s">
        <v>125</v>
      </c>
      <c r="I25" s="57" t="s">
        <v>210</v>
      </c>
      <c r="J25" s="57" t="s">
        <v>211</v>
      </c>
      <c r="K25" s="57" t="s">
        <v>212</v>
      </c>
      <c r="L25" s="57" t="s">
        <v>213</v>
      </c>
      <c r="M25" s="57" t="s">
        <v>214</v>
      </c>
      <c r="N25" s="57" t="s">
        <v>215</v>
      </c>
      <c r="O25" s="67">
        <v>1.5</v>
      </c>
      <c r="P25" s="55"/>
      <c r="Q25" s="59" t="s">
        <v>125</v>
      </c>
      <c r="R25" s="57" t="s">
        <v>216</v>
      </c>
      <c r="S25" s="57" t="s">
        <v>217</v>
      </c>
      <c r="T25" s="57" t="s">
        <v>218</v>
      </c>
      <c r="U25" s="57" t="s">
        <v>213</v>
      </c>
      <c r="V25" s="57" t="s">
        <v>219</v>
      </c>
      <c r="W25" s="57" t="s">
        <v>220</v>
      </c>
      <c r="X25" s="67">
        <v>1.48</v>
      </c>
      <c r="Y25" s="17"/>
      <c r="Z25" s="60">
        <f t="shared" si="12"/>
        <v>537.56000000000006</v>
      </c>
      <c r="AA25" s="61">
        <f t="shared" si="13"/>
        <v>362.4</v>
      </c>
      <c r="AB25" s="68">
        <f t="shared" si="14"/>
        <v>1.4833333333333336</v>
      </c>
      <c r="AC25" s="17"/>
      <c r="AD25" s="63">
        <f t="shared" si="15"/>
        <v>537.56000000000006</v>
      </c>
      <c r="AE25" s="64">
        <f t="shared" si="16"/>
        <v>362.4</v>
      </c>
      <c r="AF25" s="65">
        <f t="shared" si="17"/>
        <v>1.4833333333333336</v>
      </c>
      <c r="AG25" s="66"/>
      <c r="AH25" s="66"/>
      <c r="AI25" s="66"/>
    </row>
    <row r="26" spans="1:35" ht="14.25" customHeight="1" x14ac:dyDescent="0.2">
      <c r="A26" s="54" t="s">
        <v>117</v>
      </c>
      <c r="B26" s="54" t="s">
        <v>208</v>
      </c>
      <c r="C26" s="54" t="s">
        <v>221</v>
      </c>
      <c r="D26" s="54" t="s">
        <v>68</v>
      </c>
      <c r="E26" s="54" t="s">
        <v>69</v>
      </c>
      <c r="F26" s="54" t="s">
        <v>22</v>
      </c>
      <c r="G26" s="55">
        <v>6.04</v>
      </c>
      <c r="H26" s="56" t="s">
        <v>125</v>
      </c>
      <c r="I26" s="57" t="s">
        <v>222</v>
      </c>
      <c r="J26" s="57" t="s">
        <v>222</v>
      </c>
      <c r="K26" s="57" t="s">
        <v>223</v>
      </c>
      <c r="L26" s="57" t="s">
        <v>179</v>
      </c>
      <c r="M26" s="57" t="s">
        <v>224</v>
      </c>
      <c r="N26" s="57" t="s">
        <v>203</v>
      </c>
      <c r="O26" s="67">
        <v>1.1399999999999999</v>
      </c>
      <c r="P26" s="55"/>
      <c r="Q26" s="59" t="s">
        <v>125</v>
      </c>
      <c r="R26" s="57" t="s">
        <v>62</v>
      </c>
      <c r="S26" s="57" t="s">
        <v>62</v>
      </c>
      <c r="T26" s="57" t="s">
        <v>62</v>
      </c>
      <c r="U26" s="57" t="s">
        <v>62</v>
      </c>
      <c r="V26" s="57" t="s">
        <v>62</v>
      </c>
      <c r="W26" s="57" t="s">
        <v>62</v>
      </c>
      <c r="X26" s="67"/>
      <c r="Y26" s="17"/>
      <c r="Z26" s="60">
        <f t="shared" si="12"/>
        <v>537.56000000000006</v>
      </c>
      <c r="AA26" s="61">
        <f t="shared" si="13"/>
        <v>471.12</v>
      </c>
      <c r="AB26" s="68">
        <f t="shared" si="14"/>
        <v>1.1410256410256412</v>
      </c>
      <c r="AC26" s="17"/>
      <c r="AD26" s="63"/>
      <c r="AE26" s="64"/>
      <c r="AF26" s="65"/>
      <c r="AG26" s="66"/>
      <c r="AH26" s="66"/>
      <c r="AI26" s="66"/>
    </row>
    <row r="27" spans="1:35" ht="14.25" customHeight="1" x14ac:dyDescent="0.2">
      <c r="A27" s="54" t="s">
        <v>225</v>
      </c>
      <c r="B27" s="54" t="s">
        <v>226</v>
      </c>
      <c r="C27" s="54" t="s">
        <v>227</v>
      </c>
      <c r="D27" s="54" t="s">
        <v>63</v>
      </c>
      <c r="E27" s="54" t="s">
        <v>95</v>
      </c>
      <c r="F27" s="54" t="s">
        <v>22</v>
      </c>
      <c r="G27" s="55">
        <v>4</v>
      </c>
      <c r="H27" s="56" t="s">
        <v>161</v>
      </c>
      <c r="I27" s="57" t="s">
        <v>228</v>
      </c>
      <c r="J27" s="57" t="s">
        <v>229</v>
      </c>
      <c r="K27" s="57" t="s">
        <v>230</v>
      </c>
      <c r="L27" s="57" t="s">
        <v>215</v>
      </c>
      <c r="M27" s="57" t="s">
        <v>202</v>
      </c>
      <c r="N27" s="57" t="s">
        <v>231</v>
      </c>
      <c r="O27" s="67">
        <v>1.39</v>
      </c>
      <c r="P27" s="55"/>
      <c r="Q27" s="59" t="s">
        <v>161</v>
      </c>
      <c r="R27" s="57" t="s">
        <v>84</v>
      </c>
      <c r="S27" s="57" t="s">
        <v>232</v>
      </c>
      <c r="T27" s="57" t="s">
        <v>224</v>
      </c>
      <c r="U27" s="57" t="s">
        <v>233</v>
      </c>
      <c r="V27" s="57" t="s">
        <v>207</v>
      </c>
      <c r="W27" s="57" t="s">
        <v>214</v>
      </c>
      <c r="X27" s="67">
        <v>1.31</v>
      </c>
      <c r="Y27" s="17"/>
      <c r="Z27" s="60">
        <f t="shared" si="12"/>
        <v>340</v>
      </c>
      <c r="AA27" s="61">
        <f t="shared" si="13"/>
        <v>244</v>
      </c>
      <c r="AB27" s="68">
        <f t="shared" si="14"/>
        <v>1.3934426229508197</v>
      </c>
      <c r="AC27" s="17"/>
      <c r="AD27" s="63">
        <f>Q27*G27</f>
        <v>340</v>
      </c>
      <c r="AE27" s="64">
        <f>U27*G27</f>
        <v>260</v>
      </c>
      <c r="AF27" s="65">
        <f>AD27/AE27</f>
        <v>1.3076923076923077</v>
      </c>
      <c r="AG27" s="66"/>
      <c r="AH27" s="66"/>
      <c r="AI27" s="66"/>
    </row>
    <row r="28" spans="1:35" ht="14.25" customHeight="1" x14ac:dyDescent="0.2">
      <c r="A28" s="54" t="s">
        <v>225</v>
      </c>
      <c r="B28" s="54" t="s">
        <v>226</v>
      </c>
      <c r="C28" s="54" t="s">
        <v>62</v>
      </c>
      <c r="D28" s="54" t="s">
        <v>68</v>
      </c>
      <c r="E28" s="54" t="s">
        <v>69</v>
      </c>
      <c r="F28" s="54" t="s">
        <v>22</v>
      </c>
      <c r="G28" s="55">
        <v>4</v>
      </c>
      <c r="H28" s="56" t="s">
        <v>161</v>
      </c>
      <c r="I28" s="57" t="s">
        <v>62</v>
      </c>
      <c r="J28" s="57" t="s">
        <v>62</v>
      </c>
      <c r="K28" s="57" t="s">
        <v>62</v>
      </c>
      <c r="L28" s="57" t="s">
        <v>62</v>
      </c>
      <c r="M28" s="57" t="s">
        <v>62</v>
      </c>
      <c r="N28" s="57" t="s">
        <v>62</v>
      </c>
      <c r="O28" s="67"/>
      <c r="P28" s="55"/>
      <c r="Q28" s="59" t="s">
        <v>161</v>
      </c>
      <c r="R28" s="57" t="s">
        <v>62</v>
      </c>
      <c r="S28" s="57" t="s">
        <v>62</v>
      </c>
      <c r="T28" s="57" t="s">
        <v>62</v>
      </c>
      <c r="U28" s="57" t="s">
        <v>62</v>
      </c>
      <c r="V28" s="57" t="s">
        <v>62</v>
      </c>
      <c r="W28" s="57" t="s">
        <v>62</v>
      </c>
      <c r="X28" s="67"/>
      <c r="Y28" s="17"/>
      <c r="Z28" s="60"/>
      <c r="AA28" s="61"/>
      <c r="AB28" s="68"/>
      <c r="AC28" s="17"/>
      <c r="AD28" s="63"/>
      <c r="AE28" s="64"/>
      <c r="AF28" s="65"/>
      <c r="AG28" s="66"/>
      <c r="AH28" s="66"/>
      <c r="AI28" s="66"/>
    </row>
    <row r="29" spans="1:35" ht="14.25" customHeight="1" x14ac:dyDescent="0.2">
      <c r="A29" s="54" t="s">
        <v>182</v>
      </c>
      <c r="B29" s="54" t="s">
        <v>234</v>
      </c>
      <c r="C29" s="54" t="s">
        <v>235</v>
      </c>
      <c r="D29" s="54" t="s">
        <v>63</v>
      </c>
      <c r="E29" s="54" t="s">
        <v>95</v>
      </c>
      <c r="F29" s="54" t="s">
        <v>22</v>
      </c>
      <c r="G29" s="55">
        <v>10.47</v>
      </c>
      <c r="H29" s="56" t="s">
        <v>173</v>
      </c>
      <c r="I29" s="57" t="s">
        <v>107</v>
      </c>
      <c r="J29" s="57" t="s">
        <v>236</v>
      </c>
      <c r="K29" s="57" t="s">
        <v>220</v>
      </c>
      <c r="L29" s="57" t="s">
        <v>202</v>
      </c>
      <c r="M29" s="57" t="s">
        <v>179</v>
      </c>
      <c r="N29" s="57" t="s">
        <v>202</v>
      </c>
      <c r="O29" s="67">
        <v>1.07</v>
      </c>
      <c r="P29" s="55"/>
      <c r="Q29" s="59" t="s">
        <v>173</v>
      </c>
      <c r="R29" s="57" t="s">
        <v>182</v>
      </c>
      <c r="S29" s="57" t="s">
        <v>237</v>
      </c>
      <c r="T29" s="57" t="s">
        <v>215</v>
      </c>
      <c r="U29" s="57" t="s">
        <v>214</v>
      </c>
      <c r="V29" s="57" t="s">
        <v>179</v>
      </c>
      <c r="W29" s="57" t="s">
        <v>202</v>
      </c>
      <c r="X29" s="67">
        <v>1.1200000000000001</v>
      </c>
      <c r="Y29" s="17"/>
      <c r="Z29" s="60">
        <f>H29*G29</f>
        <v>785.25</v>
      </c>
      <c r="AA29" s="61">
        <f>L29*G29</f>
        <v>732.90000000000009</v>
      </c>
      <c r="AB29" s="68">
        <f>Z29/AA29</f>
        <v>1.0714285714285714</v>
      </c>
      <c r="AC29" s="17"/>
      <c r="AD29" s="63">
        <f>Q29*G29</f>
        <v>785.25</v>
      </c>
      <c r="AE29" s="64">
        <f>U29*G29</f>
        <v>701.49</v>
      </c>
      <c r="AF29" s="65">
        <f>AD29/AE29</f>
        <v>1.1194029850746268</v>
      </c>
      <c r="AG29" s="66"/>
      <c r="AH29" s="66"/>
      <c r="AI29" s="66"/>
    </row>
    <row r="30" spans="1:35" ht="14.25" customHeight="1" x14ac:dyDescent="0.2">
      <c r="A30" s="54" t="s">
        <v>182</v>
      </c>
      <c r="B30" s="54" t="s">
        <v>234</v>
      </c>
      <c r="C30" s="54" t="s">
        <v>238</v>
      </c>
      <c r="D30" s="54" t="s">
        <v>68</v>
      </c>
      <c r="E30" s="54" t="s">
        <v>69</v>
      </c>
      <c r="F30" s="54" t="s">
        <v>22</v>
      </c>
      <c r="G30" s="55">
        <v>10.47</v>
      </c>
      <c r="H30" s="56" t="s">
        <v>173</v>
      </c>
      <c r="I30" s="57" t="s">
        <v>113</v>
      </c>
      <c r="J30" s="57" t="s">
        <v>113</v>
      </c>
      <c r="K30" s="57" t="s">
        <v>62</v>
      </c>
      <c r="L30" s="57" t="s">
        <v>62</v>
      </c>
      <c r="M30" s="57" t="s">
        <v>62</v>
      </c>
      <c r="N30" s="57" t="s">
        <v>62</v>
      </c>
      <c r="O30" s="67"/>
      <c r="P30" s="55"/>
      <c r="Q30" s="59" t="s">
        <v>173</v>
      </c>
      <c r="R30" s="57" t="s">
        <v>62</v>
      </c>
      <c r="S30" s="57" t="s">
        <v>62</v>
      </c>
      <c r="T30" s="57" t="s">
        <v>62</v>
      </c>
      <c r="U30" s="57" t="s">
        <v>62</v>
      </c>
      <c r="V30" s="57" t="s">
        <v>62</v>
      </c>
      <c r="W30" s="57" t="s">
        <v>62</v>
      </c>
      <c r="X30" s="67"/>
      <c r="Y30" s="17"/>
      <c r="Z30" s="60"/>
      <c r="AA30" s="61"/>
      <c r="AB30" s="68"/>
      <c r="AC30" s="17"/>
      <c r="AD30" s="63"/>
      <c r="AE30" s="64"/>
      <c r="AF30" s="65"/>
      <c r="AG30" s="66"/>
      <c r="AH30" s="66"/>
      <c r="AI30" s="66"/>
    </row>
    <row r="31" spans="1:35" ht="14.25" customHeight="1" x14ac:dyDescent="0.2">
      <c r="A31" s="54" t="s">
        <v>132</v>
      </c>
      <c r="B31" s="54" t="s">
        <v>239</v>
      </c>
      <c r="C31" s="54" t="s">
        <v>240</v>
      </c>
      <c r="D31" s="54" t="s">
        <v>63</v>
      </c>
      <c r="E31" s="54" t="s">
        <v>95</v>
      </c>
      <c r="F31" s="54" t="s">
        <v>22</v>
      </c>
      <c r="G31" s="55">
        <v>2.15</v>
      </c>
      <c r="H31" s="56" t="s">
        <v>179</v>
      </c>
      <c r="I31" s="57" t="s">
        <v>241</v>
      </c>
      <c r="J31" s="57" t="s">
        <v>242</v>
      </c>
      <c r="K31" s="57" t="s">
        <v>243</v>
      </c>
      <c r="L31" s="57" t="s">
        <v>223</v>
      </c>
      <c r="M31" s="57" t="s">
        <v>244</v>
      </c>
      <c r="N31" s="57" t="s">
        <v>223</v>
      </c>
      <c r="O31" s="67">
        <v>1.52</v>
      </c>
      <c r="P31" s="55"/>
      <c r="Q31" s="59" t="s">
        <v>179</v>
      </c>
      <c r="R31" s="57" t="s">
        <v>245</v>
      </c>
      <c r="S31" s="57" t="s">
        <v>246</v>
      </c>
      <c r="T31" s="57" t="s">
        <v>243</v>
      </c>
      <c r="U31" s="57" t="s">
        <v>247</v>
      </c>
      <c r="V31" s="57" t="s">
        <v>248</v>
      </c>
      <c r="W31" s="57" t="s">
        <v>247</v>
      </c>
      <c r="X31" s="67">
        <v>1.47</v>
      </c>
      <c r="Y31" s="17"/>
      <c r="Z31" s="60">
        <f t="shared" ref="Z31:Z42" si="18">H31*G31</f>
        <v>167.7</v>
      </c>
      <c r="AA31" s="61">
        <f t="shared" ref="AA31:AA42" si="19">L31*G31</f>
        <v>109.64999999999999</v>
      </c>
      <c r="AB31" s="68">
        <f t="shared" ref="AB31:AB42" si="20">Z31/AA31</f>
        <v>1.5294117647058825</v>
      </c>
      <c r="AC31" s="17"/>
      <c r="AD31" s="63">
        <f>Q31*G31</f>
        <v>167.7</v>
      </c>
      <c r="AE31" s="64">
        <f>U31*G31</f>
        <v>113.94999999999999</v>
      </c>
      <c r="AF31" s="65">
        <f>AD31/AE31</f>
        <v>1.4716981132075473</v>
      </c>
      <c r="AG31" s="66"/>
      <c r="AH31" s="66"/>
      <c r="AI31" s="66"/>
    </row>
    <row r="32" spans="1:35" ht="14.25" customHeight="1" x14ac:dyDescent="0.2">
      <c r="A32" s="54" t="s">
        <v>132</v>
      </c>
      <c r="B32" s="54" t="s">
        <v>239</v>
      </c>
      <c r="C32" s="54" t="s">
        <v>249</v>
      </c>
      <c r="D32" s="54" t="s">
        <v>68</v>
      </c>
      <c r="E32" s="54" t="s">
        <v>69</v>
      </c>
      <c r="F32" s="54" t="s">
        <v>22</v>
      </c>
      <c r="G32" s="55">
        <v>2.15</v>
      </c>
      <c r="H32" s="56" t="s">
        <v>179</v>
      </c>
      <c r="I32" s="57" t="s">
        <v>250</v>
      </c>
      <c r="J32" s="57" t="s">
        <v>250</v>
      </c>
      <c r="K32" s="57" t="s">
        <v>231</v>
      </c>
      <c r="L32" s="57" t="s">
        <v>202</v>
      </c>
      <c r="M32" s="57" t="s">
        <v>173</v>
      </c>
      <c r="N32" s="57" t="s">
        <v>202</v>
      </c>
      <c r="O32" s="67">
        <v>1.1100000000000001</v>
      </c>
      <c r="P32" s="55"/>
      <c r="Q32" s="59" t="s">
        <v>179</v>
      </c>
      <c r="R32" s="57" t="s">
        <v>62</v>
      </c>
      <c r="S32" s="57" t="s">
        <v>62</v>
      </c>
      <c r="T32" s="57" t="s">
        <v>62</v>
      </c>
      <c r="U32" s="57" t="s">
        <v>62</v>
      </c>
      <c r="V32" s="57" t="s">
        <v>62</v>
      </c>
      <c r="W32" s="57" t="s">
        <v>62</v>
      </c>
      <c r="X32" s="67"/>
      <c r="Y32" s="17"/>
      <c r="Z32" s="60">
        <f t="shared" si="18"/>
        <v>167.7</v>
      </c>
      <c r="AA32" s="61">
        <f t="shared" si="19"/>
        <v>150.5</v>
      </c>
      <c r="AB32" s="68">
        <f t="shared" si="20"/>
        <v>1.1142857142857141</v>
      </c>
      <c r="AC32" s="17"/>
      <c r="AD32" s="63"/>
      <c r="AE32" s="64"/>
      <c r="AF32" s="65"/>
      <c r="AG32" s="66"/>
      <c r="AH32" s="66"/>
      <c r="AI32" s="66"/>
    </row>
    <row r="33" spans="1:35" ht="14.25" customHeight="1" x14ac:dyDescent="0.2">
      <c r="A33" s="54" t="s">
        <v>107</v>
      </c>
      <c r="B33" s="54" t="s">
        <v>251</v>
      </c>
      <c r="C33" s="54" t="s">
        <v>252</v>
      </c>
      <c r="D33" s="54" t="s">
        <v>63</v>
      </c>
      <c r="E33" s="54" t="s">
        <v>95</v>
      </c>
      <c r="F33" s="54" t="s">
        <v>22</v>
      </c>
      <c r="G33" s="55">
        <v>10.73</v>
      </c>
      <c r="H33" s="56" t="s">
        <v>173</v>
      </c>
      <c r="I33" s="57" t="s">
        <v>253</v>
      </c>
      <c r="J33" s="57" t="s">
        <v>254</v>
      </c>
      <c r="K33" s="57" t="s">
        <v>247</v>
      </c>
      <c r="L33" s="57" t="s">
        <v>224</v>
      </c>
      <c r="M33" s="57" t="s">
        <v>233</v>
      </c>
      <c r="N33" s="57" t="s">
        <v>224</v>
      </c>
      <c r="O33" s="67">
        <v>1.29</v>
      </c>
      <c r="P33" s="55"/>
      <c r="Q33" s="59" t="s">
        <v>173</v>
      </c>
      <c r="R33" s="57" t="s">
        <v>255</v>
      </c>
      <c r="S33" s="57" t="s">
        <v>256</v>
      </c>
      <c r="T33" s="57" t="s">
        <v>212</v>
      </c>
      <c r="U33" s="57" t="s">
        <v>213</v>
      </c>
      <c r="V33" s="57" t="s">
        <v>257</v>
      </c>
      <c r="W33" s="57" t="s">
        <v>213</v>
      </c>
      <c r="X33" s="67">
        <v>1.25</v>
      </c>
      <c r="Y33" s="17"/>
      <c r="Z33" s="60">
        <f t="shared" si="18"/>
        <v>804.75</v>
      </c>
      <c r="AA33" s="61">
        <f t="shared" si="19"/>
        <v>633.07000000000005</v>
      </c>
      <c r="AB33" s="68">
        <f t="shared" si="20"/>
        <v>1.271186440677966</v>
      </c>
      <c r="AC33" s="17"/>
      <c r="AD33" s="63">
        <f>Q33*G33</f>
        <v>804.75</v>
      </c>
      <c r="AE33" s="64">
        <f>U33*G33</f>
        <v>643.80000000000007</v>
      </c>
      <c r="AF33" s="65">
        <f>AD33/AE33</f>
        <v>1.2499999999999998</v>
      </c>
      <c r="AG33" s="66"/>
      <c r="AH33" s="66"/>
      <c r="AI33" s="66"/>
    </row>
    <row r="34" spans="1:35" ht="14.25" customHeight="1" x14ac:dyDescent="0.2">
      <c r="A34" s="54" t="s">
        <v>107</v>
      </c>
      <c r="B34" s="54" t="s">
        <v>251</v>
      </c>
      <c r="C34" s="54" t="s">
        <v>258</v>
      </c>
      <c r="D34" s="54" t="s">
        <v>68</v>
      </c>
      <c r="E34" s="54" t="s">
        <v>69</v>
      </c>
      <c r="F34" s="54" t="s">
        <v>22</v>
      </c>
      <c r="G34" s="55">
        <v>10.73</v>
      </c>
      <c r="H34" s="56" t="s">
        <v>173</v>
      </c>
      <c r="I34" s="57" t="s">
        <v>133</v>
      </c>
      <c r="J34" s="57" t="s">
        <v>133</v>
      </c>
      <c r="K34" s="57" t="s">
        <v>219</v>
      </c>
      <c r="L34" s="57" t="s">
        <v>207</v>
      </c>
      <c r="M34" s="57" t="s">
        <v>259</v>
      </c>
      <c r="N34" s="57" t="s">
        <v>207</v>
      </c>
      <c r="O34" s="67">
        <v>1.05</v>
      </c>
      <c r="P34" s="55"/>
      <c r="Q34" s="59" t="s">
        <v>173</v>
      </c>
      <c r="R34" s="57" t="s">
        <v>62</v>
      </c>
      <c r="S34" s="57" t="s">
        <v>62</v>
      </c>
      <c r="T34" s="57" t="s">
        <v>62</v>
      </c>
      <c r="U34" s="57" t="s">
        <v>62</v>
      </c>
      <c r="V34" s="57" t="s">
        <v>62</v>
      </c>
      <c r="W34" s="57" t="s">
        <v>62</v>
      </c>
      <c r="X34" s="67"/>
      <c r="Y34" s="17"/>
      <c r="Z34" s="60">
        <f t="shared" si="18"/>
        <v>804.75</v>
      </c>
      <c r="AA34" s="61">
        <f t="shared" si="19"/>
        <v>772.56000000000006</v>
      </c>
      <c r="AB34" s="68">
        <f t="shared" si="20"/>
        <v>1.0416666666666665</v>
      </c>
      <c r="AC34" s="17"/>
      <c r="AD34" s="63"/>
      <c r="AE34" s="64"/>
      <c r="AF34" s="65"/>
      <c r="AG34" s="66"/>
      <c r="AH34" s="66"/>
      <c r="AI34" s="66"/>
    </row>
    <row r="35" spans="1:35" ht="14.25" customHeight="1" x14ac:dyDescent="0.2">
      <c r="A35" s="54" t="s">
        <v>260</v>
      </c>
      <c r="B35" s="54" t="s">
        <v>261</v>
      </c>
      <c r="C35" s="54" t="s">
        <v>262</v>
      </c>
      <c r="D35" s="54" t="s">
        <v>63</v>
      </c>
      <c r="E35" s="54" t="s">
        <v>95</v>
      </c>
      <c r="F35" s="54" t="s">
        <v>22</v>
      </c>
      <c r="G35" s="55">
        <v>5.29</v>
      </c>
      <c r="H35" s="56" t="s">
        <v>173</v>
      </c>
      <c r="I35" s="57" t="s">
        <v>253</v>
      </c>
      <c r="J35" s="57" t="s">
        <v>263</v>
      </c>
      <c r="K35" s="57" t="s">
        <v>223</v>
      </c>
      <c r="L35" s="57" t="s">
        <v>218</v>
      </c>
      <c r="M35" s="57" t="s">
        <v>220</v>
      </c>
      <c r="N35" s="57" t="s">
        <v>230</v>
      </c>
      <c r="O35" s="67">
        <v>1.38</v>
      </c>
      <c r="P35" s="55"/>
      <c r="Q35" s="59" t="s">
        <v>173</v>
      </c>
      <c r="R35" s="57" t="s">
        <v>164</v>
      </c>
      <c r="S35" s="57" t="s">
        <v>264</v>
      </c>
      <c r="T35" s="57" t="s">
        <v>265</v>
      </c>
      <c r="U35" s="57" t="s">
        <v>244</v>
      </c>
      <c r="V35" s="57" t="s">
        <v>231</v>
      </c>
      <c r="W35" s="57" t="s">
        <v>248</v>
      </c>
      <c r="X35" s="67">
        <v>1.33</v>
      </c>
      <c r="Y35" s="17"/>
      <c r="Z35" s="60">
        <f t="shared" si="18"/>
        <v>396.75</v>
      </c>
      <c r="AA35" s="61">
        <f t="shared" si="19"/>
        <v>290.95</v>
      </c>
      <c r="AB35" s="68">
        <f t="shared" si="20"/>
        <v>1.3636363636363638</v>
      </c>
      <c r="AC35" s="17"/>
      <c r="AD35" s="63">
        <f>Q35*G35</f>
        <v>396.75</v>
      </c>
      <c r="AE35" s="64">
        <f>U35*G35</f>
        <v>301.53000000000003</v>
      </c>
      <c r="AF35" s="65">
        <f>AD35/AE35</f>
        <v>1.3157894736842104</v>
      </c>
      <c r="AG35" s="66"/>
      <c r="AH35" s="66"/>
      <c r="AI35" s="66"/>
    </row>
    <row r="36" spans="1:35" ht="14.25" customHeight="1" x14ac:dyDescent="0.2">
      <c r="A36" s="54" t="s">
        <v>260</v>
      </c>
      <c r="B36" s="54" t="s">
        <v>261</v>
      </c>
      <c r="C36" s="54" t="s">
        <v>266</v>
      </c>
      <c r="D36" s="54" t="s">
        <v>68</v>
      </c>
      <c r="E36" s="54" t="s">
        <v>69</v>
      </c>
      <c r="F36" s="54" t="s">
        <v>22</v>
      </c>
      <c r="G36" s="55">
        <v>5.29</v>
      </c>
      <c r="H36" s="56" t="s">
        <v>173</v>
      </c>
      <c r="I36" s="57" t="s">
        <v>182</v>
      </c>
      <c r="J36" s="57" t="s">
        <v>182</v>
      </c>
      <c r="K36" s="57" t="s">
        <v>214</v>
      </c>
      <c r="L36" s="57" t="s">
        <v>267</v>
      </c>
      <c r="M36" s="57" t="s">
        <v>259</v>
      </c>
      <c r="N36" s="57" t="s">
        <v>207</v>
      </c>
      <c r="O36" s="67">
        <v>1.03</v>
      </c>
      <c r="P36" s="55"/>
      <c r="Q36" s="59" t="s">
        <v>173</v>
      </c>
      <c r="R36" s="57" t="s">
        <v>62</v>
      </c>
      <c r="S36" s="57" t="s">
        <v>62</v>
      </c>
      <c r="T36" s="57" t="s">
        <v>62</v>
      </c>
      <c r="U36" s="57" t="s">
        <v>62</v>
      </c>
      <c r="V36" s="57" t="s">
        <v>62</v>
      </c>
      <c r="W36" s="57" t="s">
        <v>62</v>
      </c>
      <c r="X36" s="67"/>
      <c r="Y36" s="17"/>
      <c r="Z36" s="60">
        <f t="shared" si="18"/>
        <v>396.75</v>
      </c>
      <c r="AA36" s="61">
        <f t="shared" si="19"/>
        <v>386.17</v>
      </c>
      <c r="AB36" s="68">
        <f t="shared" si="20"/>
        <v>1.0273972602739725</v>
      </c>
      <c r="AC36" s="17"/>
      <c r="AD36" s="63"/>
      <c r="AE36" s="64"/>
      <c r="AF36" s="65"/>
      <c r="AG36" s="66"/>
      <c r="AH36" s="66"/>
      <c r="AI36" s="66"/>
    </row>
    <row r="37" spans="1:35" ht="14.25" customHeight="1" x14ac:dyDescent="0.2">
      <c r="A37" s="54" t="s">
        <v>183</v>
      </c>
      <c r="B37" s="54" t="s">
        <v>268</v>
      </c>
      <c r="C37" s="54" t="s">
        <v>269</v>
      </c>
      <c r="D37" s="54" t="s">
        <v>63</v>
      </c>
      <c r="E37" s="54" t="s">
        <v>95</v>
      </c>
      <c r="F37" s="54" t="s">
        <v>21</v>
      </c>
      <c r="G37" s="55">
        <v>2</v>
      </c>
      <c r="H37" s="56" t="s">
        <v>270</v>
      </c>
      <c r="I37" s="57" t="s">
        <v>271</v>
      </c>
      <c r="J37" s="57" t="s">
        <v>255</v>
      </c>
      <c r="K37" s="57" t="s">
        <v>65</v>
      </c>
      <c r="L37" s="57" t="s">
        <v>272</v>
      </c>
      <c r="M37" s="57" t="s">
        <v>273</v>
      </c>
      <c r="N37" s="57" t="s">
        <v>274</v>
      </c>
      <c r="O37" s="67">
        <v>1.03</v>
      </c>
      <c r="P37" s="55"/>
      <c r="Q37" s="59" t="s">
        <v>275</v>
      </c>
      <c r="R37" s="57" t="s">
        <v>192</v>
      </c>
      <c r="S37" s="57" t="s">
        <v>276</v>
      </c>
      <c r="T37" s="57" t="s">
        <v>274</v>
      </c>
      <c r="U37" s="57" t="s">
        <v>277</v>
      </c>
      <c r="V37" s="57" t="s">
        <v>278</v>
      </c>
      <c r="W37" s="57" t="s">
        <v>279</v>
      </c>
      <c r="X37" s="67">
        <v>1.06</v>
      </c>
      <c r="Y37" s="17"/>
      <c r="Z37" s="60">
        <f t="shared" si="18"/>
        <v>314</v>
      </c>
      <c r="AA37" s="61">
        <f t="shared" si="19"/>
        <v>304</v>
      </c>
      <c r="AB37" s="68">
        <f t="shared" si="20"/>
        <v>1.0328947368421053</v>
      </c>
      <c r="AC37" s="17"/>
      <c r="AD37" s="63">
        <f t="shared" ref="AD37:AD38" si="21">Q37*G37</f>
        <v>378</v>
      </c>
      <c r="AE37" s="64">
        <f t="shared" ref="AE37:AE38" si="22">U37*G37</f>
        <v>356</v>
      </c>
      <c r="AF37" s="65">
        <f t="shared" ref="AF37:AF38" si="23">AD37/AE37</f>
        <v>1.0617977528089888</v>
      </c>
      <c r="AG37" s="66"/>
      <c r="AH37" s="66"/>
      <c r="AI37" s="66"/>
    </row>
    <row r="38" spans="1:35" ht="14.25" customHeight="1" x14ac:dyDescent="0.2">
      <c r="A38" s="54" t="s">
        <v>183</v>
      </c>
      <c r="B38" s="54" t="s">
        <v>268</v>
      </c>
      <c r="C38" s="54" t="s">
        <v>280</v>
      </c>
      <c r="D38" s="54" t="s">
        <v>68</v>
      </c>
      <c r="E38" s="54" t="s">
        <v>69</v>
      </c>
      <c r="F38" s="54" t="s">
        <v>21</v>
      </c>
      <c r="G38" s="55">
        <v>2</v>
      </c>
      <c r="H38" s="56" t="s">
        <v>270</v>
      </c>
      <c r="I38" s="57" t="s">
        <v>197</v>
      </c>
      <c r="J38" s="57" t="s">
        <v>132</v>
      </c>
      <c r="K38" s="57" t="s">
        <v>281</v>
      </c>
      <c r="L38" s="57" t="s">
        <v>282</v>
      </c>
      <c r="M38" s="57" t="s">
        <v>283</v>
      </c>
      <c r="N38" s="57" t="s">
        <v>284</v>
      </c>
      <c r="O38" s="67">
        <v>1.02</v>
      </c>
      <c r="P38" s="55"/>
      <c r="Q38" s="59" t="s">
        <v>275</v>
      </c>
      <c r="R38" s="57" t="s">
        <v>197</v>
      </c>
      <c r="S38" s="57" t="s">
        <v>132</v>
      </c>
      <c r="T38" s="57" t="s">
        <v>76</v>
      </c>
      <c r="U38" s="57" t="s">
        <v>285</v>
      </c>
      <c r="V38" s="57" t="s">
        <v>286</v>
      </c>
      <c r="W38" s="57" t="s">
        <v>287</v>
      </c>
      <c r="X38" s="67">
        <v>1.03</v>
      </c>
      <c r="Y38" s="17"/>
      <c r="Z38" s="60">
        <f t="shared" si="18"/>
        <v>314</v>
      </c>
      <c r="AA38" s="61">
        <f t="shared" si="19"/>
        <v>308</v>
      </c>
      <c r="AB38" s="68">
        <f t="shared" si="20"/>
        <v>1.0194805194805194</v>
      </c>
      <c r="AC38" s="17"/>
      <c r="AD38" s="63">
        <f t="shared" si="21"/>
        <v>378</v>
      </c>
      <c r="AE38" s="64">
        <f t="shared" si="22"/>
        <v>366</v>
      </c>
      <c r="AF38" s="65">
        <f t="shared" si="23"/>
        <v>1.0327868852459017</v>
      </c>
      <c r="AG38" s="66"/>
      <c r="AH38" s="66"/>
      <c r="AI38" s="66"/>
    </row>
    <row r="39" spans="1:35" ht="14.25" customHeight="1" x14ac:dyDescent="0.2">
      <c r="A39" s="54" t="s">
        <v>288</v>
      </c>
      <c r="B39" s="54" t="s">
        <v>289</v>
      </c>
      <c r="C39" s="54" t="s">
        <v>290</v>
      </c>
      <c r="D39" s="54" t="s">
        <v>63</v>
      </c>
      <c r="E39" s="54" t="s">
        <v>95</v>
      </c>
      <c r="F39" s="54" t="s">
        <v>22</v>
      </c>
      <c r="G39" s="55">
        <v>3</v>
      </c>
      <c r="H39" s="56" t="s">
        <v>134</v>
      </c>
      <c r="I39" s="57" t="s">
        <v>113</v>
      </c>
      <c r="J39" s="57" t="s">
        <v>157</v>
      </c>
      <c r="K39" s="57" t="s">
        <v>62</v>
      </c>
      <c r="L39" s="57" t="s">
        <v>118</v>
      </c>
      <c r="M39" s="57" t="s">
        <v>62</v>
      </c>
      <c r="N39" s="57" t="s">
        <v>141</v>
      </c>
      <c r="O39" s="67">
        <v>0.95</v>
      </c>
      <c r="P39" s="55"/>
      <c r="Q39" s="59" t="s">
        <v>62</v>
      </c>
      <c r="R39" s="57" t="s">
        <v>113</v>
      </c>
      <c r="S39" s="57" t="s">
        <v>157</v>
      </c>
      <c r="T39" s="57" t="s">
        <v>62</v>
      </c>
      <c r="U39" s="57" t="s">
        <v>118</v>
      </c>
      <c r="V39" s="57" t="s">
        <v>62</v>
      </c>
      <c r="W39" s="57" t="s">
        <v>136</v>
      </c>
      <c r="X39" s="67"/>
      <c r="Y39" s="17"/>
      <c r="Z39" s="60">
        <f t="shared" si="18"/>
        <v>282</v>
      </c>
      <c r="AA39" s="61">
        <f t="shared" si="19"/>
        <v>300</v>
      </c>
      <c r="AB39" s="68">
        <f t="shared" si="20"/>
        <v>0.94</v>
      </c>
      <c r="AC39" s="17"/>
      <c r="AD39" s="63"/>
      <c r="AE39" s="64"/>
      <c r="AF39" s="65"/>
      <c r="AG39" s="66"/>
      <c r="AH39" s="66"/>
      <c r="AI39" s="66"/>
    </row>
    <row r="40" spans="1:35" ht="14.25" customHeight="1" x14ac:dyDescent="0.2">
      <c r="A40" s="54" t="s">
        <v>288</v>
      </c>
      <c r="B40" s="54" t="s">
        <v>289</v>
      </c>
      <c r="C40" s="54" t="s">
        <v>291</v>
      </c>
      <c r="D40" s="54" t="s">
        <v>68</v>
      </c>
      <c r="E40" s="54" t="s">
        <v>69</v>
      </c>
      <c r="F40" s="54" t="s">
        <v>22</v>
      </c>
      <c r="G40" s="55">
        <v>3</v>
      </c>
      <c r="H40" s="56" t="s">
        <v>134</v>
      </c>
      <c r="I40" s="57" t="s">
        <v>197</v>
      </c>
      <c r="J40" s="57" t="s">
        <v>197</v>
      </c>
      <c r="K40" s="57" t="s">
        <v>62</v>
      </c>
      <c r="L40" s="57" t="s">
        <v>148</v>
      </c>
      <c r="M40" s="57" t="s">
        <v>62</v>
      </c>
      <c r="N40" s="57" t="s">
        <v>109</v>
      </c>
      <c r="O40" s="67">
        <v>0.93</v>
      </c>
      <c r="P40" s="55"/>
      <c r="Q40" s="59" t="s">
        <v>62</v>
      </c>
      <c r="R40" s="57" t="s">
        <v>62</v>
      </c>
      <c r="S40" s="57" t="s">
        <v>62</v>
      </c>
      <c r="T40" s="57" t="s">
        <v>62</v>
      </c>
      <c r="U40" s="57" t="s">
        <v>62</v>
      </c>
      <c r="V40" s="57" t="s">
        <v>62</v>
      </c>
      <c r="W40" s="57" t="s">
        <v>62</v>
      </c>
      <c r="X40" s="67"/>
      <c r="Y40" s="17"/>
      <c r="Z40" s="60">
        <f t="shared" si="18"/>
        <v>282</v>
      </c>
      <c r="AA40" s="61">
        <f t="shared" si="19"/>
        <v>306</v>
      </c>
      <c r="AB40" s="68">
        <f t="shared" si="20"/>
        <v>0.92156862745098034</v>
      </c>
      <c r="AC40" s="17"/>
      <c r="AD40" s="63"/>
      <c r="AE40" s="64"/>
      <c r="AF40" s="65"/>
      <c r="AG40" s="66"/>
      <c r="AH40" s="66"/>
      <c r="AI40" s="66"/>
    </row>
    <row r="41" spans="1:35" ht="14.25" customHeight="1" x14ac:dyDescent="0.2">
      <c r="A41" s="54" t="s">
        <v>70</v>
      </c>
      <c r="B41" s="54" t="s">
        <v>292</v>
      </c>
      <c r="C41" s="54" t="s">
        <v>293</v>
      </c>
      <c r="D41" s="54" t="s">
        <v>63</v>
      </c>
      <c r="E41" s="54" t="s">
        <v>95</v>
      </c>
      <c r="F41" s="54" t="s">
        <v>22</v>
      </c>
      <c r="G41" s="70">
        <v>4.7699999999999996</v>
      </c>
      <c r="H41" s="56" t="s">
        <v>118</v>
      </c>
      <c r="I41" s="57" t="s">
        <v>250</v>
      </c>
      <c r="J41" s="57" t="s">
        <v>294</v>
      </c>
      <c r="K41" s="57" t="s">
        <v>173</v>
      </c>
      <c r="L41" s="57" t="s">
        <v>125</v>
      </c>
      <c r="M41" s="57" t="s">
        <v>130</v>
      </c>
      <c r="N41" s="57" t="s">
        <v>186</v>
      </c>
      <c r="O41" s="67">
        <v>1.1200000000000001</v>
      </c>
      <c r="P41" s="55"/>
      <c r="Q41" s="59" t="s">
        <v>141</v>
      </c>
      <c r="R41" s="57" t="s">
        <v>295</v>
      </c>
      <c r="S41" s="57" t="s">
        <v>296</v>
      </c>
      <c r="T41" s="57" t="s">
        <v>173</v>
      </c>
      <c r="U41" s="57" t="s">
        <v>125</v>
      </c>
      <c r="V41" s="57" t="s">
        <v>126</v>
      </c>
      <c r="W41" s="57" t="s">
        <v>154</v>
      </c>
      <c r="X41" s="67">
        <v>1.0900000000000001</v>
      </c>
      <c r="Y41" s="17"/>
      <c r="Z41" s="60">
        <f t="shared" si="18"/>
        <v>476.99999999999994</v>
      </c>
      <c r="AA41" s="61">
        <f t="shared" si="19"/>
        <v>424.53</v>
      </c>
      <c r="AB41" s="68">
        <f t="shared" si="20"/>
        <v>1.1235955056179774</v>
      </c>
      <c r="AC41" s="17"/>
      <c r="AD41" s="63">
        <f>Q41*G41</f>
        <v>462.68999999999994</v>
      </c>
      <c r="AE41" s="64">
        <f>U41*G41</f>
        <v>424.53</v>
      </c>
      <c r="AF41" s="65">
        <f>AD41/AE41</f>
        <v>1.0898876404494382</v>
      </c>
      <c r="AG41" s="66"/>
      <c r="AH41" s="66"/>
      <c r="AI41" s="66"/>
    </row>
    <row r="42" spans="1:35" ht="14.25" customHeight="1" x14ac:dyDescent="0.2">
      <c r="A42" s="54" t="s">
        <v>70</v>
      </c>
      <c r="B42" s="54" t="s">
        <v>292</v>
      </c>
      <c r="C42" s="54" t="s">
        <v>297</v>
      </c>
      <c r="D42" s="54" t="s">
        <v>68</v>
      </c>
      <c r="E42" s="54" t="s">
        <v>69</v>
      </c>
      <c r="F42" s="54" t="s">
        <v>22</v>
      </c>
      <c r="G42" s="70">
        <v>4.7699999999999996</v>
      </c>
      <c r="H42" s="71" t="s">
        <v>118</v>
      </c>
      <c r="I42" s="72" t="s">
        <v>132</v>
      </c>
      <c r="J42" s="72" t="s">
        <v>132</v>
      </c>
      <c r="K42" s="72" t="s">
        <v>175</v>
      </c>
      <c r="L42" s="72" t="s">
        <v>151</v>
      </c>
      <c r="M42" s="72" t="s">
        <v>130</v>
      </c>
      <c r="N42" s="72" t="s">
        <v>141</v>
      </c>
      <c r="O42" s="73">
        <v>1.03</v>
      </c>
      <c r="P42" s="55"/>
      <c r="Q42" s="74" t="s">
        <v>141</v>
      </c>
      <c r="R42" s="72" t="s">
        <v>62</v>
      </c>
      <c r="S42" s="72" t="s">
        <v>62</v>
      </c>
      <c r="T42" s="72" t="s">
        <v>62</v>
      </c>
      <c r="U42" s="72" t="s">
        <v>62</v>
      </c>
      <c r="V42" s="72" t="s">
        <v>62</v>
      </c>
      <c r="W42" s="72" t="s">
        <v>62</v>
      </c>
      <c r="X42" s="75"/>
      <c r="Y42" s="17"/>
      <c r="Z42" s="76">
        <f t="shared" si="18"/>
        <v>476.99999999999994</v>
      </c>
      <c r="AA42" s="77">
        <f t="shared" si="19"/>
        <v>457.91999999999996</v>
      </c>
      <c r="AB42" s="78">
        <f t="shared" si="20"/>
        <v>1.0416666666666667</v>
      </c>
      <c r="AC42" s="17"/>
      <c r="AD42" s="79"/>
      <c r="AE42" s="80"/>
      <c r="AF42" s="81"/>
      <c r="AG42" s="66"/>
      <c r="AH42" s="66"/>
      <c r="AI42" s="66"/>
    </row>
    <row r="43" spans="1:35" ht="14.2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4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8"/>
      <c r="P44" s="8"/>
      <c r="Q44" s="8"/>
      <c r="R44" s="8"/>
      <c r="S44" s="8"/>
      <c r="T44" s="8"/>
      <c r="U44" s="8"/>
      <c r="V44" s="8"/>
      <c r="W44" s="8"/>
      <c r="X44" s="150" t="s">
        <v>298</v>
      </c>
      <c r="Y44" s="8"/>
      <c r="Z44" s="8"/>
      <c r="AA44" s="8"/>
      <c r="AB44" s="8"/>
      <c r="AC44" s="8"/>
      <c r="AD44" s="151" t="s">
        <v>298</v>
      </c>
      <c r="AE44" s="140"/>
      <c r="AF44" s="140"/>
      <c r="AG44" s="8"/>
      <c r="AH44" s="8"/>
      <c r="AI44" s="8"/>
    </row>
    <row r="45" spans="1:35" ht="14.25" customHeight="1" x14ac:dyDescent="0.25">
      <c r="A45" s="8"/>
      <c r="C45" s="8"/>
      <c r="D45" s="8"/>
      <c r="E45" s="37" t="s">
        <v>299</v>
      </c>
      <c r="F45" s="8"/>
      <c r="G45" s="8" t="s">
        <v>21</v>
      </c>
      <c r="H45" s="8"/>
      <c r="I45" s="8"/>
      <c r="J45" s="8"/>
      <c r="K45" s="8"/>
      <c r="L45" s="8"/>
      <c r="M45" s="8"/>
      <c r="N45" s="8"/>
      <c r="O45" s="18">
        <f>(O5+O7+((O22+O23)/2)+((O37+O38)/2))/4</f>
        <v>1.0150000000000001</v>
      </c>
      <c r="P45" s="8"/>
      <c r="Q45" s="8"/>
      <c r="R45" s="8"/>
      <c r="S45" s="8"/>
      <c r="T45" s="8"/>
      <c r="U45" s="8"/>
      <c r="V45" s="8"/>
      <c r="W45" s="8"/>
      <c r="X45" s="140"/>
      <c r="Y45" s="8"/>
      <c r="Z45" s="82">
        <f t="shared" ref="Z45:AA45" si="24">Z5+Z7+((Z22+Z23)/2)+((Z37+Z38)/2)</f>
        <v>2292.3200000000002</v>
      </c>
      <c r="AA45" s="82">
        <f t="shared" si="24"/>
        <v>2223.8000000000002</v>
      </c>
      <c r="AB45" s="18">
        <f t="shared" ref="AB45:AB48" si="25">Z45/AA45</f>
        <v>1.0308121233923915</v>
      </c>
      <c r="AC45" s="8"/>
      <c r="AD45" s="140"/>
      <c r="AE45" s="140"/>
      <c r="AF45" s="140"/>
      <c r="AG45" s="8"/>
      <c r="AH45" s="8"/>
      <c r="AI45" s="8"/>
    </row>
    <row r="46" spans="1:35" ht="14.25" customHeight="1" x14ac:dyDescent="0.2">
      <c r="A46" s="8"/>
      <c r="C46" s="8"/>
      <c r="D46" s="8"/>
      <c r="E46" s="8"/>
      <c r="F46" s="8"/>
      <c r="G46" s="8" t="s">
        <v>303</v>
      </c>
      <c r="H46" s="8"/>
      <c r="I46" s="8"/>
      <c r="J46" s="8"/>
      <c r="K46" s="8"/>
      <c r="L46" s="8"/>
      <c r="M46" s="8"/>
      <c r="N46" s="8"/>
      <c r="O46" s="100">
        <f>(O11+((O12+O13)/2)+O15+((O18+O19)/2)+((O20+O21)/2)+O24+((O25+O26)/2)+O27+O29+((O31+O32)/2)+((O33+O34)/2)+((O35+O36)/2)+((O39+O40)/2)+((O41+O42)/2)*((O8+O9)/2)+((O16+O17)/2))/16</f>
        <v>1.0618984375000002</v>
      </c>
      <c r="P46" s="8"/>
      <c r="Q46" s="8"/>
      <c r="R46" s="8"/>
      <c r="S46" s="8"/>
      <c r="T46" s="8"/>
      <c r="U46" s="8"/>
      <c r="V46" s="8"/>
      <c r="W46" s="8"/>
      <c r="X46" s="140"/>
      <c r="Y46" s="8"/>
      <c r="Z46" s="101">
        <f>Z11+((Z12+Z13)/2)+Z15+((Z18+Z19)/2)+((Z20+Z21)/2)+Z24+((Z25+Z26)/2)+Z27+Z29+((Z31+Z32)/2)+((Z33+Z34)/2)+((Z35+Z36)/2)+((Z39+Z40)/2)+((Z41+Z42)/2)+((Z8+Z9)/2)+((Z16+Z17)/2)</f>
        <v>18583.11</v>
      </c>
      <c r="AA46" s="102">
        <f>AA11+((AA12+AA13)/2)+AA15+((AA18+AA19)/2)+((AA20+AA21)/2)+AA24+((AA25+AA26)/2)+AA27+AA29+((AA31+AA32)/2)+((AA33+AA34)/2)+((AA35+AA36)/2)+((AA39+AA40)/2)+((AA41+AA42)/2)+((AA8+AA9)/2)+((AA16+AA17)/2)</f>
        <v>17271.605</v>
      </c>
      <c r="AB46" s="103">
        <f t="shared" si="25"/>
        <v>1.0759341705649244</v>
      </c>
      <c r="AC46" s="8"/>
      <c r="AD46" s="140"/>
      <c r="AE46" s="140"/>
      <c r="AF46" s="140"/>
      <c r="AG46" s="8"/>
      <c r="AH46" s="8"/>
      <c r="AI46" s="8"/>
    </row>
    <row r="47" spans="1:35" ht="14.25" customHeight="1" x14ac:dyDescent="0.2">
      <c r="A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140"/>
      <c r="Y47" s="8"/>
      <c r="Z47" s="8"/>
      <c r="AA47" s="8"/>
      <c r="AB47" s="8"/>
      <c r="AC47" s="8"/>
      <c r="AD47" s="140"/>
      <c r="AE47" s="140"/>
      <c r="AF47" s="140"/>
      <c r="AG47" s="8"/>
      <c r="AH47" s="8"/>
      <c r="AI47" s="8"/>
    </row>
    <row r="48" spans="1:35" ht="14.25" customHeight="1" x14ac:dyDescent="0.2">
      <c r="A48" s="8"/>
      <c r="B48" s="8"/>
      <c r="C48" s="8"/>
      <c r="D48" s="8"/>
      <c r="E48" s="8"/>
      <c r="F48" s="8"/>
      <c r="G48" s="8" t="s">
        <v>24</v>
      </c>
      <c r="H48" s="8"/>
      <c r="I48" s="8"/>
      <c r="J48" s="8"/>
      <c r="K48" s="8"/>
      <c r="L48" s="8"/>
      <c r="M48" s="8"/>
      <c r="N48" s="8"/>
      <c r="O48" s="84">
        <f>(O5+O7+((O8+O9)/2)+O11+((O12+O13)/2)+O15+((O16+O17)/2)+((O18+O19)/2)+((O20+O21)/2)+((O22+O23)/2)+O24+((O25+O26)/2)+O27+O29+((O31+O32)/2)+((O33+O34)/2)+((O35+O36)/2)+((O37+O38)/2)+((O39+O40)/2)+((O41+O42)/2))/20</f>
        <v>1.1024999999999998</v>
      </c>
      <c r="P48" s="8"/>
      <c r="Q48" s="8"/>
      <c r="R48" s="8"/>
      <c r="S48" s="8"/>
      <c r="T48" s="8"/>
      <c r="U48" s="8"/>
      <c r="V48" s="8"/>
      <c r="W48" s="8"/>
      <c r="X48" s="140"/>
      <c r="Y48" s="8"/>
      <c r="Z48" s="82">
        <f t="shared" ref="Z48:AA48" si="26">Z45+Z46+Z47</f>
        <v>20875.43</v>
      </c>
      <c r="AA48" s="83">
        <f t="shared" si="26"/>
        <v>19495.404999999999</v>
      </c>
      <c r="AB48" s="18">
        <f t="shared" si="25"/>
        <v>1.0707871931873179</v>
      </c>
      <c r="AC48" s="8"/>
      <c r="AD48" s="140"/>
      <c r="AE48" s="140"/>
      <c r="AF48" s="140"/>
      <c r="AG48" s="8"/>
      <c r="AH48" s="8"/>
      <c r="AI48" s="8"/>
    </row>
    <row r="49" spans="1:35" ht="14.25" customHeight="1" x14ac:dyDescent="0.2">
      <c r="A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8"/>
      <c r="P49" s="8"/>
      <c r="Q49" s="8"/>
      <c r="R49" s="8"/>
      <c r="S49" s="8"/>
      <c r="T49" s="8"/>
      <c r="U49" s="8"/>
      <c r="V49" s="8"/>
      <c r="W49" s="8"/>
      <c r="X49" s="140"/>
      <c r="Y49" s="8"/>
      <c r="Z49" s="8"/>
      <c r="AA49" s="8"/>
      <c r="AB49" s="8"/>
      <c r="AC49" s="8"/>
      <c r="AD49" s="140"/>
      <c r="AE49" s="140"/>
      <c r="AF49" s="140"/>
      <c r="AG49" s="8"/>
      <c r="AH49" s="8"/>
      <c r="AI49" s="8"/>
    </row>
    <row r="50" spans="1:35" ht="14.25" customHeight="1" x14ac:dyDescent="0.2">
      <c r="A50" s="8"/>
      <c r="B50" s="8" t="s">
        <v>300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8"/>
      <c r="P50" s="8"/>
      <c r="Q50" s="8"/>
      <c r="R50" s="8"/>
      <c r="S50" s="8"/>
      <c r="T50" s="8"/>
      <c r="U50" s="8"/>
      <c r="V50" s="8"/>
      <c r="W50" s="8"/>
      <c r="X50" s="140"/>
      <c r="Y50" s="8"/>
      <c r="Z50" s="8"/>
      <c r="AA50" s="8"/>
      <c r="AB50" s="8"/>
      <c r="AC50" s="8"/>
      <c r="AD50" s="140"/>
      <c r="AE50" s="140"/>
      <c r="AF50" s="140"/>
      <c r="AG50" s="8"/>
      <c r="AH50" s="8"/>
      <c r="AI50" s="8"/>
    </row>
    <row r="51" spans="1:35" ht="14.25" customHeight="1" x14ac:dyDescent="0.2">
      <c r="A51" s="8"/>
      <c r="B51" s="8" t="s">
        <v>301</v>
      </c>
      <c r="C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18"/>
      <c r="P51" s="8"/>
      <c r="Q51" s="8"/>
      <c r="R51" s="8"/>
      <c r="S51" s="8"/>
      <c r="T51" s="8"/>
      <c r="U51" s="8"/>
      <c r="V51" s="8"/>
      <c r="W51" s="8"/>
      <c r="X51" s="140"/>
      <c r="Y51" s="8"/>
      <c r="Z51" s="8"/>
      <c r="AA51" s="8"/>
      <c r="AB51" s="8"/>
      <c r="AC51" s="8"/>
      <c r="AD51" s="140"/>
      <c r="AE51" s="140"/>
      <c r="AF51" s="140"/>
      <c r="AG51" s="8"/>
      <c r="AH51" s="8"/>
      <c r="AI51" s="8"/>
    </row>
    <row r="52" spans="1:35" ht="14.25" customHeight="1" x14ac:dyDescent="0.25">
      <c r="A52" s="8"/>
      <c r="B52" s="8" t="s">
        <v>302</v>
      </c>
      <c r="C52" s="8"/>
      <c r="D52" s="8"/>
      <c r="E52" s="142" t="s">
        <v>310</v>
      </c>
      <c r="F52" s="142"/>
      <c r="G52" s="118" t="s">
        <v>21</v>
      </c>
      <c r="H52" s="118"/>
      <c r="I52" s="118"/>
      <c r="J52" s="118"/>
      <c r="K52" s="118"/>
      <c r="L52" s="118"/>
      <c r="M52" s="118"/>
      <c r="N52" s="118"/>
      <c r="O52" s="119">
        <f>AVERAGE(O5,O7,O22,O37)</f>
        <v>1.0425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116">
        <f>Z5+Z7+Z22+Z37</f>
        <v>2292.3200000000002</v>
      </c>
      <c r="AA52" s="116">
        <f>AA5+AA7+AA22+AA37</f>
        <v>2212.3000000000002</v>
      </c>
      <c r="AB52" s="117">
        <f>Z52/AA52</f>
        <v>1.0361705012882521</v>
      </c>
      <c r="AC52" s="8"/>
      <c r="AD52" s="8"/>
      <c r="AE52" s="8"/>
      <c r="AF52" s="8"/>
      <c r="AG52" s="8"/>
      <c r="AH52" s="8"/>
      <c r="AI52" s="8"/>
    </row>
    <row r="53" spans="1:35" ht="14.25" customHeight="1" x14ac:dyDescent="0.25">
      <c r="A53" s="8"/>
      <c r="B53" s="8"/>
      <c r="C53" s="8"/>
      <c r="D53" s="8"/>
      <c r="E53" s="37"/>
      <c r="F53" s="8"/>
      <c r="G53" s="118" t="s">
        <v>303</v>
      </c>
      <c r="H53" s="118"/>
      <c r="I53" s="118"/>
      <c r="J53" s="118"/>
      <c r="K53" s="118"/>
      <c r="L53" s="118"/>
      <c r="M53" s="118"/>
      <c r="N53" s="118"/>
      <c r="O53" s="119">
        <f>AVERAGE(O8,O11,O12,O15,O16,O18,O20,O24,O25,O27,O29,O31,O33,O35,O39,O41)</f>
        <v>1.1781250000000001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116">
        <f>Z8+Z11+Z12+Z15+Z16+Z18+Z20+Z24+Z25+Z27+Z29+Z31+Z33+Z35+Z39+Z41</f>
        <v>18583.109999999997</v>
      </c>
      <c r="AA53" s="116">
        <f>AA8+AA11+AA12+AA15+AA16+AA18+AA20+AA24+AA25+AA27+AA29+AA31+AA33+AA35+AA39+AA41</f>
        <v>16906.739999999998</v>
      </c>
      <c r="AB53" s="117">
        <f>Z53/AA53</f>
        <v>1.0991539468874543</v>
      </c>
      <c r="AF53" s="8"/>
      <c r="AG53" s="8"/>
      <c r="AH53" s="8"/>
      <c r="AI53" s="8"/>
    </row>
    <row r="54" spans="1:35" ht="14.25" customHeight="1" x14ac:dyDescent="0.25">
      <c r="A54" s="8"/>
      <c r="B54" s="8"/>
      <c r="C54" s="8"/>
      <c r="D54" s="8"/>
      <c r="E54" s="8"/>
      <c r="F54" s="8"/>
      <c r="G54" s="118"/>
      <c r="H54" s="118"/>
      <c r="I54" s="118"/>
      <c r="J54" s="118"/>
      <c r="K54" s="118"/>
      <c r="L54" s="118"/>
      <c r="M54" s="118"/>
      <c r="N54" s="118"/>
      <c r="O54" s="120"/>
      <c r="P54" s="8"/>
      <c r="Q54" s="8"/>
      <c r="R54" s="8"/>
      <c r="S54" s="8"/>
      <c r="T54" s="8"/>
      <c r="U54" s="8"/>
      <c r="V54" s="8"/>
      <c r="W54" s="8"/>
      <c r="X54" s="8"/>
      <c r="Y54" s="8"/>
      <c r="Z54" s="99"/>
      <c r="AA54" s="99"/>
      <c r="AB54" s="117"/>
      <c r="AF54" s="8"/>
      <c r="AG54" s="8"/>
      <c r="AH54" s="8"/>
      <c r="AI54" s="8"/>
    </row>
    <row r="55" spans="1:35" ht="14.25" customHeight="1" x14ac:dyDescent="0.2">
      <c r="A55" s="8"/>
      <c r="B55" s="8"/>
      <c r="C55" s="8"/>
      <c r="D55" s="8"/>
      <c r="E55" s="8"/>
      <c r="F55" s="8"/>
      <c r="G55" s="118" t="s">
        <v>24</v>
      </c>
      <c r="H55" s="118"/>
      <c r="I55" s="118"/>
      <c r="J55" s="118"/>
      <c r="K55" s="118"/>
      <c r="L55" s="118"/>
      <c r="M55" s="118"/>
      <c r="N55" s="118"/>
      <c r="O55" s="119">
        <f>AVERAGE(O5,O7,O8,O11,O12,O15,O16,O18,O20,O22,O24,O25,O27,O29,O31,O33,O35,O37,O39,O41)</f>
        <v>1.151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116">
        <f>Z52+Z53</f>
        <v>20875.429999999997</v>
      </c>
      <c r="AA55" s="116">
        <f>AA52+AA53</f>
        <v>19119.039999999997</v>
      </c>
      <c r="AB55" s="117">
        <f t="shared" ref="AB55" si="27">Z55/AA55</f>
        <v>1.0918660141931813</v>
      </c>
      <c r="AF55" s="8"/>
      <c r="AG55" s="8"/>
      <c r="AH55" s="8"/>
      <c r="AI55" s="8"/>
    </row>
    <row r="56" spans="1:35" ht="14.2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37"/>
      <c r="P56" s="8"/>
      <c r="Q56" s="8"/>
      <c r="R56" s="8"/>
      <c r="S56" s="8"/>
      <c r="T56" s="8"/>
      <c r="U56" s="8"/>
      <c r="V56" s="8"/>
      <c r="W56" s="8"/>
      <c r="X56" s="8"/>
      <c r="Y56" s="8"/>
      <c r="AF56" s="8"/>
      <c r="AG56" s="8"/>
      <c r="AH56" s="8"/>
      <c r="AI56" s="8"/>
    </row>
    <row r="57" spans="1:35" ht="14.2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7"/>
      <c r="P57" s="8"/>
      <c r="Q57" s="8"/>
      <c r="R57" s="8"/>
      <c r="S57" s="8"/>
      <c r="T57" s="8"/>
      <c r="U57" s="8"/>
      <c r="V57" s="8"/>
      <c r="W57" s="8"/>
      <c r="X57" s="8"/>
      <c r="Y57" s="8"/>
      <c r="AF57" s="8"/>
      <c r="AG57" s="8"/>
      <c r="AH57" s="8"/>
      <c r="AI57" s="8"/>
    </row>
    <row r="58" spans="1:35" ht="14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7"/>
      <c r="P58" s="8"/>
      <c r="Q58" s="8"/>
      <c r="R58" s="8"/>
      <c r="S58" s="8"/>
      <c r="T58" s="8"/>
      <c r="U58" s="8"/>
      <c r="V58" s="8"/>
      <c r="W58" s="8"/>
      <c r="X58" s="8"/>
      <c r="Y58" s="8"/>
      <c r="Z58" s="37"/>
      <c r="AA58" s="37"/>
      <c r="AB58" s="8"/>
      <c r="AD58" s="8"/>
      <c r="AE58" s="8"/>
      <c r="AF58" s="8"/>
      <c r="AG58" s="8"/>
      <c r="AH58" s="8"/>
      <c r="AI58" s="8"/>
    </row>
    <row r="59" spans="1:35" ht="14.25" customHeight="1" x14ac:dyDescent="0.25">
      <c r="A59" s="8"/>
      <c r="B59" s="128" t="s">
        <v>316</v>
      </c>
      <c r="C59" s="129">
        <v>8.8499999999999995E-2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7"/>
      <c r="P59" s="8"/>
      <c r="Q59" s="8"/>
      <c r="R59" s="8"/>
      <c r="S59" s="8"/>
      <c r="T59" s="8"/>
      <c r="U59" s="8"/>
      <c r="V59" s="8"/>
      <c r="W59" s="8"/>
      <c r="X59" s="8"/>
      <c r="Y59" s="8"/>
      <c r="Z59" s="37"/>
      <c r="AA59" s="37"/>
      <c r="AB59" s="8"/>
      <c r="AC59" s="8"/>
      <c r="AD59" s="8"/>
      <c r="AE59" s="8"/>
      <c r="AF59" s="8"/>
      <c r="AG59" s="8"/>
      <c r="AH59" s="8"/>
      <c r="AI59" s="8"/>
    </row>
    <row r="60" spans="1:35" ht="14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37"/>
      <c r="P60" s="8"/>
      <c r="Q60" s="8"/>
      <c r="R60" s="8"/>
      <c r="S60" s="8"/>
      <c r="T60" s="8"/>
      <c r="U60" s="8"/>
      <c r="V60" s="8"/>
      <c r="W60" s="8"/>
      <c r="X60" s="8"/>
      <c r="Y60" s="8"/>
      <c r="Z60" s="37"/>
      <c r="AA60" s="37"/>
      <c r="AB60" s="8"/>
      <c r="AC60" s="8"/>
      <c r="AD60" s="8"/>
      <c r="AE60" s="8"/>
      <c r="AF60" s="8"/>
      <c r="AG60" s="8"/>
      <c r="AH60" s="8"/>
      <c r="AI60" s="8"/>
    </row>
    <row r="61" spans="1:35" ht="14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37"/>
      <c r="P61" s="8"/>
      <c r="Q61" s="8"/>
      <c r="R61" s="8"/>
      <c r="S61" s="8"/>
      <c r="T61" s="8"/>
      <c r="U61" s="8"/>
      <c r="V61" s="8"/>
      <c r="W61" s="8"/>
      <c r="X61" s="8"/>
      <c r="Y61" s="8"/>
      <c r="Z61" s="37"/>
      <c r="AA61" s="37"/>
      <c r="AB61" s="8"/>
      <c r="AC61" s="8"/>
      <c r="AD61" s="8"/>
      <c r="AE61" s="8"/>
      <c r="AF61" s="8"/>
      <c r="AG61" s="8"/>
      <c r="AH61" s="8"/>
      <c r="AI61" s="8"/>
    </row>
    <row r="62" spans="1:35" ht="14.2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37"/>
      <c r="P62" s="8"/>
      <c r="Q62" s="8"/>
      <c r="R62" s="8"/>
      <c r="S62" s="8"/>
      <c r="T62" s="8"/>
      <c r="U62" s="8"/>
      <c r="V62" s="8"/>
      <c r="W62" s="8"/>
      <c r="X62" s="8"/>
      <c r="Y62" s="8"/>
      <c r="Z62" s="37"/>
      <c r="AA62" s="37"/>
      <c r="AB62" s="8"/>
      <c r="AC62" s="8"/>
      <c r="AD62" s="8"/>
      <c r="AE62" s="8"/>
      <c r="AF62" s="8"/>
      <c r="AG62" s="8"/>
      <c r="AH62" s="8"/>
      <c r="AI62" s="8"/>
    </row>
    <row r="63" spans="1:35" x14ac:dyDescent="0.25">
      <c r="A63" s="8"/>
      <c r="C63" s="8"/>
      <c r="D63" s="8"/>
      <c r="E63" s="37"/>
      <c r="F63" s="8"/>
      <c r="G63" s="8"/>
      <c r="H63" s="8"/>
      <c r="I63" s="8"/>
      <c r="J63" s="8"/>
      <c r="K63" s="8"/>
      <c r="L63" s="8"/>
      <c r="M63" s="8"/>
      <c r="N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ht="14.25" customHeight="1" x14ac:dyDescent="0.2">
      <c r="A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2"/>
      <c r="AB64" s="18"/>
      <c r="AC64" s="8"/>
      <c r="AD64" s="8"/>
      <c r="AE64" s="8"/>
      <c r="AF64" s="8"/>
      <c r="AG64" s="8"/>
      <c r="AH64" s="8"/>
      <c r="AI64" s="8"/>
    </row>
    <row r="65" spans="1:35" ht="14.25" customHeight="1" x14ac:dyDescent="0.25">
      <c r="A65" s="8"/>
      <c r="C65" s="8"/>
      <c r="D65" s="8"/>
      <c r="E65" s="3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ht="14.2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AC66" s="8"/>
      <c r="AD66" s="8"/>
      <c r="AE66" s="8"/>
      <c r="AF66" s="8"/>
      <c r="AG66" s="8"/>
      <c r="AH66" s="8"/>
      <c r="AI66" s="8"/>
    </row>
    <row r="67" spans="1:35" ht="14.2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ht="14.2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37"/>
      <c r="AA68" s="37"/>
      <c r="AB68" s="37"/>
      <c r="AC68" s="37"/>
      <c r="AD68" s="37"/>
      <c r="AE68" s="37"/>
      <c r="AF68" s="8"/>
      <c r="AG68" s="8"/>
      <c r="AH68" s="8"/>
      <c r="AI68" s="8"/>
    </row>
    <row r="69" spans="1:35" ht="14.25" customHeight="1" x14ac:dyDescent="0.25">
      <c r="A69" s="8"/>
      <c r="B69" s="8"/>
      <c r="C69" s="8"/>
      <c r="D69" s="8"/>
      <c r="E69" s="3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AC69" s="8"/>
      <c r="AD69" s="8"/>
      <c r="AE69" s="8"/>
      <c r="AF69" s="8"/>
      <c r="AG69" s="8"/>
      <c r="AH69" s="8"/>
      <c r="AI69" s="8"/>
    </row>
    <row r="70" spans="1:35" ht="14.25" customHeight="1" x14ac:dyDescent="0.25">
      <c r="A70" s="8"/>
      <c r="B70" s="8"/>
      <c r="C70" s="8"/>
      <c r="D70" s="8"/>
      <c r="E70" s="3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B70" s="82"/>
      <c r="AC70" s="8"/>
      <c r="AD70" s="8"/>
      <c r="AE70" s="37"/>
      <c r="AF70" s="8"/>
      <c r="AG70" s="8"/>
      <c r="AH70" s="8"/>
      <c r="AI70" s="8"/>
    </row>
    <row r="71" spans="1:35" ht="14.2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B71" s="8"/>
      <c r="AC71" s="8"/>
      <c r="AD71" s="8"/>
      <c r="AE71" s="8"/>
      <c r="AF71" s="8"/>
      <c r="AG71" s="8"/>
      <c r="AH71" s="8"/>
      <c r="AI71" s="8"/>
    </row>
    <row r="72" spans="1:35" ht="14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ht="14.2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ht="14.2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ht="14.25" customHeight="1" x14ac:dyDescent="0.25">
      <c r="A75" s="8"/>
      <c r="B75" s="8"/>
      <c r="C75" s="8"/>
      <c r="D75" s="8"/>
      <c r="E75" s="3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ht="14.2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ht="14.2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ht="14.2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ht="14.2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ht="14.25" customHeight="1" x14ac:dyDescent="0.25">
      <c r="A80" s="8"/>
      <c r="B80" s="8"/>
      <c r="C80" s="8"/>
      <c r="D80" s="8"/>
      <c r="E80" s="85"/>
      <c r="F80" s="8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ht="14.2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14.2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ht="14.2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ht="14.2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ht="14.25" customHeight="1" x14ac:dyDescent="0.25">
      <c r="A85" s="8"/>
      <c r="B85" s="8"/>
      <c r="C85" s="8"/>
      <c r="D85" s="8"/>
      <c r="E85" s="85"/>
      <c r="F85" s="85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ht="14.2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ht="14.2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ht="14.2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35" ht="14.2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ht="14.2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ht="14.2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ht="14.2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ht="14.2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spans="1:35" ht="14.2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ht="14.2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ht="14.2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4.2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5" ht="14.2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ht="14.2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ht="14.2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ht="14.2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ht="14.2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ht="14.2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ht="14.2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ht="14.2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ht="14.2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1:35" ht="14.2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ht="14.2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ht="14.2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ht="14.2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ht="14.2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ht="14.2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ht="14.2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ht="14.2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35" ht="14.2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ht="14.2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ht="14.2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35" ht="14.2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35" ht="14.2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ht="14.2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ht="14.2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ht="14.2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ht="14.2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ht="14.2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ht="14.2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ht="14.2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ht="14.2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ht="14.2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ht="14.2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ht="14.2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ht="14.2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ht="14.2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1:35" ht="14.2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1:35" ht="14.2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35" ht="14.2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1:35" ht="14.2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1:35" ht="14.2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1:35" ht="14.2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1:35" ht="14.2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5" ht="14.2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5" ht="14.2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1:35" ht="14.2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1:35" ht="14.2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1:35" ht="14.2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1:35" ht="14.2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4.2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1:35" ht="14.2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1:35" ht="14.2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1:35" ht="14.2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1:35" ht="14.2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1:35" ht="14.2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1:35" ht="14.2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1:35" ht="14.2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1:35" ht="14.2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1:35" ht="14.2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1:35" ht="14.2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1:35" ht="14.2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1:35" ht="14.2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1:35" ht="14.2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1:35" ht="14.2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1:35" ht="14.2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1:35" ht="14.2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1:35" ht="14.2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1:35" ht="14.2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1:35" ht="14.2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1:35" ht="14.2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1:35" ht="14.2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1:35" ht="14.2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1:35" ht="14.2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1:35" ht="14.2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1:35" ht="14.2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1:35" ht="14.2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1:35" ht="14.2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1:35" ht="14.2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ht="14.2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ht="14.2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35" ht="14.2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1:35" ht="14.2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1:35" ht="14.2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35" ht="14.2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1:35" ht="14.2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1:35" ht="14.2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1:35" ht="14.2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1:35" ht="14.2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1:35" ht="14.2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1:35" ht="14.2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1:35" ht="14.2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1:35" ht="14.2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1:35" ht="14.2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1:35" ht="14.2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1:35" ht="14.2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1:35" ht="14.2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1:35" ht="14.2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1:35" ht="14.2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1:35" ht="14.2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1:35" ht="14.2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1:35" ht="14.2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1:35" ht="14.2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1:35" ht="14.2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1:35" ht="14.2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1:35" ht="14.2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1:35" ht="14.2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1:35" ht="14.2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1:35" ht="14.2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1:35" ht="14.2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1:35" ht="14.2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1:35" ht="14.2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1:35" ht="14.2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1:35" ht="14.2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35" ht="14.2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1:35" ht="14.2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1:35" ht="14.2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1:35" ht="14.2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1:35" ht="14.2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1:35" ht="14.2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1:35" ht="14.2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1:35" ht="14.2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1:35" ht="14.2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1:35" ht="14.2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1:35" ht="14.2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1:35" ht="14.2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1:35" ht="14.2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1:35" ht="14.2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1:35" ht="14.2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35" ht="14.2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1:35" ht="14.2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1:35" ht="14.2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1:35" ht="14.2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1:35" ht="14.2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1:35" ht="14.2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1:35" ht="14.2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1:35" ht="14.2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1:35" ht="14.2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1:35" ht="14.2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1:35" ht="14.2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1:35" ht="14.2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1:35" ht="14.2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1:35" ht="14.2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1:35" ht="14.2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35" ht="14.2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1:35" ht="14.2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1:35" ht="14.2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1:35" ht="14.2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1:35" ht="14.2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1:35" ht="14.2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1:35" ht="14.2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1:35" ht="14.2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1:35" ht="14.2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1:35" ht="14.2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1:35" ht="14.2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1:35" ht="14.2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1:35" ht="14.2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1:35" ht="14.2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1:35" ht="14.2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35" ht="14.2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1:35" ht="14.2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1:35" ht="14.2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1:35" ht="14.2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1:35" ht="14.2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1:35" ht="14.2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1:35" ht="14.2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1:35" ht="14.2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1:35" ht="14.2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1:35" ht="14.2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1:35" ht="14.2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1:35" ht="14.2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1:35" ht="14.2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1:35" ht="14.2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1:35" ht="14.2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35" ht="14.2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1:35" ht="14.2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1:35" ht="14.2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1:35" ht="14.2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1:35" ht="14.2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1:35" ht="14.2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1:35" ht="14.2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1:35" ht="14.2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1:35" ht="14.2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1:35" ht="14.2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1:35" ht="14.2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1:35" ht="14.2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1:35" ht="14.2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1:35" ht="14.2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1:35" ht="14.2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35" ht="14.2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1:35" ht="14.2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spans="1:35" ht="14.2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spans="1:35" ht="14.2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spans="1:35" ht="14.2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spans="1:35" ht="14.2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spans="1:35" ht="14.2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spans="1:35" ht="14.2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spans="1:35" ht="14.2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spans="1:35" ht="14.2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spans="1:35" ht="14.2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spans="1:35" ht="14.2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spans="1:35" ht="14.2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spans="1:35" ht="14.2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spans="1:35" ht="14.2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35" ht="14.2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spans="1:35" ht="14.2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spans="1:35" ht="14.2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spans="1:35" ht="14.2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spans="1:35" ht="14.2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 spans="1:35" ht="14.2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spans="1:35" ht="14.2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spans="1:35" ht="14.2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 spans="1:35" ht="14.2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spans="1:35" ht="14.2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 spans="1:35" ht="14.2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 spans="1:35" ht="14.2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 spans="1:35" ht="14.2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 spans="1:35" ht="14.2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 spans="1:35" ht="14.2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35" ht="14.2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 spans="1:35" ht="14.2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 spans="1:35" ht="14.2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 spans="1:35" ht="14.2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 spans="1:35" ht="14.2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 spans="1:35" ht="14.2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 spans="1:35" ht="14.2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</row>
    <row r="322" spans="1:35" ht="14.2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</row>
    <row r="323" spans="1:35" ht="14.2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</row>
    <row r="324" spans="1:35" ht="14.2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</row>
    <row r="325" spans="1:35" ht="14.2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 spans="1:35" ht="14.2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 spans="1:35" ht="14.2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</row>
    <row r="328" spans="1:35" ht="14.2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 spans="1:35" ht="14.2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35" ht="14.2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</row>
    <row r="331" spans="1:35" ht="14.2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 spans="1:35" ht="14.2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spans="1:35" ht="14.2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spans="1:35" ht="14.2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spans="1:35" ht="14.2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spans="1:35" ht="14.2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spans="1:35" ht="14.2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spans="1:35" ht="14.2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spans="1:35" ht="14.2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spans="1:35" ht="14.2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spans="1:35" ht="14.2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spans="1:35" ht="14.2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spans="1:35" ht="14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 spans="1:35" ht="14.2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35" ht="14.2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spans="1:35" ht="14.2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 spans="1:35" ht="14.2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 spans="1:35" ht="14.2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 spans="1:35" ht="14.2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 spans="1:35" ht="14.2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 spans="1:35" ht="14.2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 spans="1:35" ht="14.2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 spans="1:35" ht="14.2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 spans="1:35" ht="14.2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 spans="1:35" ht="14.2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 spans="1:35" ht="14.2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 spans="1:35" ht="14.2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 spans="1:35" ht="14.2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 spans="1:35" ht="14.2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35" ht="14.2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 spans="1:35" ht="14.2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 spans="1:35" ht="14.2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 spans="1:35" ht="14.2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 spans="1:35" ht="14.2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 spans="1:35" ht="14.2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 spans="1:35" ht="14.2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 spans="1:35" ht="14.2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 spans="1:35" ht="14.2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 spans="1:35" ht="14.2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 spans="1:35" ht="14.2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 spans="1:35" ht="14.2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 spans="1:35" ht="14.2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 spans="1:35" ht="14.2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 spans="1:35" ht="14.2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35" ht="14.2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 spans="1:35" ht="14.2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 spans="1:35" ht="14.2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 spans="1:35" ht="14.2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 spans="1:35" ht="14.2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 spans="1:35" ht="14.2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 spans="1:35" ht="14.2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 spans="1:35" ht="14.2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 spans="1:35" ht="14.2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 spans="1:35" ht="14.2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 spans="1:35" ht="14.2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 spans="1:35" ht="14.2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 spans="1:35" ht="14.2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 spans="1:35" ht="14.2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 spans="1:35" ht="14.2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35" ht="14.2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 spans="1:35" ht="14.2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 spans="1:35" ht="14.2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 spans="1:35" ht="14.2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 spans="1:35" ht="14.2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 spans="1:35" ht="14.2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 spans="1:35" ht="14.2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 spans="1:35" ht="14.2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 spans="1:35" ht="14.2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 spans="1:35" ht="14.2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 spans="1:35" ht="14.2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 spans="1:35" ht="14.2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 spans="1:35" ht="14.2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 spans="1:35" ht="14.2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 spans="1:35" ht="14.2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35" ht="14.2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 spans="1:35" ht="14.2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 spans="1:35" ht="14.2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 spans="1:35" ht="14.2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 spans="1:35" ht="14.2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 spans="1:35" ht="14.2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 spans="1:35" ht="14.2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 spans="1:35" ht="14.2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 spans="1:35" ht="14.2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 spans="1:35" ht="14.2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 spans="1:35" ht="14.2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 spans="1:35" ht="14.2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 spans="1:35" ht="14.2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 spans="1:35" ht="14.2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 spans="1:35" ht="14.2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35" ht="14.2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 spans="1:35" ht="14.2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 spans="1:35" ht="14.2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 spans="1:35" ht="14.2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 spans="1:35" ht="14.2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 spans="1:35" ht="14.2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 spans="1:35" ht="14.2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 spans="1:35" ht="14.2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 spans="1:35" ht="14.2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 spans="1:35" ht="14.2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 spans="1:35" ht="14.2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 spans="1:35" ht="14.2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 spans="1:35" ht="14.2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 spans="1:35" ht="14.2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 spans="1:35" ht="14.2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35" ht="14.2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 spans="1:35" ht="14.2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</row>
    <row r="437" spans="1:35" ht="14.2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</row>
    <row r="438" spans="1:35" ht="14.2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</row>
    <row r="439" spans="1:35" ht="14.2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</row>
    <row r="440" spans="1:35" ht="14.2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</row>
    <row r="441" spans="1:35" ht="14.2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</row>
    <row r="442" spans="1:35" ht="14.2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</row>
    <row r="443" spans="1:35" ht="14.2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</row>
    <row r="444" spans="1:35" ht="14.2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</row>
    <row r="445" spans="1:35" ht="14.2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</row>
    <row r="446" spans="1:35" ht="14.2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</row>
    <row r="447" spans="1:35" ht="14.2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</row>
    <row r="448" spans="1:35" ht="14.2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</row>
    <row r="449" spans="1:35" ht="14.2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1:35" ht="14.2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</row>
    <row r="451" spans="1:35" ht="14.2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</row>
    <row r="452" spans="1:35" ht="14.2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</row>
    <row r="453" spans="1:35" ht="14.2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</row>
    <row r="454" spans="1:35" ht="14.2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</row>
    <row r="455" spans="1:35" ht="14.2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</row>
    <row r="456" spans="1:35" ht="14.2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</row>
    <row r="457" spans="1:35" ht="14.2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</row>
    <row r="458" spans="1:35" ht="14.2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</row>
    <row r="459" spans="1:35" ht="14.2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</row>
    <row r="460" spans="1:35" ht="14.2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</row>
    <row r="461" spans="1:35" ht="14.2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</row>
    <row r="462" spans="1:35" ht="14.2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</row>
    <row r="463" spans="1:35" ht="14.2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</row>
    <row r="464" spans="1:35" ht="14.2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</row>
    <row r="465" spans="1:35" ht="14.2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</row>
    <row r="466" spans="1:35" ht="14.2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</row>
    <row r="467" spans="1:35" ht="14.2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</row>
    <row r="468" spans="1:35" ht="14.2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</row>
    <row r="469" spans="1:35" ht="14.2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</row>
    <row r="470" spans="1:35" ht="14.2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</row>
    <row r="471" spans="1:35" ht="14.2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</row>
    <row r="472" spans="1:35" ht="14.2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</row>
    <row r="473" spans="1:35" ht="14.2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</row>
    <row r="474" spans="1:35" ht="14.2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</row>
    <row r="475" spans="1:35" ht="14.2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</row>
    <row r="476" spans="1:35" ht="14.2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</row>
    <row r="477" spans="1:35" ht="14.2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</row>
    <row r="478" spans="1:35" ht="14.2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</row>
    <row r="479" spans="1:35" ht="14.2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</row>
    <row r="480" spans="1:35" ht="14.2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</row>
    <row r="481" spans="1:35" ht="14.2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</row>
    <row r="482" spans="1:35" ht="14.2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</row>
    <row r="483" spans="1:35" ht="14.2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</row>
    <row r="484" spans="1:35" ht="14.2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</row>
    <row r="485" spans="1:35" ht="14.2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</row>
    <row r="486" spans="1:35" ht="14.2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</row>
    <row r="487" spans="1:35" ht="14.2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</row>
    <row r="488" spans="1:35" ht="14.2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</row>
    <row r="489" spans="1:35" ht="14.2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</row>
    <row r="490" spans="1:35" ht="14.2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</row>
    <row r="491" spans="1:35" ht="14.2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</row>
    <row r="492" spans="1:35" ht="14.2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</row>
    <row r="493" spans="1:35" ht="14.2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</row>
    <row r="494" spans="1:35" ht="14.2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</row>
    <row r="495" spans="1:35" ht="14.2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</row>
    <row r="496" spans="1:35" ht="14.2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</row>
    <row r="497" spans="1:35" ht="14.2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</row>
    <row r="498" spans="1:35" ht="14.2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</row>
    <row r="499" spans="1:35" ht="14.2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</row>
    <row r="500" spans="1:35" ht="14.2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</row>
    <row r="501" spans="1:35" ht="14.2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</row>
    <row r="502" spans="1:35" ht="14.2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</row>
    <row r="503" spans="1:35" ht="14.2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</row>
    <row r="504" spans="1:35" ht="14.2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</row>
    <row r="505" spans="1:35" ht="14.2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  <row r="506" spans="1:35" ht="14.2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</row>
    <row r="507" spans="1:35" ht="14.2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</row>
    <row r="508" spans="1:35" ht="14.2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</row>
    <row r="509" spans="1:35" ht="14.2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</row>
    <row r="510" spans="1:35" ht="14.2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</row>
    <row r="511" spans="1:35" ht="14.2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</row>
    <row r="512" spans="1:35" ht="14.2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</row>
    <row r="513" spans="1:35" ht="14.2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</row>
    <row r="514" spans="1:35" ht="14.2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</row>
    <row r="515" spans="1:35" ht="14.2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</row>
    <row r="516" spans="1:35" ht="14.2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</row>
    <row r="517" spans="1:35" ht="14.2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</row>
    <row r="518" spans="1:35" ht="14.2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</row>
    <row r="519" spans="1:35" ht="14.2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</row>
    <row r="520" spans="1:35" ht="14.2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</row>
    <row r="521" spans="1:35" ht="14.2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</row>
    <row r="522" spans="1:35" ht="14.2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</row>
    <row r="523" spans="1:35" ht="14.2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</row>
    <row r="524" spans="1:35" ht="14.2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</row>
    <row r="525" spans="1:35" ht="14.2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</row>
    <row r="526" spans="1:35" ht="14.2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</row>
    <row r="527" spans="1:35" ht="14.2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</row>
    <row r="528" spans="1:35" ht="14.2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</row>
    <row r="529" spans="1:35" ht="14.2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</row>
    <row r="530" spans="1:35" ht="14.2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</row>
    <row r="531" spans="1:35" ht="14.2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</row>
    <row r="532" spans="1:35" ht="14.2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</row>
    <row r="533" spans="1:35" ht="14.2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</row>
    <row r="534" spans="1:35" ht="14.2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</row>
    <row r="535" spans="1:35" ht="14.2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</row>
    <row r="536" spans="1:35" ht="14.2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</row>
    <row r="537" spans="1:35" ht="14.2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</row>
    <row r="538" spans="1:35" ht="14.2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</row>
    <row r="539" spans="1:35" ht="14.2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</row>
    <row r="540" spans="1:35" ht="14.2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</row>
    <row r="541" spans="1:35" ht="14.2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</row>
    <row r="542" spans="1:35" ht="14.2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</row>
    <row r="543" spans="1:35" ht="14.2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</row>
    <row r="544" spans="1:35" ht="14.2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</row>
    <row r="545" spans="1:35" ht="14.2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</row>
    <row r="546" spans="1:35" ht="14.2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</row>
    <row r="547" spans="1:35" ht="14.2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</row>
    <row r="548" spans="1:35" ht="14.2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 spans="1:35" ht="14.2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 spans="1:35" ht="14.2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 spans="1:35" ht="14.2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 spans="1:35" ht="14.2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 spans="1:35" ht="14.2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 spans="1:35" ht="14.2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 spans="1:35" ht="14.2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 spans="1:35" ht="14.2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 spans="1:35" ht="14.2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 spans="1:35" ht="14.2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 spans="1:35" ht="14.2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 spans="1:35" ht="14.2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 spans="1:35" ht="14.2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 spans="1:35" ht="14.2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 spans="1:35" ht="14.2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 spans="1:35" ht="14.2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 spans="1:35" ht="14.2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 spans="1:35" ht="14.2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 spans="1:35" ht="14.2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 spans="1:35" ht="14.2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 spans="1:35" ht="14.2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 spans="1:35" ht="14.2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 spans="1:35" ht="14.2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 spans="1:35" ht="14.2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 spans="1:35" ht="14.2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 spans="1:35" ht="14.2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 spans="1:35" ht="14.2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 spans="1:35" ht="14.2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 spans="1:35" ht="14.2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 spans="1:35" ht="14.2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 spans="1:35" ht="14.2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 spans="1:35" ht="14.2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 spans="1:35" ht="14.2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 spans="1:35" ht="14.2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 spans="1:35" ht="14.2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</row>
    <row r="584" spans="1:35" ht="14.2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</row>
    <row r="585" spans="1:35" ht="14.2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</row>
    <row r="586" spans="1:35" ht="14.2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</row>
    <row r="587" spans="1:35" ht="14.2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</row>
    <row r="588" spans="1:35" ht="14.2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</row>
    <row r="589" spans="1:35" ht="14.2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</row>
    <row r="590" spans="1:35" ht="14.2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</row>
    <row r="591" spans="1:35" ht="14.2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</row>
    <row r="592" spans="1:35" ht="14.2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</row>
    <row r="593" spans="1:35" ht="14.2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</row>
    <row r="594" spans="1:35" ht="14.2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</row>
    <row r="595" spans="1:35" ht="14.2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</row>
    <row r="596" spans="1:35" ht="14.2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</row>
    <row r="597" spans="1:35" ht="14.2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</row>
    <row r="598" spans="1:35" ht="14.2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</row>
    <row r="599" spans="1:35" ht="14.2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</row>
    <row r="600" spans="1:35" ht="14.2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</row>
    <row r="601" spans="1:35" ht="14.2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</row>
    <row r="602" spans="1:35" ht="14.2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</row>
    <row r="603" spans="1:35" ht="14.2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</row>
    <row r="604" spans="1:35" ht="14.2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</row>
    <row r="605" spans="1:35" ht="14.2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</row>
    <row r="606" spans="1:35" ht="14.2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</row>
    <row r="607" spans="1:35" ht="14.2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 spans="1:35" ht="14.2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</row>
    <row r="609" spans="1:35" ht="14.2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 spans="1:35" ht="14.2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 spans="1:35" ht="14.2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 spans="1:35" ht="14.2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 spans="1:35" ht="14.2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 spans="1:35" ht="14.2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</row>
    <row r="615" spans="1:35" ht="14.2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 spans="1:35" ht="14.2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 spans="1:35" ht="14.2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 ht="14.2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 ht="14.2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 spans="1:35" ht="14.2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 spans="1:35" ht="14.2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 ht="14.2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 ht="14.2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 ht="14.2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 ht="14.2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 spans="1:35" ht="14.2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 spans="1:35" ht="14.2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 spans="1:35" ht="14.2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 spans="1:35" ht="14.2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 spans="1:35" ht="14.2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 spans="1:35" ht="14.2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 spans="1:35" ht="14.2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 spans="1:35" ht="14.2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 spans="1:35" ht="14.2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 spans="1:35" ht="14.2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 spans="1:35" ht="14.2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 spans="1:35" ht="14.2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 spans="1:35" ht="14.2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  <row r="639" spans="1:35" ht="14.2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</row>
    <row r="640" spans="1:35" ht="14.2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</row>
    <row r="641" spans="1:35" ht="14.2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</row>
    <row r="642" spans="1:35" ht="14.2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</row>
    <row r="643" spans="1:35" ht="14.2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</row>
    <row r="644" spans="1:35" ht="14.2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</row>
    <row r="645" spans="1:35" ht="14.2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</row>
    <row r="646" spans="1:35" ht="14.2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</row>
    <row r="647" spans="1:35" ht="14.2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</row>
    <row r="648" spans="1:35" ht="14.2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</row>
    <row r="649" spans="1:35" ht="14.2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</row>
    <row r="650" spans="1:35" ht="14.2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</row>
    <row r="651" spans="1:35" ht="14.2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</row>
    <row r="652" spans="1:35" ht="14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</row>
    <row r="653" spans="1:35" ht="14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</row>
    <row r="654" spans="1:35" ht="14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</row>
    <row r="655" spans="1:35" ht="14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</row>
    <row r="656" spans="1:35" ht="14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</row>
    <row r="657" spans="1:35" ht="14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</row>
    <row r="658" spans="1:35" ht="14.2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</row>
    <row r="659" spans="1:35" ht="14.2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</row>
    <row r="660" spans="1:35" ht="14.2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</row>
    <row r="661" spans="1:35" ht="14.2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</row>
    <row r="662" spans="1:35" ht="14.2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</row>
    <row r="663" spans="1:35" ht="14.2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</row>
    <row r="664" spans="1:35" ht="14.2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</row>
    <row r="665" spans="1:35" ht="14.2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</row>
    <row r="666" spans="1:35" ht="14.2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</row>
    <row r="667" spans="1:35" ht="14.2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</row>
    <row r="668" spans="1:35" ht="14.2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</row>
    <row r="669" spans="1:35" ht="14.2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</row>
    <row r="670" spans="1:35" ht="14.2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</row>
    <row r="671" spans="1:35" ht="14.2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</row>
    <row r="672" spans="1:35" ht="14.2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</row>
    <row r="673" spans="1:35" ht="14.2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</row>
    <row r="674" spans="1:35" ht="14.2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</row>
    <row r="675" spans="1:35" ht="14.2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</row>
    <row r="676" spans="1:35" ht="14.2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</row>
    <row r="677" spans="1:35" ht="14.2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</row>
    <row r="678" spans="1:35" ht="14.2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</row>
    <row r="679" spans="1:35" ht="14.2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</row>
    <row r="680" spans="1:35" ht="14.2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</row>
    <row r="681" spans="1:35" ht="14.2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</row>
    <row r="682" spans="1:35" ht="14.2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</row>
    <row r="683" spans="1:35" ht="14.2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</row>
    <row r="684" spans="1:35" ht="14.2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</row>
    <row r="685" spans="1:35" ht="14.2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</row>
    <row r="686" spans="1:35" ht="14.2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</row>
    <row r="687" spans="1:35" ht="14.2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</row>
    <row r="688" spans="1:35" ht="14.2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</row>
    <row r="689" spans="1:35" ht="14.2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</row>
    <row r="690" spans="1:35" ht="14.2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</row>
    <row r="691" spans="1:35" ht="14.2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</row>
    <row r="692" spans="1:35" ht="14.2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</row>
    <row r="693" spans="1:35" ht="14.2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</row>
    <row r="694" spans="1:35" ht="14.2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</row>
    <row r="695" spans="1:35" ht="14.2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</row>
    <row r="696" spans="1:35" ht="14.2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</row>
    <row r="697" spans="1:35" ht="14.2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</row>
    <row r="698" spans="1:35" ht="14.2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</row>
    <row r="699" spans="1:35" ht="14.2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</row>
    <row r="700" spans="1:35" ht="14.2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</row>
    <row r="701" spans="1:35" ht="14.2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</row>
    <row r="702" spans="1:35" ht="14.2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</row>
    <row r="703" spans="1:35" ht="14.2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</row>
    <row r="704" spans="1:35" ht="14.2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</row>
    <row r="705" spans="1:35" ht="14.2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</row>
    <row r="706" spans="1:35" ht="14.2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</row>
    <row r="707" spans="1:35" ht="14.2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</row>
    <row r="708" spans="1:35" ht="14.2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</row>
    <row r="709" spans="1:35" ht="14.2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</row>
    <row r="710" spans="1:35" ht="14.2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</row>
    <row r="711" spans="1:35" ht="14.2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</row>
    <row r="712" spans="1:35" ht="14.2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</row>
    <row r="713" spans="1:35" ht="14.2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</row>
    <row r="714" spans="1:35" ht="14.2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</row>
    <row r="715" spans="1:35" ht="14.2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</row>
    <row r="716" spans="1:35" ht="14.2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 spans="1:35" ht="14.2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 spans="1:35" ht="14.2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 spans="1:35" ht="14.2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 spans="1:35" ht="14.2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 spans="1:35" ht="14.2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</row>
    <row r="722" spans="1:35" ht="14.2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</row>
    <row r="723" spans="1:35" ht="14.2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</row>
    <row r="724" spans="1:35" ht="14.2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</row>
    <row r="725" spans="1:35" ht="14.2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</row>
    <row r="726" spans="1:35" ht="14.2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 spans="1:35" ht="14.2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 spans="1:35" ht="14.2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 spans="1:35" ht="14.2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 spans="1:35" ht="14.2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 spans="1:35" ht="14.2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 spans="1:35" ht="14.2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 spans="1:35" ht="14.2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 spans="1:35" ht="14.2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 spans="1:35" ht="14.2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</row>
    <row r="736" spans="1:35" ht="14.2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</row>
    <row r="737" spans="1:35" ht="14.2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</row>
    <row r="738" spans="1:35" ht="14.2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</row>
    <row r="739" spans="1:35" ht="14.2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</row>
    <row r="740" spans="1:35" ht="14.2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</row>
    <row r="741" spans="1:35" ht="14.2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</row>
    <row r="742" spans="1:35" ht="14.2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</row>
    <row r="743" spans="1:35" ht="14.2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</row>
    <row r="744" spans="1:35" ht="14.2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</row>
    <row r="745" spans="1:35" ht="14.2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</row>
    <row r="746" spans="1:35" ht="14.2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</row>
    <row r="747" spans="1:35" ht="14.2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</row>
    <row r="748" spans="1:35" ht="14.2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</row>
    <row r="749" spans="1:35" ht="14.2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</row>
    <row r="750" spans="1:35" ht="14.2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</row>
    <row r="751" spans="1:35" ht="14.2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</row>
    <row r="752" spans="1:35" ht="14.2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</row>
    <row r="753" spans="1:35" ht="14.2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</row>
    <row r="754" spans="1:35" ht="14.2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</row>
    <row r="755" spans="1:35" ht="14.2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</row>
    <row r="756" spans="1:35" ht="14.2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</row>
    <row r="757" spans="1:35" ht="14.2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</row>
    <row r="758" spans="1:35" ht="14.2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</row>
    <row r="759" spans="1:35" ht="14.2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</row>
    <row r="760" spans="1:35" ht="14.2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</row>
    <row r="761" spans="1:35" ht="14.2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</row>
    <row r="762" spans="1:35" ht="14.2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</row>
    <row r="763" spans="1:35" ht="14.2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</row>
    <row r="764" spans="1:35" ht="14.2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</row>
    <row r="765" spans="1:35" ht="14.2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</row>
    <row r="766" spans="1:35" ht="14.2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</row>
    <row r="767" spans="1:35" ht="14.2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</row>
    <row r="768" spans="1:35" ht="14.2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</row>
    <row r="769" spans="1:35" ht="14.2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</row>
    <row r="770" spans="1:35" ht="14.2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</row>
    <row r="771" spans="1:35" ht="14.2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</row>
    <row r="772" spans="1:35" ht="14.2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</row>
    <row r="773" spans="1:35" ht="14.2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</row>
    <row r="774" spans="1:35" ht="14.2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</row>
    <row r="775" spans="1:35" ht="14.2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</row>
    <row r="776" spans="1:35" ht="14.2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</row>
    <row r="777" spans="1:35" ht="14.2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</row>
    <row r="778" spans="1:35" ht="14.2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</row>
    <row r="779" spans="1:35" ht="14.2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</row>
    <row r="780" spans="1:35" ht="14.2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</row>
    <row r="781" spans="1:35" ht="14.2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</row>
    <row r="782" spans="1:35" ht="14.2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</row>
    <row r="783" spans="1:35" ht="14.2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</row>
    <row r="784" spans="1:35" ht="14.2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</row>
    <row r="785" spans="1:35" ht="14.2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</row>
    <row r="786" spans="1:35" ht="14.2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</row>
    <row r="787" spans="1:35" ht="14.2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</row>
    <row r="788" spans="1:35" ht="14.2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</row>
    <row r="789" spans="1:35" ht="14.2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</row>
    <row r="790" spans="1:35" ht="14.2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</row>
    <row r="791" spans="1:35" ht="14.2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</row>
    <row r="792" spans="1:35" ht="14.2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</row>
    <row r="793" spans="1:35" ht="14.2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</row>
    <row r="794" spans="1:35" ht="14.2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</row>
    <row r="795" spans="1:35" ht="14.2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</row>
    <row r="796" spans="1:35" ht="14.2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</row>
    <row r="797" spans="1:35" ht="14.2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</row>
    <row r="798" spans="1:35" ht="14.2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</row>
    <row r="799" spans="1:35" ht="14.2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</row>
    <row r="800" spans="1:35" ht="14.2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</row>
    <row r="801" spans="1:35" ht="14.2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 spans="1:35" ht="14.2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 spans="1:35" ht="14.2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 spans="1:35" ht="14.2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 spans="1:35" ht="14.2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 spans="1:35" ht="14.2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 spans="1:35" ht="14.2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 spans="1:35" ht="14.2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 spans="1:35" ht="14.2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 spans="1:35" ht="14.2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 spans="1:35" ht="14.2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</row>
    <row r="812" spans="1:35" ht="14.2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 spans="1:35" ht="14.2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</row>
    <row r="814" spans="1:35" ht="14.2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 spans="1:35" ht="14.2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</row>
    <row r="816" spans="1:35" ht="14.2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</row>
    <row r="817" spans="1:35" ht="14.2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 spans="1:35" ht="14.2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 spans="1:35" ht="14.2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 spans="1:35" ht="14.2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 spans="1:35" ht="14.2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 spans="1:35" ht="14.2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 spans="1:35" ht="14.2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 spans="1:35" ht="14.2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 spans="1:35" ht="14.2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 spans="1:35" ht="14.2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 spans="1:35" ht="14.2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 spans="1:35" ht="14.2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 spans="1:35" ht="14.2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 spans="1:35" ht="14.2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 spans="1:35" ht="14.2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 spans="1:35" ht="14.2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 spans="1:35" ht="14.2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 spans="1:35" ht="14.2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 spans="1:35" ht="14.2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 spans="1:35" ht="14.2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 spans="1:35" ht="14.2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</row>
    <row r="838" spans="1:35" ht="14.2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</row>
    <row r="839" spans="1:35" ht="14.2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</row>
    <row r="840" spans="1:35" ht="14.2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</row>
    <row r="841" spans="1:35" ht="14.2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</row>
    <row r="842" spans="1:35" ht="14.2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</row>
    <row r="843" spans="1:35" ht="14.2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</row>
    <row r="844" spans="1:35" ht="14.2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</row>
    <row r="845" spans="1:35" ht="14.2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</row>
    <row r="846" spans="1:35" ht="14.2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</row>
    <row r="847" spans="1:35" ht="14.2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</row>
    <row r="848" spans="1:35" ht="14.2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</row>
    <row r="849" spans="1:35" ht="14.2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</row>
    <row r="850" spans="1:35" ht="14.2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</row>
    <row r="851" spans="1:35" ht="14.2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</row>
    <row r="852" spans="1:35" ht="14.2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 spans="1:35" ht="14.2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 spans="1:35" ht="14.2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 spans="1:35" ht="14.2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 spans="1:35" ht="14.2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 spans="1:35" ht="14.2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 spans="1:35" ht="14.2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 spans="1:35" ht="14.2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 spans="1:35" ht="14.2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 spans="1:35" ht="14.2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 spans="1:35" ht="14.2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 spans="1:35" ht="14.2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 spans="1:35" ht="14.2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 spans="1:35" ht="14.2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</row>
    <row r="866" spans="1:35" ht="14.2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</row>
    <row r="867" spans="1:35" ht="14.2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</row>
    <row r="868" spans="1:35" ht="14.2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</row>
    <row r="869" spans="1:35" ht="14.2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</row>
    <row r="870" spans="1:35" ht="14.2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</row>
    <row r="871" spans="1:35" ht="14.2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</row>
    <row r="872" spans="1:35" ht="14.2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</row>
    <row r="873" spans="1:35" ht="14.2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</row>
    <row r="874" spans="1:35" ht="14.2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</row>
    <row r="875" spans="1:35" ht="14.2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</row>
    <row r="876" spans="1:35" ht="14.2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</row>
    <row r="877" spans="1:35" ht="14.2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</row>
    <row r="878" spans="1:35" ht="14.2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</row>
    <row r="879" spans="1:35" ht="14.2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</row>
    <row r="880" spans="1:35" ht="14.2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</row>
    <row r="881" spans="1:35" ht="14.2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</row>
    <row r="882" spans="1:35" ht="14.2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</row>
    <row r="883" spans="1:35" ht="14.2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</row>
    <row r="884" spans="1:35" ht="14.2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</row>
    <row r="885" spans="1:35" ht="14.2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</row>
    <row r="886" spans="1:35" ht="14.2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</row>
    <row r="887" spans="1:35" ht="14.2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</row>
    <row r="888" spans="1:35" ht="14.2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</row>
    <row r="889" spans="1:35" ht="14.2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</row>
    <row r="890" spans="1:35" ht="14.2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</row>
    <row r="891" spans="1:35" ht="14.2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</row>
    <row r="892" spans="1:35" ht="14.2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</row>
    <row r="893" spans="1:35" ht="14.2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</row>
    <row r="894" spans="1:35" ht="14.2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</row>
    <row r="895" spans="1:35" ht="14.2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</row>
    <row r="896" spans="1:35" ht="14.2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</row>
    <row r="897" spans="1:35" ht="14.2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</row>
    <row r="898" spans="1:35" ht="14.2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</row>
    <row r="899" spans="1:35" ht="14.2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</row>
    <row r="900" spans="1:35" ht="14.2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</row>
    <row r="901" spans="1:35" ht="14.2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</row>
    <row r="902" spans="1:35" ht="14.2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</row>
    <row r="903" spans="1:35" ht="14.2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</row>
    <row r="904" spans="1:35" ht="14.2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</row>
    <row r="905" spans="1:35" ht="14.2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</row>
    <row r="906" spans="1:35" ht="14.2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</row>
    <row r="907" spans="1:35" ht="14.2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</row>
    <row r="908" spans="1:35" ht="14.2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</row>
    <row r="909" spans="1:35" ht="14.2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</row>
    <row r="910" spans="1:35" ht="14.2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</row>
    <row r="911" spans="1:35" ht="14.2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</row>
    <row r="912" spans="1:35" ht="14.2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</row>
    <row r="913" spans="1:35" ht="14.2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</row>
    <row r="914" spans="1:35" ht="14.2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</row>
    <row r="915" spans="1:35" ht="14.2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</row>
    <row r="916" spans="1:35" ht="14.2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</row>
    <row r="917" spans="1:35" ht="14.2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</row>
    <row r="918" spans="1:35" ht="14.2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</row>
    <row r="919" spans="1:35" ht="14.2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</row>
    <row r="920" spans="1:35" ht="14.2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 spans="1:35" ht="14.2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</row>
    <row r="922" spans="1:35" ht="14.2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 spans="1:35" ht="14.2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</row>
    <row r="924" spans="1:35" ht="14.2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</row>
    <row r="925" spans="1:35" ht="14.2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</row>
    <row r="926" spans="1:35" ht="14.2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</row>
    <row r="927" spans="1:35" ht="14.2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</row>
    <row r="928" spans="1:35" ht="14.2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</row>
    <row r="929" spans="1:35" ht="14.2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</row>
    <row r="930" spans="1:35" ht="14.2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</row>
    <row r="931" spans="1:35" ht="14.2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</row>
    <row r="932" spans="1:35" ht="14.2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</row>
    <row r="933" spans="1:35" ht="14.2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</row>
    <row r="934" spans="1:35" ht="14.2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</row>
    <row r="935" spans="1:35" ht="14.2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</row>
    <row r="936" spans="1:35" ht="14.2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</row>
    <row r="937" spans="1:35" ht="14.2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</row>
    <row r="938" spans="1:35" ht="14.2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 spans="1:35" ht="14.2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</row>
    <row r="940" spans="1:35" ht="14.2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</row>
    <row r="941" spans="1:35" ht="14.2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</row>
    <row r="942" spans="1:35" ht="14.2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</row>
    <row r="943" spans="1:35" ht="14.2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</row>
    <row r="944" spans="1:35" ht="14.2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</row>
    <row r="945" spans="1:35" ht="14.2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</row>
    <row r="946" spans="1:35" ht="14.2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</row>
    <row r="947" spans="1:35" ht="14.2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</row>
    <row r="948" spans="1:35" ht="14.2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</row>
    <row r="949" spans="1:35" ht="14.2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</row>
    <row r="950" spans="1:35" ht="14.2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</row>
    <row r="951" spans="1:35" ht="14.2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</row>
    <row r="952" spans="1:35" ht="14.2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</row>
    <row r="953" spans="1:35" ht="14.2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</row>
    <row r="954" spans="1:35" ht="14.2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</row>
    <row r="955" spans="1:35" ht="14.2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</row>
    <row r="956" spans="1:35" ht="14.2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</row>
    <row r="957" spans="1:35" ht="14.2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</row>
    <row r="958" spans="1:35" ht="14.2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</row>
    <row r="959" spans="1:35" ht="14.2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</row>
    <row r="960" spans="1:35" ht="14.2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</row>
    <row r="961" spans="1:35" ht="14.2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</row>
    <row r="962" spans="1:35" ht="14.2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</row>
    <row r="963" spans="1:35" ht="14.2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</row>
    <row r="964" spans="1:35" ht="14.2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</row>
    <row r="965" spans="1:35" ht="14.2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</row>
    <row r="966" spans="1:35" ht="14.2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</row>
    <row r="967" spans="1:35" ht="14.2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</row>
    <row r="968" spans="1:35" ht="14.2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</row>
    <row r="969" spans="1:35" ht="14.2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</row>
    <row r="970" spans="1:35" ht="14.2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</row>
    <row r="971" spans="1:35" ht="14.2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</row>
    <row r="972" spans="1:35" ht="14.2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 spans="1:35" ht="14.2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 spans="1:35" ht="14.2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 spans="1:35" ht="14.2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</row>
    <row r="976" spans="1:35" ht="14.2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 spans="1:35" ht="14.2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</row>
    <row r="978" spans="1:35" ht="14.2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</row>
    <row r="979" spans="1:35" ht="14.2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</row>
    <row r="980" spans="1:35" ht="14.2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</row>
    <row r="981" spans="1:35" ht="14.2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</row>
    <row r="982" spans="1:35" ht="14.2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</row>
    <row r="983" spans="1:35" ht="14.2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</row>
    <row r="984" spans="1:35" ht="14.2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</row>
    <row r="985" spans="1:35" ht="14.2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</row>
    <row r="986" spans="1:35" ht="14.2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</row>
    <row r="987" spans="1:35" ht="14.2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</row>
    <row r="988" spans="1:35" ht="14.2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</row>
    <row r="989" spans="1:35" ht="14.2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</row>
    <row r="990" spans="1:35" ht="14.2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</row>
    <row r="991" spans="1:35" ht="14.2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</row>
    <row r="992" spans="1:35" ht="14.2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</row>
    <row r="993" spans="1:35" ht="14.2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</row>
    <row r="994" spans="1:35" ht="14.2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</row>
    <row r="995" spans="1:35" ht="14.2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</row>
    <row r="996" spans="1:35" ht="14.2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</row>
    <row r="997" spans="1:35" ht="14.2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</row>
    <row r="998" spans="1:35" ht="14.2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</row>
  </sheetData>
  <mergeCells count="7">
    <mergeCell ref="E52:F52"/>
    <mergeCell ref="I2:N2"/>
    <mergeCell ref="R2:W2"/>
    <mergeCell ref="Z2:AB2"/>
    <mergeCell ref="AD2:AF2"/>
    <mergeCell ref="X44:X51"/>
    <mergeCell ref="AD44:AF5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Tables</vt:lpstr>
      <vt:lpstr>MBD, MEARIE IF Not Single Agg </vt:lpstr>
      <vt:lpstr>MBD, MEARIE IF Not Corrected</vt:lpstr>
      <vt:lpstr>50-50 Corrected</vt:lpstr>
      <vt:lpstr>50-50 Single Agg</vt:lpstr>
      <vt:lpstr>Data - Corrected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2026-02-24T02:01:24Z</dcterms:created>
  <dcterms:modified xsi:type="dcterms:W3CDTF">2026-02-26T21:53:10Z</dcterms:modified>
</cp:coreProperties>
</file>