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DATA\Finance$\Rates\_Alectra\Rate Applications\EDR Rate Applications\CSAR\0. Application and Adjudicative Process\H. Technical Conference\_FINAL FOR FILING\Live Excel\"/>
    </mc:Choice>
  </mc:AlternateContent>
  <xr:revisionPtr revIDLastSave="0" documentId="13_ncr:1_{B30858E7-DBD3-48BA-9DE9-7946A42FFE03}" xr6:coauthVersionLast="47" xr6:coauthVersionMax="47" xr10:uidLastSave="{00000000-0000-0000-0000-000000000000}"/>
  <bookViews>
    <workbookView xWindow="-110" yWindow="-110" windowWidth="19420" windowHeight="11620" xr2:uid="{F3CE28AB-6CE4-4E9B-9A85-3F60279710E9}"/>
  </bookViews>
  <sheets>
    <sheet name="2027 RR Comparison" sheetId="2" r:id="rId1"/>
    <sheet name="Assumptions" sheetId="1" r:id="rId2"/>
  </sheets>
  <definedNames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TRAIN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ist_Values" hidden="1">#REF!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Order1" hidden="1">255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w1" hidden="1">{#N/A,#N/A,TRUE,"UKUPNO";#N/A,#N/A,TRUE,"PLASMAN";#N/A,#N/A,TRUE,"REKAP"}</definedName>
    <definedName name="_z1" hidden="1">{#N/A,#N/A,TRUE,"UKUPNO";#N/A,#N/A,TRUE,"PLASMAN";#N/A,#N/A,TRUE,"REKAP"}</definedName>
    <definedName name="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{#N/A,#N/A,FALSE,"CLAIMS";#N/A,#N/A,FALSE,"EXPENSE";#N/A,#N/A,FALSE,"CAPITAL"}</definedName>
    <definedName name="AccessDatabase" hidden="1">"C:\My Documents\発注予測.mdb"</definedName>
    <definedName name="ads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"AS2DocumentBrowse"</definedName>
    <definedName name="as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LPH1" hidden="1">#REF!</definedName>
    <definedName name="BLPH2" hidden="1">#REF!</definedName>
    <definedName name="BLPH3" hidden="1">#REF!</definedName>
    <definedName name="CIQWBGuid" hidden="1">"b2a64c6c-42e0-40ff-84b5-17e326ba1c46"</definedName>
    <definedName name="dyfhn" hidden="1">{#N/A,#N/A,FALSE,"Aging Summary";#N/A,#N/A,FALSE,"Ratio Analysis";#N/A,#N/A,FALSE,"Test 120 Day Accts";#N/A,#N/A,FALSE,"Tickmarks"}</definedName>
    <definedName name="EV__LASTREFTIME__" hidden="1">39729.3809143519</definedName>
    <definedName name="fg" hidden="1">{#N/A,#N/A,FALSE,"Aging Summary";#N/A,#N/A,FALSE,"Ratio Analysis";#N/A,#N/A,FALSE,"Test 120 Day Accts";#N/A,#N/A,FALSE,"Tickmarks"}</definedName>
    <definedName name="Fill2" hidden="1">#REF!</definedName>
    <definedName name="g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1" hidden="1">"c189"</definedName>
    <definedName name="IQ_EPS_EST_REUT" hidden="1">"c5453"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_REUT" hidden="1">"c5395"</definedName>
    <definedName name="IQ_EST_ACT_EPS_NORM_REUT" hidden="1">"c5332"</definedName>
    <definedName name="IQ_EST_ACT_EPS_PRIMARY" hidden="1">"c2232"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URPRISE" hidden="1">"c1635"</definedName>
    <definedName name="IQ_EST_NUM_BUY_REUT" hidden="1">"c3869"</definedName>
    <definedName name="IQ_EST_NUM_BUY_THOM" hidden="1">"c5165"</definedName>
    <definedName name="IQ_EST_NUM_HOLD_REUT" hidden="1">"c3871"</definedName>
    <definedName name="IQ_EST_NUM_HOLD_THOM" hidden="1">"c5167"</definedName>
    <definedName name="IQ_EST_NUM_OUTPERFORM_REUT" hidden="1">"c3870"</definedName>
    <definedName name="IQ_EST_NUM_OUTPERFORM_THOM" hidden="1">"c5166"</definedName>
    <definedName name="IQ_EST_NUM_SELL_REUT" hidden="1">"c3873"</definedName>
    <definedName name="IQ_EST_NUM_SELL_THOM" hidden="1">"c5169"</definedName>
    <definedName name="IQ_EST_NUM_UNDERPERFORM_REUT" hidden="1">"c3872"</definedName>
    <definedName name="IQ_EST_NUM_UNDERPERFORM_THOM" hidden="1">"c5168"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FLOAT" hidden="1">"c227"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"c1126"</definedName>
    <definedName name="IQ_REVENUE_EST_1" hidden="1">"c190"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39735.905150463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taly" hidden="1">#REF!</definedName>
    <definedName name="jhnhgg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istlist" hidden="1">#REF!</definedName>
    <definedName name="ListOffset" hidden="1">1</definedName>
    <definedName name="m" hidden="1">{#N/A,#N/A,FALSE,"Aging Summary";#N/A,#N/A,FALSE,"Ratio Analysis";#N/A,#N/A,FALSE,"Test 120 Day Accts";#N/A,#N/A,FALSE,"Tickmarks"}</definedName>
    <definedName name="MM" hidden="1">#N/A</definedName>
    <definedName name="o" hidden="1">{#N/A,#N/A,FALSE,"New Depr Sch-150% DB";#N/A,#N/A,FALSE,"Cash Flows RLP";#N/A,#N/A,FALSE,"IRR";#N/A,#N/A,FALSE,"Proforma IS";#N/A,#N/A,FALSE,"Assumptions"}</definedName>
    <definedName name="_xlnm.Print_Area" localSheetId="1">Assumptions!$A$1:$I$76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r" hidden="1">{#N/A,#N/A,FALSE,"Aging Summary";#N/A,#N/A,FALSE,"Ratio Analysis";#N/A,#N/A,FALSE,"Test 120 Day Accts";#N/A,#N/A,FALSE,"Tickmarks"}</definedName>
    <definedName name="SAPBEXrevision" hidden="1">9</definedName>
    <definedName name="SAPBEXsysID" hidden="1">"BWP"</definedName>
    <definedName name="SAPBEXwbID" hidden="1">"451N6G6HNH5M7RVWKXOTIVLAA"</definedName>
    <definedName name="SDF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u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rn.1996._.PROPERTY._.AND._.BUSINESS._.INTERRUPTION._.VALUES." hidden="1">{#N/A,#N/A,TRUE,"96PROP"}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ssumptions." hidden="1">{"assumptions1",#N/A,FALSE,"Valuation Analysis";"assumptions2",#N/A,FALSE,"Valuation Analysis"}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documentation." hidden="1">{"documentation1",#N/A,FALSE,"Documentation";"documentation2",#N/A,FALSE,"Documentation"}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OOTNOTES." hidden="1">{"Footnotespg1",#N/A,FALSE,"Footnotes";"Footnotespg2",#N/A,FALSE,"Footnotes"}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historical._.performance." hidden="1">{"historical acquirer",#N/A,FALSE,"Historical Performance";"historical target",#N/A,FALSE,"Historical Performance"}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PARTNERS._.CAPITAL._.STMT." hidden="1">{"PARTNERS CAPITAL STMT",#N/A,FALSE,"Partners Capital"}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土地." hidden="1">{"土地",#N/A,FALSE,"土地建物"}</definedName>
    <definedName name="wrn.建物." hidden="1">{"建物",#N/A,FALSE,"土地建物"}</definedName>
    <definedName name="x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z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E56" i="2" s="1"/>
  <c r="E49" i="2"/>
  <c r="E51" i="2" s="1"/>
  <c r="E43" i="2"/>
  <c r="D43" i="2"/>
  <c r="E33" i="2"/>
  <c r="D33" i="2"/>
  <c r="E23" i="2"/>
  <c r="E24" i="2" s="1"/>
  <c r="D23" i="2"/>
  <c r="D24" i="2" s="1"/>
  <c r="E14" i="2"/>
  <c r="D14" i="2"/>
  <c r="C10" i="2"/>
  <c r="H74" i="1"/>
  <c r="G74" i="1"/>
  <c r="F74" i="1"/>
  <c r="E74" i="1"/>
  <c r="H71" i="1"/>
  <c r="G71" i="1"/>
  <c r="F71" i="1"/>
  <c r="E71" i="1"/>
  <c r="I71" i="1" s="1"/>
  <c r="E8" i="1" s="1"/>
  <c r="I69" i="1"/>
  <c r="F61" i="1"/>
  <c r="E7" i="1" s="1"/>
  <c r="E61" i="1"/>
  <c r="G60" i="1"/>
  <c r="E11" i="1" s="1"/>
  <c r="C11" i="2" s="1"/>
  <c r="E28" i="1"/>
  <c r="E23" i="1"/>
  <c r="I74" i="1" l="1"/>
  <c r="D37" i="2"/>
  <c r="D15" i="2"/>
  <c r="E37" i="2"/>
  <c r="E15" i="2"/>
  <c r="E11" i="2"/>
  <c r="E10" i="2"/>
  <c r="E58" i="2"/>
  <c r="E17" i="2" s="1"/>
  <c r="D11" i="2"/>
  <c r="D10" i="2"/>
  <c r="D36" i="2" l="1"/>
  <c r="D39" i="2" s="1"/>
  <c r="D40" i="2" s="1"/>
  <c r="D44" i="2" s="1"/>
  <c r="D16" i="2" s="1"/>
  <c r="D12" i="2"/>
  <c r="E12" i="2"/>
  <c r="E36" i="2"/>
  <c r="E39" i="2" s="1"/>
  <c r="E40" i="2" s="1"/>
  <c r="E44" i="2" s="1"/>
  <c r="E16" i="2" s="1"/>
  <c r="D18" i="2" l="1"/>
  <c r="E18" i="2"/>
</calcChain>
</file>

<file path=xl/sharedStrings.xml><?xml version="1.0" encoding="utf-8"?>
<sst xmlns="http://schemas.openxmlformats.org/spreadsheetml/2006/main" count="108" uniqueCount="98">
  <si>
    <t>Major Assumptions</t>
  </si>
  <si>
    <t>Tax Rate</t>
  </si>
  <si>
    <t>OEB Inflation</t>
  </si>
  <si>
    <t>OEB stretch factor</t>
  </si>
  <si>
    <t>Discount Rate (deemed)</t>
  </si>
  <si>
    <t>Discount Rate (actual)</t>
  </si>
  <si>
    <t>Interest on short term debt</t>
  </si>
  <si>
    <t>Interest on long term debt (actual)</t>
  </si>
  <si>
    <t>Interest on total debt (deemed)</t>
  </si>
  <si>
    <t>Working capital allowance</t>
  </si>
  <si>
    <t>Funding of capital (debt/investment ratio)</t>
  </si>
  <si>
    <t>Annual Repayment of debt as % of depreciation (cap)</t>
  </si>
  <si>
    <t>Period</t>
  </si>
  <si>
    <t xml:space="preserve">Years </t>
  </si>
  <si>
    <t>New Building</t>
  </si>
  <si>
    <t>Land Value</t>
  </si>
  <si>
    <t>Capital costs</t>
  </si>
  <si>
    <t xml:space="preserve">Building Costs (incl. capitalized interest and construction costs) </t>
  </si>
  <si>
    <t>Building Interest</t>
  </si>
  <si>
    <t xml:space="preserve">Operating Costs </t>
  </si>
  <si>
    <t>Operating Cost per SQ Foot</t>
  </si>
  <si>
    <t>Estimated SQ</t>
  </si>
  <si>
    <t>Operating Costs - 2023</t>
  </si>
  <si>
    <t>Annual operating cost increase from 2023-2048</t>
  </si>
  <si>
    <t xml:space="preserve">Sale Price </t>
  </si>
  <si>
    <t>Mavis</t>
  </si>
  <si>
    <t>Sandalwood</t>
  </si>
  <si>
    <t>Sale Price Growth Rate</t>
  </si>
  <si>
    <t>tbd</t>
  </si>
  <si>
    <t>Capital Additions</t>
  </si>
  <si>
    <t>Depreciation - Years - new building</t>
  </si>
  <si>
    <t>Depreciation - Years - new additions</t>
  </si>
  <si>
    <t>OEB Approval Rate</t>
  </si>
  <si>
    <t>Mavis and Sandalwood Refit Costs (2024-26 only; Affects Status Quo)</t>
  </si>
  <si>
    <t>Original Kennedy Capital Costs (ongoing capital @100%)</t>
  </si>
  <si>
    <t>Capital gain returned to rate payers</t>
  </si>
  <si>
    <t>Amortization of capital gain for regulatory purpose, years</t>
  </si>
  <si>
    <t>Mavis - land</t>
  </si>
  <si>
    <t>Mavis -annual reduction in lease payments after purchase in 2024</t>
  </si>
  <si>
    <t>% infrastucture (not demolished)</t>
  </si>
  <si>
    <t>Mavis and Sandalwood:</t>
  </si>
  <si>
    <t>% of originally planned capex to be spent in 2019-2023</t>
  </si>
  <si>
    <t>WACC Calculation</t>
  </si>
  <si>
    <t>Deemed equity</t>
  </si>
  <si>
    <t>Deemed long term debt</t>
  </si>
  <si>
    <t>Deemed short term debt</t>
  </si>
  <si>
    <t>Calculation of Cost of Capital (2018, from Reg. team)</t>
  </si>
  <si>
    <t>ERZ</t>
  </si>
  <si>
    <t>HRZ</t>
  </si>
  <si>
    <t>BRZ</t>
  </si>
  <si>
    <t>PRZ</t>
  </si>
  <si>
    <t>Alectra</t>
  </si>
  <si>
    <t xml:space="preserve">Long Term Debt portion </t>
  </si>
  <si>
    <t>Equity portion</t>
  </si>
  <si>
    <t>Short Term Debt portion</t>
  </si>
  <si>
    <t>Cost of Long Term Debt</t>
  </si>
  <si>
    <t xml:space="preserve">Cost of Equity </t>
  </si>
  <si>
    <t xml:space="preserve">Cost of Short Term Debt </t>
  </si>
  <si>
    <t>2018 Cost of Capital</t>
  </si>
  <si>
    <t xml:space="preserve">% - approved RB </t>
  </si>
  <si>
    <t>Cost of debt</t>
  </si>
  <si>
    <t>2027 Revenue Requirement Calculation</t>
  </si>
  <si>
    <t>($MMs)</t>
  </si>
  <si>
    <t>Kennedy</t>
  </si>
  <si>
    <t>Retrofit</t>
  </si>
  <si>
    <t>Option 2</t>
  </si>
  <si>
    <t>Option 3</t>
  </si>
  <si>
    <t xml:space="preserve">Revenue Requirement </t>
  </si>
  <si>
    <t>Return on deemed equity (40%)</t>
  </si>
  <si>
    <t>Return on deemed debt (60%)</t>
  </si>
  <si>
    <t>Total Return on RB</t>
  </si>
  <si>
    <t>Add:</t>
  </si>
  <si>
    <t>OM&amp;A</t>
  </si>
  <si>
    <t>Depreciation</t>
  </si>
  <si>
    <t>PILS</t>
  </si>
  <si>
    <t>Gain on Sale for Option 3 - offset over 5 years</t>
  </si>
  <si>
    <t>Revenue Requirement</t>
  </si>
  <si>
    <t>Asset Value</t>
  </si>
  <si>
    <t>Asset Value in Rate Base</t>
  </si>
  <si>
    <t>WCA (% of OM&amp;A)</t>
  </si>
  <si>
    <t>Total Rate Base for RR Return</t>
  </si>
  <si>
    <t>Mavis Depreciation</t>
  </si>
  <si>
    <t>Sandalwood Depreciation</t>
  </si>
  <si>
    <t>Kennedy Depreciation</t>
  </si>
  <si>
    <t>PILS Calculation</t>
  </si>
  <si>
    <t>Regulatory net income</t>
  </si>
  <si>
    <t>Add: Depreciation</t>
  </si>
  <si>
    <t>Less: CCA</t>
  </si>
  <si>
    <t>Taxable income</t>
  </si>
  <si>
    <t>Tax rate</t>
  </si>
  <si>
    <t>Gross up factor</t>
  </si>
  <si>
    <t>Grossed up PILs</t>
  </si>
  <si>
    <t>Gain on Sale</t>
  </si>
  <si>
    <t>Proceeds</t>
  </si>
  <si>
    <t xml:space="preserve">NBV  in 2022 </t>
  </si>
  <si>
    <t>Forecast Gain/(Loss) on Sale</t>
  </si>
  <si>
    <t>Gain/(Loss) on Sale</t>
  </si>
  <si>
    <t>Total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</si>
</sst>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.0_);_(&quot;$&quot;* \(#,##0.0\);_(&quot;$&quot;* &quot;-&quot;??_);_(@_)"/>
    <numFmt numFmtId="167" formatCode="&quot;$&quot;#,##0;[Red]\-&quot;$&quot;#,##0"/>
    <numFmt numFmtId="168" formatCode="&quot;$&quot;#,##0.0"/>
    <numFmt numFmtId="169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1" fillId="0" borderId="0" xfId="0" applyFont="1"/>
    <xf numFmtId="10" fontId="5" fillId="0" borderId="5" xfId="3" applyNumberFormat="1" applyFont="1" applyFill="1" applyBorder="1"/>
    <xf numFmtId="165" fontId="5" fillId="0" borderId="5" xfId="0" applyNumberFormat="1" applyFont="1" applyBorder="1"/>
    <xf numFmtId="165" fontId="5" fillId="0" borderId="8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Continuous"/>
    </xf>
    <xf numFmtId="0" fontId="4" fillId="0" borderId="0" xfId="0" applyFont="1"/>
    <xf numFmtId="10" fontId="4" fillId="0" borderId="0" xfId="3" applyNumberFormat="1" applyFont="1" applyAlignment="1">
      <alignment horizontal="centerContinuous"/>
    </xf>
    <xf numFmtId="168" fontId="4" fillId="0" borderId="0" xfId="1" applyNumberFormat="1" applyFont="1"/>
    <xf numFmtId="168" fontId="4" fillId="0" borderId="9" xfId="1" applyNumberFormat="1" applyFont="1" applyBorder="1"/>
    <xf numFmtId="168" fontId="4" fillId="0" borderId="0" xfId="1" applyNumberFormat="1" applyFont="1" applyBorder="1"/>
    <xf numFmtId="165" fontId="6" fillId="0" borderId="0" xfId="1" applyNumberFormat="1" applyFont="1" applyBorder="1" applyAlignment="1">
      <alignment horizontal="centerContinuous"/>
    </xf>
    <xf numFmtId="168" fontId="6" fillId="0" borderId="9" xfId="1" applyNumberFormat="1" applyFont="1" applyBorder="1"/>
    <xf numFmtId="168" fontId="1" fillId="0" borderId="0" xfId="0" applyNumberFormat="1" applyFont="1"/>
    <xf numFmtId="0" fontId="6" fillId="4" borderId="0" xfId="0" applyFont="1" applyFill="1"/>
    <xf numFmtId="0" fontId="1" fillId="4" borderId="0" xfId="0" applyFont="1" applyFill="1" applyAlignment="1">
      <alignment horizontal="centerContinuous"/>
    </xf>
    <xf numFmtId="168" fontId="1" fillId="4" borderId="0" xfId="0" applyNumberFormat="1" applyFont="1" applyFill="1"/>
    <xf numFmtId="0" fontId="4" fillId="4" borderId="0" xfId="0" applyFont="1" applyFill="1"/>
    <xf numFmtId="0" fontId="4" fillId="4" borderId="0" xfId="0" applyFont="1" applyFill="1" applyAlignment="1">
      <alignment horizontal="centerContinuous"/>
    </xf>
    <xf numFmtId="168" fontId="4" fillId="4" borderId="0" xfId="1" applyNumberFormat="1" applyFont="1" applyFill="1"/>
    <xf numFmtId="10" fontId="4" fillId="4" borderId="0" xfId="3" applyNumberFormat="1" applyFont="1" applyFill="1" applyAlignment="1">
      <alignment horizontal="centerContinuous"/>
    </xf>
    <xf numFmtId="168" fontId="6" fillId="4" borderId="9" xfId="1" applyNumberFormat="1" applyFont="1" applyFill="1" applyBorder="1"/>
    <xf numFmtId="168" fontId="4" fillId="4" borderId="0" xfId="1" applyNumberFormat="1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centerContinuous"/>
    </xf>
    <xf numFmtId="165" fontId="1" fillId="4" borderId="0" xfId="1" applyNumberFormat="1" applyFont="1" applyFill="1" applyBorder="1"/>
    <xf numFmtId="165" fontId="1" fillId="4" borderId="0" xfId="1" applyNumberFormat="1" applyFont="1" applyFill="1" applyBorder="1" applyAlignment="1">
      <alignment horizontal="centerContinuous"/>
    </xf>
    <xf numFmtId="168" fontId="4" fillId="4" borderId="9" xfId="1" applyNumberFormat="1" applyFont="1" applyFill="1" applyBorder="1"/>
    <xf numFmtId="165" fontId="1" fillId="4" borderId="0" xfId="0" applyNumberFormat="1" applyFont="1" applyFill="1"/>
    <xf numFmtId="165" fontId="1" fillId="4" borderId="0" xfId="0" applyNumberFormat="1" applyFont="1" applyFill="1" applyAlignment="1">
      <alignment horizontal="centerContinuous"/>
    </xf>
    <xf numFmtId="169" fontId="1" fillId="4" borderId="0" xfId="0" applyNumberFormat="1" applyFont="1" applyFill="1"/>
    <xf numFmtId="165" fontId="1" fillId="4" borderId="0" xfId="1" applyNumberFormat="1" applyFont="1" applyFill="1"/>
    <xf numFmtId="43" fontId="4" fillId="4" borderId="0" xfId="2" applyNumberFormat="1" applyFont="1" applyFill="1"/>
    <xf numFmtId="0" fontId="1" fillId="4" borderId="0" xfId="0" applyFont="1" applyFill="1"/>
    <xf numFmtId="0" fontId="8" fillId="4" borderId="0" xfId="0" applyFont="1" applyFill="1"/>
    <xf numFmtId="169" fontId="4" fillId="4" borderId="0" xfId="1" applyNumberFormat="1" applyFont="1" applyFill="1" applyBorder="1"/>
    <xf numFmtId="169" fontId="1" fillId="4" borderId="9" xfId="0" applyNumberFormat="1" applyFont="1" applyFill="1" applyBorder="1"/>
    <xf numFmtId="165" fontId="4" fillId="4" borderId="0" xfId="1" applyNumberFormat="1" applyFont="1" applyFill="1" applyBorder="1"/>
    <xf numFmtId="0" fontId="0" fillId="0" borderId="0" xfId="0" applyAlignment="1">
      <alignment horizontal="centerContinuous"/>
    </xf>
    <xf numFmtId="0" fontId="9" fillId="0" borderId="0" xfId="0" applyFont="1"/>
    <xf numFmtId="0" fontId="5" fillId="0" borderId="0" xfId="0" applyFont="1"/>
    <xf numFmtId="0" fontId="5" fillId="2" borderId="0" xfId="0" applyFont="1" applyFill="1"/>
    <xf numFmtId="43" fontId="5" fillId="0" borderId="0" xfId="1" applyFont="1"/>
    <xf numFmtId="0" fontId="5" fillId="0" borderId="1" xfId="0" applyFont="1" applyBorder="1"/>
    <xf numFmtId="0" fontId="5" fillId="0" borderId="2" xfId="0" applyFont="1" applyBorder="1"/>
    <xf numFmtId="10" fontId="5" fillId="0" borderId="3" xfId="0" applyNumberFormat="1" applyFont="1" applyBorder="1"/>
    <xf numFmtId="0" fontId="5" fillId="0" borderId="4" xfId="0" applyFont="1" applyBorder="1"/>
    <xf numFmtId="10" fontId="5" fillId="0" borderId="5" xfId="0" applyNumberFormat="1" applyFont="1" applyBorder="1"/>
    <xf numFmtId="164" fontId="5" fillId="0" borderId="5" xfId="3" applyNumberFormat="1" applyFont="1" applyFill="1" applyBorder="1"/>
    <xf numFmtId="14" fontId="5" fillId="0" borderId="0" xfId="0" applyNumberFormat="1" applyFont="1"/>
    <xf numFmtId="0" fontId="5" fillId="0" borderId="6" xfId="0" applyFont="1" applyBorder="1"/>
    <xf numFmtId="0" fontId="5" fillId="0" borderId="7" xfId="0" applyFont="1" applyBorder="1"/>
    <xf numFmtId="10" fontId="5" fillId="0" borderId="8" xfId="3" applyNumberFormat="1" applyFont="1" applyFill="1" applyBorder="1"/>
    <xf numFmtId="10" fontId="5" fillId="0" borderId="0" xfId="3" applyNumberFormat="1" applyFont="1" applyFill="1"/>
    <xf numFmtId="165" fontId="5" fillId="0" borderId="0" xfId="0" applyNumberFormat="1" applyFont="1"/>
    <xf numFmtId="0" fontId="9" fillId="0" borderId="1" xfId="0" applyFont="1" applyBorder="1"/>
    <xf numFmtId="165" fontId="5" fillId="0" borderId="3" xfId="0" applyNumberFormat="1" applyFont="1" applyBorder="1"/>
    <xf numFmtId="0" fontId="9" fillId="0" borderId="4" xfId="0" applyFont="1" applyBorder="1"/>
    <xf numFmtId="0" fontId="5" fillId="0" borderId="0" xfId="0" applyFont="1" applyAlignment="1">
      <alignment horizontal="left"/>
    </xf>
    <xf numFmtId="166" fontId="5" fillId="0" borderId="5" xfId="2" applyNumberFormat="1" applyFont="1" applyBorder="1"/>
    <xf numFmtId="0" fontId="5" fillId="0" borderId="8" xfId="0" applyFont="1" applyBorder="1"/>
    <xf numFmtId="167" fontId="5" fillId="0" borderId="2" xfId="0" applyNumberFormat="1" applyFont="1" applyBorder="1"/>
    <xf numFmtId="165" fontId="5" fillId="0" borderId="2" xfId="1" applyNumberFormat="1" applyFont="1" applyBorder="1"/>
    <xf numFmtId="165" fontId="5" fillId="0" borderId="3" xfId="1" applyNumberFormat="1" applyFont="1" applyBorder="1"/>
    <xf numFmtId="167" fontId="5" fillId="0" borderId="0" xfId="0" applyNumberFormat="1" applyFont="1"/>
    <xf numFmtId="165" fontId="5" fillId="0" borderId="0" xfId="1" applyNumberFormat="1" applyFont="1" applyBorder="1"/>
    <xf numFmtId="167" fontId="5" fillId="0" borderId="7" xfId="0" applyNumberFormat="1" applyFont="1" applyBorder="1"/>
    <xf numFmtId="165" fontId="5" fillId="0" borderId="7" xfId="1" applyNumberFormat="1" applyFont="1" applyBorder="1"/>
    <xf numFmtId="10" fontId="5" fillId="3" borderId="0" xfId="0" applyNumberFormat="1" applyFont="1" applyFill="1"/>
    <xf numFmtId="0" fontId="5" fillId="0" borderId="3" xfId="0" applyFont="1" applyBorder="1"/>
    <xf numFmtId="165" fontId="5" fillId="0" borderId="0" xfId="1" applyNumberFormat="1" applyFont="1" applyFill="1"/>
    <xf numFmtId="165" fontId="5" fillId="0" borderId="0" xfId="1" applyNumberFormat="1" applyFont="1"/>
    <xf numFmtId="164" fontId="5" fillId="0" borderId="8" xfId="3" applyNumberFormat="1" applyFont="1" applyFill="1" applyBorder="1"/>
    <xf numFmtId="0" fontId="10" fillId="0" borderId="1" xfId="0" applyFont="1" applyBorder="1"/>
    <xf numFmtId="0" fontId="5" fillId="0" borderId="5" xfId="0" applyFont="1" applyBorder="1"/>
    <xf numFmtId="9" fontId="5" fillId="5" borderId="0" xfId="0" applyNumberFormat="1" applyFont="1" applyFill="1"/>
    <xf numFmtId="164" fontId="5" fillId="5" borderId="0" xfId="3" applyNumberFormat="1" applyFont="1" applyFill="1" applyBorder="1"/>
    <xf numFmtId="0" fontId="5" fillId="5" borderId="0" xfId="0" applyFont="1" applyFill="1"/>
    <xf numFmtId="0" fontId="5" fillId="5" borderId="5" xfId="0" applyFont="1" applyFill="1" applyBorder="1"/>
    <xf numFmtId="10" fontId="5" fillId="5" borderId="0" xfId="0" applyNumberFormat="1" applyFont="1" applyFill="1"/>
    <xf numFmtId="10" fontId="5" fillId="5" borderId="0" xfId="3" applyNumberFormat="1" applyFont="1" applyFill="1" applyBorder="1"/>
    <xf numFmtId="0" fontId="9" fillId="5" borderId="0" xfId="0" applyFont="1" applyFill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9" fontId="5" fillId="5" borderId="0" xfId="0" applyNumberFormat="1" applyFont="1" applyFill="1" applyAlignment="1">
      <alignment horizontal="center"/>
    </xf>
    <xf numFmtId="0" fontId="5" fillId="5" borderId="5" xfId="0" applyFont="1" applyFill="1" applyBorder="1" applyAlignment="1">
      <alignment horizontal="center"/>
    </xf>
    <xf numFmtId="10" fontId="5" fillId="5" borderId="0" xfId="0" applyNumberFormat="1" applyFont="1" applyFill="1" applyAlignment="1">
      <alignment horizontal="center"/>
    </xf>
    <xf numFmtId="10" fontId="5" fillId="5" borderId="5" xfId="0" applyNumberFormat="1" applyFont="1" applyFill="1" applyBorder="1" applyAlignment="1">
      <alignment horizontal="center"/>
    </xf>
    <xf numFmtId="10" fontId="5" fillId="5" borderId="7" xfId="0" applyNumberFormat="1" applyFont="1" applyFill="1" applyBorder="1" applyAlignment="1">
      <alignment horizontal="center"/>
    </xf>
    <xf numFmtId="10" fontId="5" fillId="5" borderId="8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5EBC-D243-446A-960C-17F0FD8C7B29}">
  <dimension ref="B2:F59"/>
  <sheetViews>
    <sheetView showGridLines="0" tabSelected="1" zoomScale="80" zoomScaleNormal="80" workbookViewId="0">
      <selection activeCell="L24" sqref="L24"/>
    </sheetView>
  </sheetViews>
  <sheetFormatPr defaultRowHeight="14.5" x14ac:dyDescent="0.35"/>
  <cols>
    <col min="2" max="2" width="45.54296875" customWidth="1"/>
    <col min="3" max="3" width="14.81640625" style="44" customWidth="1"/>
    <col min="4" max="4" width="15.54296875" customWidth="1"/>
    <col min="5" max="5" width="14.54296875" bestFit="1" customWidth="1"/>
  </cols>
  <sheetData>
    <row r="2" spans="2:6" x14ac:dyDescent="0.35">
      <c r="B2" s="1" t="s">
        <v>61</v>
      </c>
      <c r="C2" s="7"/>
      <c r="D2" s="2"/>
      <c r="E2" s="2"/>
      <c r="F2" s="2"/>
    </row>
    <row r="3" spans="2:6" x14ac:dyDescent="0.35">
      <c r="B3" s="1" t="s">
        <v>62</v>
      </c>
      <c r="C3" s="7"/>
      <c r="D3" s="2"/>
      <c r="E3" s="2"/>
      <c r="F3" s="2"/>
    </row>
    <row r="4" spans="2:6" x14ac:dyDescent="0.35">
      <c r="B4" s="1"/>
      <c r="C4" s="7"/>
      <c r="D4" s="2"/>
      <c r="E4" s="2"/>
      <c r="F4" s="2"/>
    </row>
    <row r="5" spans="2:6" x14ac:dyDescent="0.35">
      <c r="B5" s="2"/>
      <c r="C5" s="7"/>
      <c r="D5" s="8" t="s">
        <v>25</v>
      </c>
      <c r="E5" s="8" t="s">
        <v>63</v>
      </c>
      <c r="F5" s="2"/>
    </row>
    <row r="6" spans="2:6" x14ac:dyDescent="0.35">
      <c r="B6" s="2"/>
      <c r="C6" s="7"/>
      <c r="D6" s="9" t="s">
        <v>64</v>
      </c>
      <c r="E6" s="9" t="s">
        <v>14</v>
      </c>
      <c r="F6" s="2"/>
    </row>
    <row r="7" spans="2:6" x14ac:dyDescent="0.35">
      <c r="B7" s="1"/>
      <c r="C7" s="7"/>
      <c r="D7" s="6" t="s">
        <v>65</v>
      </c>
      <c r="E7" s="6" t="s">
        <v>66</v>
      </c>
      <c r="F7" s="2"/>
    </row>
    <row r="8" spans="2:6" x14ac:dyDescent="0.35">
      <c r="B8" s="2"/>
      <c r="C8" s="7"/>
      <c r="D8" s="8"/>
      <c r="E8" s="2"/>
      <c r="F8" s="2"/>
    </row>
    <row r="9" spans="2:6" x14ac:dyDescent="0.35">
      <c r="B9" s="10" t="s">
        <v>67</v>
      </c>
      <c r="C9" s="11"/>
      <c r="E9" s="2"/>
      <c r="F9" s="2"/>
    </row>
    <row r="10" spans="2:6" x14ac:dyDescent="0.35">
      <c r="B10" s="12" t="s">
        <v>68</v>
      </c>
      <c r="C10" s="13">
        <f>+Assumptions!F58</f>
        <v>0.09</v>
      </c>
      <c r="D10" s="14">
        <f>+D24*$C$10*0.4</f>
        <v>1.9195539550773084</v>
      </c>
      <c r="E10" s="14">
        <f>+E24*$C$10*0.4</f>
        <v>3.0288241634696553</v>
      </c>
      <c r="F10" s="2"/>
    </row>
    <row r="11" spans="2:6" x14ac:dyDescent="0.35">
      <c r="B11" s="12" t="s">
        <v>69</v>
      </c>
      <c r="C11" s="13">
        <f>+Assumptions!E11</f>
        <v>4.0426666666666666E-2</v>
      </c>
      <c r="D11" s="14">
        <f>+D24*$C$11*0.6</f>
        <v>1.2933527981765331</v>
      </c>
      <c r="E11" s="14">
        <f>+E24*$C$11*0.6</f>
        <v>2.0407544141422207</v>
      </c>
      <c r="F11" s="2"/>
    </row>
    <row r="12" spans="2:6" x14ac:dyDescent="0.35">
      <c r="B12" s="12" t="s">
        <v>70</v>
      </c>
      <c r="C12" s="13"/>
      <c r="D12" s="15">
        <f>SUM(D10:D11)</f>
        <v>3.2129067532538418</v>
      </c>
      <c r="E12" s="15">
        <f>SUM(E10:E11)</f>
        <v>5.0695785776118765</v>
      </c>
      <c r="F12" s="2"/>
    </row>
    <row r="13" spans="2:6" x14ac:dyDescent="0.35">
      <c r="B13" s="12" t="s">
        <v>71</v>
      </c>
      <c r="C13" s="13"/>
      <c r="D13" s="16"/>
      <c r="E13" s="16"/>
      <c r="F13" s="2"/>
    </row>
    <row r="14" spans="2:6" x14ac:dyDescent="0.35">
      <c r="B14" s="12" t="s">
        <v>72</v>
      </c>
      <c r="C14" s="13"/>
      <c r="D14" s="14">
        <f>+D27</f>
        <v>3.7552900712463435</v>
      </c>
      <c r="E14" s="14">
        <f>+E27</f>
        <v>2.3676786503906251</v>
      </c>
      <c r="F14" s="2"/>
    </row>
    <row r="15" spans="2:6" x14ac:dyDescent="0.35">
      <c r="B15" s="12" t="s">
        <v>73</v>
      </c>
      <c r="C15" s="13"/>
      <c r="D15" s="14">
        <f>+D33</f>
        <v>1.6520547838184347</v>
      </c>
      <c r="E15" s="14">
        <f>+E33</f>
        <v>0.96643226495726497</v>
      </c>
      <c r="F15" s="2"/>
    </row>
    <row r="16" spans="2:6" x14ac:dyDescent="0.35">
      <c r="B16" s="12" t="s">
        <v>74</v>
      </c>
      <c r="C16" s="13"/>
      <c r="D16" s="14">
        <f>+D44</f>
        <v>0.33320531998243447</v>
      </c>
      <c r="E16" s="14">
        <f>+E44</f>
        <v>0.6963492833547561</v>
      </c>
      <c r="F16" s="2"/>
    </row>
    <row r="17" spans="2:6" x14ac:dyDescent="0.35">
      <c r="B17" s="12" t="s">
        <v>75</v>
      </c>
      <c r="C17" s="13">
        <v>0.2</v>
      </c>
      <c r="D17" s="14">
        <v>0</v>
      </c>
      <c r="E17" s="14">
        <f>-E58*C17</f>
        <v>-1.3045325621599098</v>
      </c>
      <c r="F17" s="2"/>
    </row>
    <row r="18" spans="2:6" x14ac:dyDescent="0.35">
      <c r="B18" s="1" t="s">
        <v>76</v>
      </c>
      <c r="C18" s="17"/>
      <c r="D18" s="18">
        <f>SUM(D12:D17)</f>
        <v>8.9534569283010548</v>
      </c>
      <c r="E18" s="18">
        <f>SUM(E12:E17)</f>
        <v>7.7955062141546119</v>
      </c>
      <c r="F18" s="2"/>
    </row>
    <row r="19" spans="2:6" x14ac:dyDescent="0.35">
      <c r="B19" s="2"/>
      <c r="C19" s="7"/>
      <c r="D19" s="19"/>
      <c r="E19" s="19"/>
      <c r="F19" s="2"/>
    </row>
    <row r="20" spans="2:6" x14ac:dyDescent="0.35">
      <c r="B20" s="2"/>
      <c r="C20" s="7"/>
      <c r="D20" s="19"/>
      <c r="E20" s="19"/>
      <c r="F20" s="2"/>
    </row>
    <row r="21" spans="2:6" x14ac:dyDescent="0.35">
      <c r="B21" s="20" t="s">
        <v>77</v>
      </c>
      <c r="C21" s="21"/>
      <c r="D21" s="22"/>
      <c r="E21" s="22"/>
      <c r="F21" s="2"/>
    </row>
    <row r="22" spans="2:6" x14ac:dyDescent="0.35">
      <c r="B22" s="23" t="s">
        <v>78</v>
      </c>
      <c r="C22" s="24"/>
      <c r="D22" s="25">
        <v>53.320942914945149</v>
      </c>
      <c r="E22" s="25">
        <v>84.134004363247854</v>
      </c>
      <c r="F22" s="2"/>
    </row>
    <row r="23" spans="2:6" x14ac:dyDescent="0.35">
      <c r="B23" s="23" t="s">
        <v>79</v>
      </c>
      <c r="C23" s="26">
        <v>7.4999999999999997E-2</v>
      </c>
      <c r="D23" s="25">
        <f>+D27*$C$23/1000000</f>
        <v>2.816467553434758E-7</v>
      </c>
      <c r="E23" s="25">
        <f>+E27*$C$23/1000000</f>
        <v>1.7757589877929689E-7</v>
      </c>
      <c r="F23" s="2"/>
    </row>
    <row r="24" spans="2:6" x14ac:dyDescent="0.35">
      <c r="B24" s="23" t="s">
        <v>80</v>
      </c>
      <c r="C24" s="24"/>
      <c r="D24" s="27">
        <f>SUM(D22:D23)</f>
        <v>53.320943196591905</v>
      </c>
      <c r="E24" s="27">
        <f>SUM(E22:E23)</f>
        <v>84.134004540823753</v>
      </c>
      <c r="F24" s="2"/>
    </row>
    <row r="25" spans="2:6" x14ac:dyDescent="0.35">
      <c r="B25" s="23"/>
      <c r="C25" s="24"/>
      <c r="D25" s="28"/>
      <c r="E25" s="28"/>
      <c r="F25" s="2"/>
    </row>
    <row r="26" spans="2:6" x14ac:dyDescent="0.35">
      <c r="B26" s="20" t="s">
        <v>72</v>
      </c>
      <c r="C26" s="24"/>
      <c r="D26" s="28"/>
      <c r="E26" s="28"/>
      <c r="F26" s="2"/>
    </row>
    <row r="27" spans="2:6" x14ac:dyDescent="0.35">
      <c r="B27" s="23" t="s">
        <v>72</v>
      </c>
      <c r="C27" s="24"/>
      <c r="D27" s="27">
        <v>3.7552900712463435</v>
      </c>
      <c r="E27" s="27">
        <v>2.3676786503906251</v>
      </c>
      <c r="F27" s="2"/>
    </row>
    <row r="28" spans="2:6" x14ac:dyDescent="0.35">
      <c r="B28" s="23"/>
      <c r="C28" s="24"/>
      <c r="D28" s="25"/>
      <c r="E28" s="25"/>
      <c r="F28" s="2"/>
    </row>
    <row r="29" spans="2:6" x14ac:dyDescent="0.35">
      <c r="B29" s="20" t="s">
        <v>73</v>
      </c>
      <c r="C29" s="24"/>
      <c r="D29" s="25"/>
      <c r="E29" s="25"/>
      <c r="F29" s="2"/>
    </row>
    <row r="30" spans="2:6" x14ac:dyDescent="0.35">
      <c r="B30" s="23" t="s">
        <v>81</v>
      </c>
      <c r="C30" s="24"/>
      <c r="D30" s="25">
        <v>0.71617130233695314</v>
      </c>
      <c r="E30" s="25">
        <v>0</v>
      </c>
      <c r="F30" s="2"/>
    </row>
    <row r="31" spans="2:6" x14ac:dyDescent="0.35">
      <c r="B31" s="29" t="s">
        <v>82</v>
      </c>
      <c r="C31" s="30"/>
      <c r="D31" s="25">
        <v>0.93588348148148148</v>
      </c>
      <c r="E31" s="25">
        <v>0</v>
      </c>
      <c r="F31" s="2"/>
    </row>
    <row r="32" spans="2:6" x14ac:dyDescent="0.35">
      <c r="B32" s="29" t="s">
        <v>83</v>
      </c>
      <c r="C32" s="30"/>
      <c r="D32" s="25">
        <v>0</v>
      </c>
      <c r="E32" s="25">
        <v>0.96643226495726497</v>
      </c>
      <c r="F32" s="2"/>
    </row>
    <row r="33" spans="2:6" x14ac:dyDescent="0.35">
      <c r="B33" s="31"/>
      <c r="C33" s="32"/>
      <c r="D33" s="27">
        <f>SUM(D30:D32)</f>
        <v>1.6520547838184347</v>
      </c>
      <c r="E33" s="27">
        <f>SUM(E30:E32)</f>
        <v>0.96643226495726497</v>
      </c>
      <c r="F33" s="2"/>
    </row>
    <row r="34" spans="2:6" x14ac:dyDescent="0.35">
      <c r="B34" s="31"/>
      <c r="C34" s="32"/>
      <c r="D34" s="25"/>
      <c r="E34" s="25"/>
      <c r="F34" s="2"/>
    </row>
    <row r="35" spans="2:6" x14ac:dyDescent="0.35">
      <c r="B35" s="20" t="s">
        <v>84</v>
      </c>
      <c r="C35" s="21"/>
      <c r="D35" s="22"/>
      <c r="E35" s="22"/>
      <c r="F35" s="2"/>
    </row>
    <row r="36" spans="2:6" x14ac:dyDescent="0.35">
      <c r="B36" s="23" t="s">
        <v>85</v>
      </c>
      <c r="C36" s="21"/>
      <c r="D36" s="25">
        <f>+D10</f>
        <v>1.9195539550773084</v>
      </c>
      <c r="E36" s="25">
        <f>+E10</f>
        <v>3.0288241634696553</v>
      </c>
      <c r="F36" s="2"/>
    </row>
    <row r="37" spans="2:6" x14ac:dyDescent="0.35">
      <c r="B37" s="23" t="s">
        <v>86</v>
      </c>
      <c r="C37" s="21"/>
      <c r="D37" s="25">
        <f>+D33</f>
        <v>1.6520547838184347</v>
      </c>
      <c r="E37" s="25">
        <f>+E33</f>
        <v>0.96643226495726497</v>
      </c>
      <c r="F37" s="2"/>
    </row>
    <row r="38" spans="2:6" x14ac:dyDescent="0.35">
      <c r="B38" s="23" t="s">
        <v>87</v>
      </c>
      <c r="C38" s="21"/>
      <c r="D38" s="25">
        <v>-2.6474353450389838</v>
      </c>
      <c r="E38" s="25">
        <v>-2.0638722580252802</v>
      </c>
      <c r="F38" s="2"/>
    </row>
    <row r="39" spans="2:6" x14ac:dyDescent="0.35">
      <c r="B39" s="23" t="s">
        <v>88</v>
      </c>
      <c r="C39" s="21"/>
      <c r="D39" s="33">
        <f>SUM(D36:D38)</f>
        <v>0.92417339385675934</v>
      </c>
      <c r="E39" s="33">
        <f>SUM(E36:E38)</f>
        <v>1.9313841704016399</v>
      </c>
      <c r="F39" s="2"/>
    </row>
    <row r="40" spans="2:6" x14ac:dyDescent="0.35">
      <c r="B40" s="23" t="s">
        <v>89</v>
      </c>
      <c r="C40" s="26">
        <v>0.26500000000000001</v>
      </c>
      <c r="D40" s="25">
        <f>+D39*C40</f>
        <v>0.24490594937204124</v>
      </c>
      <c r="E40" s="25">
        <f>+E39*C40</f>
        <v>0.51181680515643457</v>
      </c>
      <c r="F40" s="2"/>
    </row>
    <row r="41" spans="2:6" x14ac:dyDescent="0.35">
      <c r="B41" s="34"/>
      <c r="C41" s="35"/>
      <c r="D41" s="36"/>
      <c r="E41" s="36"/>
      <c r="F41" s="2"/>
    </row>
    <row r="42" spans="2:6" x14ac:dyDescent="0.35">
      <c r="B42" s="37"/>
      <c r="C42" s="21"/>
      <c r="D42" s="36"/>
      <c r="E42" s="36"/>
      <c r="F42" s="2"/>
    </row>
    <row r="43" spans="2:6" x14ac:dyDescent="0.35">
      <c r="B43" s="23" t="s">
        <v>90</v>
      </c>
      <c r="C43" s="21"/>
      <c r="D43" s="38">
        <f>ROUND(1/(1-$C$40),6)</f>
        <v>1.360544</v>
      </c>
      <c r="E43" s="38">
        <f>ROUND(1/(1-$C$40),6)</f>
        <v>1.360544</v>
      </c>
      <c r="F43" s="2"/>
    </row>
    <row r="44" spans="2:6" x14ac:dyDescent="0.35">
      <c r="B44" s="23" t="s">
        <v>91</v>
      </c>
      <c r="C44" s="21"/>
      <c r="D44" s="27">
        <f>+D40*D43</f>
        <v>0.33320531998243447</v>
      </c>
      <c r="E44" s="27">
        <f>+E40*E43</f>
        <v>0.6963492833547561</v>
      </c>
      <c r="F44" s="2"/>
    </row>
    <row r="45" spans="2:6" x14ac:dyDescent="0.35">
      <c r="B45" s="39"/>
      <c r="C45" s="21"/>
      <c r="D45" s="36"/>
      <c r="E45" s="36"/>
      <c r="F45" s="2"/>
    </row>
    <row r="46" spans="2:6" x14ac:dyDescent="0.35">
      <c r="B46" s="39"/>
      <c r="C46" s="21"/>
      <c r="D46" s="36"/>
      <c r="E46" s="36"/>
      <c r="F46" s="2"/>
    </row>
    <row r="47" spans="2:6" x14ac:dyDescent="0.35">
      <c r="B47" s="20" t="s">
        <v>92</v>
      </c>
      <c r="C47" s="21"/>
      <c r="D47" s="36"/>
      <c r="E47" s="36"/>
      <c r="F47" s="2"/>
    </row>
    <row r="48" spans="2:6" x14ac:dyDescent="0.35">
      <c r="B48" s="40" t="s">
        <v>25</v>
      </c>
      <c r="C48" s="21"/>
      <c r="D48" s="36"/>
      <c r="E48" s="41"/>
      <c r="F48" s="2"/>
    </row>
    <row r="49" spans="2:6" x14ac:dyDescent="0.35">
      <c r="B49" s="23" t="s">
        <v>93</v>
      </c>
      <c r="C49" s="21"/>
      <c r="D49" s="36"/>
      <c r="E49" s="28">
        <f>+Assumptions!E33/1000000</f>
        <v>17.5</v>
      </c>
      <c r="F49" s="2"/>
    </row>
    <row r="50" spans="2:6" x14ac:dyDescent="0.35">
      <c r="B50" s="23" t="s">
        <v>94</v>
      </c>
      <c r="C50" s="21"/>
      <c r="D50" s="36"/>
      <c r="E50" s="28">
        <v>10.592933706978229</v>
      </c>
      <c r="F50" s="2"/>
    </row>
    <row r="51" spans="2:6" x14ac:dyDescent="0.35">
      <c r="B51" s="23" t="s">
        <v>95</v>
      </c>
      <c r="C51" s="21"/>
      <c r="D51" s="36"/>
      <c r="E51" s="33">
        <f>E49-E50</f>
        <v>6.9070662930217708</v>
      </c>
      <c r="F51" s="2"/>
    </row>
    <row r="52" spans="2:6" x14ac:dyDescent="0.35">
      <c r="B52" s="39"/>
      <c r="C52" s="21"/>
      <c r="D52" s="36"/>
      <c r="E52" s="28"/>
      <c r="F52" s="2"/>
    </row>
    <row r="53" spans="2:6" x14ac:dyDescent="0.35">
      <c r="B53" s="40" t="s">
        <v>26</v>
      </c>
      <c r="C53" s="21"/>
      <c r="D53" s="36"/>
      <c r="E53" s="28"/>
      <c r="F53" s="2"/>
    </row>
    <row r="54" spans="2:6" x14ac:dyDescent="0.35">
      <c r="B54" s="23" t="s">
        <v>93</v>
      </c>
      <c r="C54" s="21"/>
      <c r="D54" s="36"/>
      <c r="E54" s="28">
        <f>+Assumptions!E34/1000000</f>
        <v>22.5</v>
      </c>
      <c r="F54" s="2"/>
    </row>
    <row r="55" spans="2:6" x14ac:dyDescent="0.35">
      <c r="B55" s="23" t="s">
        <v>94</v>
      </c>
      <c r="C55" s="21"/>
      <c r="D55" s="36"/>
      <c r="E55" s="28">
        <v>22.884403482222222</v>
      </c>
      <c r="F55" s="2"/>
    </row>
    <row r="56" spans="2:6" x14ac:dyDescent="0.35">
      <c r="B56" s="23" t="s">
        <v>96</v>
      </c>
      <c r="C56" s="21"/>
      <c r="D56" s="36"/>
      <c r="E56" s="33">
        <f>E54-E55</f>
        <v>-0.38440348222222198</v>
      </c>
      <c r="F56" s="2"/>
    </row>
    <row r="57" spans="2:6" x14ac:dyDescent="0.35">
      <c r="B57" s="39"/>
      <c r="C57" s="21"/>
      <c r="D57" s="36"/>
      <c r="E57" s="28"/>
      <c r="F57" s="2"/>
    </row>
    <row r="58" spans="2:6" x14ac:dyDescent="0.35">
      <c r="B58" s="20" t="s">
        <v>97</v>
      </c>
      <c r="C58" s="21"/>
      <c r="D58" s="42"/>
      <c r="E58" s="27">
        <f>E51+E56</f>
        <v>6.5226628107995488</v>
      </c>
      <c r="F58" s="2"/>
    </row>
    <row r="59" spans="2:6" x14ac:dyDescent="0.35">
      <c r="B59" s="39"/>
      <c r="C59" s="21"/>
      <c r="D59" s="39"/>
      <c r="E59" s="43"/>
      <c r="F59" s="2"/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971C-82FB-4718-ADD1-4C7A7D888367}">
  <dimension ref="A1:M74"/>
  <sheetViews>
    <sheetView showGridLines="0" zoomScale="85" zoomScaleNormal="85" workbookViewId="0">
      <selection activeCell="I15" sqref="I15"/>
    </sheetView>
  </sheetViews>
  <sheetFormatPr defaultColWidth="9.1796875" defaultRowHeight="14" x14ac:dyDescent="0.3"/>
  <cols>
    <col min="1" max="1" width="40" style="46" bestFit="1" customWidth="1"/>
    <col min="2" max="2" width="68.7265625" style="46" bestFit="1" customWidth="1"/>
    <col min="3" max="3" width="3.26953125" style="46" customWidth="1"/>
    <col min="4" max="4" width="4.26953125" style="46" customWidth="1"/>
    <col min="5" max="5" width="19" style="46" bestFit="1" customWidth="1"/>
    <col min="6" max="6" width="10.54296875" style="46" bestFit="1" customWidth="1"/>
    <col min="7" max="7" width="24" style="46" bestFit="1" customWidth="1"/>
    <col min="8" max="8" width="9.1796875" style="46"/>
    <col min="9" max="9" width="18.81640625" style="46" customWidth="1"/>
    <col min="10" max="11" width="0" style="46" hidden="1" customWidth="1"/>
    <col min="12" max="12" width="9.81640625" style="46" hidden="1" customWidth="1"/>
    <col min="13" max="13" width="0" style="46" hidden="1" customWidth="1"/>
    <col min="14" max="16384" width="9.1796875" style="46"/>
  </cols>
  <sheetData>
    <row r="1" spans="1:13" s="45" customFormat="1" x14ac:dyDescent="0.3">
      <c r="A1" s="45" t="s">
        <v>0</v>
      </c>
    </row>
    <row r="2" spans="1:13" x14ac:dyDescent="0.3">
      <c r="J2" s="47"/>
      <c r="L2" s="47"/>
      <c r="M2" s="48"/>
    </row>
    <row r="3" spans="1:13" x14ac:dyDescent="0.3">
      <c r="A3" s="49" t="s">
        <v>1</v>
      </c>
      <c r="B3" s="50"/>
      <c r="C3" s="50"/>
      <c r="D3" s="50"/>
      <c r="E3" s="51">
        <v>0.26500000000000001</v>
      </c>
      <c r="J3" s="47"/>
      <c r="L3" s="47"/>
      <c r="M3" s="48"/>
    </row>
    <row r="4" spans="1:13" x14ac:dyDescent="0.3">
      <c r="A4" s="52"/>
      <c r="E4" s="53"/>
      <c r="L4" s="47"/>
      <c r="M4" s="48"/>
    </row>
    <row r="5" spans="1:13" x14ac:dyDescent="0.3">
      <c r="A5" s="52" t="s">
        <v>2</v>
      </c>
      <c r="E5" s="54">
        <v>0.02</v>
      </c>
    </row>
    <row r="6" spans="1:13" x14ac:dyDescent="0.3">
      <c r="A6" s="52" t="s">
        <v>3</v>
      </c>
      <c r="E6" s="3">
        <v>-3.0000000000000001E-3</v>
      </c>
    </row>
    <row r="7" spans="1:13" x14ac:dyDescent="0.3">
      <c r="A7" s="52" t="s">
        <v>4</v>
      </c>
      <c r="E7" s="3">
        <f>F61</f>
        <v>6.0255999999999997E-2</v>
      </c>
    </row>
    <row r="8" spans="1:13" x14ac:dyDescent="0.3">
      <c r="A8" s="52" t="s">
        <v>5</v>
      </c>
      <c r="E8" s="3">
        <f>I71</f>
        <v>6.1411704000000011E-2</v>
      </c>
    </row>
    <row r="9" spans="1:13" x14ac:dyDescent="0.3">
      <c r="A9" s="52" t="s">
        <v>6</v>
      </c>
      <c r="E9" s="54">
        <v>0.02</v>
      </c>
      <c r="L9" s="55"/>
    </row>
    <row r="10" spans="1:13" x14ac:dyDescent="0.3">
      <c r="A10" s="52" t="s">
        <v>7</v>
      </c>
      <c r="E10" s="3">
        <v>3.5700000000000003E-2</v>
      </c>
      <c r="L10" s="55"/>
    </row>
    <row r="11" spans="1:13" x14ac:dyDescent="0.3">
      <c r="A11" s="52" t="s">
        <v>8</v>
      </c>
      <c r="E11" s="3">
        <f>G60</f>
        <v>4.0426666666666666E-2</v>
      </c>
      <c r="L11" s="55"/>
    </row>
    <row r="12" spans="1:13" x14ac:dyDescent="0.3">
      <c r="A12" s="52" t="s">
        <v>9</v>
      </c>
      <c r="E12" s="3">
        <v>7.4999999999999997E-2</v>
      </c>
      <c r="L12" s="55"/>
    </row>
    <row r="13" spans="1:13" x14ac:dyDescent="0.3">
      <c r="A13" s="52" t="s">
        <v>10</v>
      </c>
      <c r="E13" s="3">
        <v>0.6</v>
      </c>
      <c r="L13" s="55"/>
    </row>
    <row r="14" spans="1:13" x14ac:dyDescent="0.3">
      <c r="A14" s="56" t="s">
        <v>11</v>
      </c>
      <c r="B14" s="57"/>
      <c r="C14" s="57"/>
      <c r="D14" s="57"/>
      <c r="E14" s="58">
        <v>0.6</v>
      </c>
      <c r="L14" s="55"/>
    </row>
    <row r="15" spans="1:13" x14ac:dyDescent="0.3">
      <c r="E15" s="59"/>
      <c r="L15" s="55"/>
    </row>
    <row r="16" spans="1:13" x14ac:dyDescent="0.3">
      <c r="A16" s="46" t="s">
        <v>12</v>
      </c>
      <c r="B16" s="46" t="s">
        <v>13</v>
      </c>
      <c r="E16" s="60">
        <v>50</v>
      </c>
      <c r="L16" s="55"/>
    </row>
    <row r="17" spans="1:12" x14ac:dyDescent="0.3">
      <c r="E17" s="60"/>
      <c r="L17" s="55"/>
    </row>
    <row r="18" spans="1:12" x14ac:dyDescent="0.3">
      <c r="A18" s="61" t="s">
        <v>14</v>
      </c>
      <c r="B18" s="50" t="s">
        <v>15</v>
      </c>
      <c r="C18" s="50"/>
      <c r="D18" s="50"/>
      <c r="E18" s="62">
        <v>42769694</v>
      </c>
      <c r="L18" s="55"/>
    </row>
    <row r="19" spans="1:12" x14ac:dyDescent="0.3">
      <c r="A19" s="63"/>
      <c r="E19" s="4"/>
      <c r="L19" s="55"/>
    </row>
    <row r="20" spans="1:12" x14ac:dyDescent="0.3">
      <c r="A20" s="63" t="s">
        <v>16</v>
      </c>
      <c r="B20" s="64">
        <v>2020</v>
      </c>
      <c r="E20" s="4">
        <v>15000000</v>
      </c>
      <c r="L20" s="55"/>
    </row>
    <row r="21" spans="1:12" x14ac:dyDescent="0.3">
      <c r="A21" s="63"/>
      <c r="B21" s="64">
        <v>2021</v>
      </c>
      <c r="E21" s="4">
        <v>23500000</v>
      </c>
      <c r="L21" s="55"/>
    </row>
    <row r="22" spans="1:12" x14ac:dyDescent="0.3">
      <c r="A22" s="63"/>
      <c r="B22" s="64">
        <v>2022</v>
      </c>
      <c r="E22" s="5">
        <v>1500000</v>
      </c>
      <c r="L22" s="55"/>
    </row>
    <row r="23" spans="1:12" x14ac:dyDescent="0.3">
      <c r="A23" s="63"/>
      <c r="E23" s="4">
        <f>SUM(E20:E22)</f>
        <v>40000000</v>
      </c>
      <c r="L23" s="55"/>
    </row>
    <row r="24" spans="1:12" x14ac:dyDescent="0.3">
      <c r="B24" s="46" t="s">
        <v>17</v>
      </c>
      <c r="E24" s="4">
        <v>45070200</v>
      </c>
      <c r="L24" s="55"/>
    </row>
    <row r="25" spans="1:12" x14ac:dyDescent="0.3">
      <c r="A25" s="63"/>
      <c r="B25" s="46" t="s">
        <v>18</v>
      </c>
      <c r="E25" s="4">
        <v>3070200</v>
      </c>
    </row>
    <row r="26" spans="1:12" x14ac:dyDescent="0.3">
      <c r="A26" s="63" t="s">
        <v>19</v>
      </c>
      <c r="B26" s="46" t="s">
        <v>20</v>
      </c>
      <c r="E26" s="65">
        <v>13</v>
      </c>
    </row>
    <row r="27" spans="1:12" x14ac:dyDescent="0.3">
      <c r="A27" s="52"/>
      <c r="B27" s="46" t="s">
        <v>21</v>
      </c>
      <c r="E27" s="4">
        <v>165000</v>
      </c>
    </row>
    <row r="28" spans="1:12" x14ac:dyDescent="0.3">
      <c r="A28" s="52"/>
      <c r="B28" s="46" t="s">
        <v>22</v>
      </c>
      <c r="E28" s="4">
        <f>E26*E27</f>
        <v>2145000</v>
      </c>
    </row>
    <row r="29" spans="1:12" x14ac:dyDescent="0.3">
      <c r="A29" s="52"/>
      <c r="B29" s="46" t="s">
        <v>23</v>
      </c>
      <c r="E29" s="54">
        <v>2.5000000000000001E-2</v>
      </c>
    </row>
    <row r="30" spans="1:12" x14ac:dyDescent="0.3">
      <c r="A30" s="56"/>
      <c r="B30" s="57"/>
      <c r="C30" s="57"/>
      <c r="D30" s="57"/>
      <c r="E30" s="66"/>
    </row>
    <row r="32" spans="1:12" x14ac:dyDescent="0.3">
      <c r="A32" s="49" t="s">
        <v>24</v>
      </c>
      <c r="B32" s="50"/>
      <c r="C32" s="67"/>
      <c r="D32" s="68"/>
      <c r="E32" s="69"/>
    </row>
    <row r="33" spans="1:7" x14ac:dyDescent="0.3">
      <c r="A33" s="52"/>
      <c r="B33" s="46" t="s">
        <v>25</v>
      </c>
      <c r="C33" s="70"/>
      <c r="D33" s="71"/>
      <c r="E33" s="4">
        <v>17500000</v>
      </c>
    </row>
    <row r="34" spans="1:7" x14ac:dyDescent="0.3">
      <c r="A34" s="56"/>
      <c r="B34" s="57" t="s">
        <v>26</v>
      </c>
      <c r="C34" s="72"/>
      <c r="D34" s="73"/>
      <c r="E34" s="5">
        <v>22500000</v>
      </c>
    </row>
    <row r="35" spans="1:7" hidden="1" x14ac:dyDescent="0.3">
      <c r="B35" s="46" t="s">
        <v>27</v>
      </c>
      <c r="E35" s="74"/>
      <c r="F35" s="46" t="s">
        <v>28</v>
      </c>
    </row>
    <row r="37" spans="1:7" x14ac:dyDescent="0.3">
      <c r="A37" s="49" t="s">
        <v>29</v>
      </c>
      <c r="B37" s="50"/>
      <c r="C37" s="50"/>
      <c r="D37" s="50"/>
      <c r="E37" s="75"/>
    </row>
    <row r="38" spans="1:7" x14ac:dyDescent="0.3">
      <c r="A38" s="52"/>
      <c r="B38" s="46" t="s">
        <v>30</v>
      </c>
      <c r="E38" s="4">
        <v>52</v>
      </c>
    </row>
    <row r="39" spans="1:7" x14ac:dyDescent="0.3">
      <c r="A39" s="56"/>
      <c r="B39" s="57" t="s">
        <v>31</v>
      </c>
      <c r="C39" s="57"/>
      <c r="D39" s="57"/>
      <c r="E39" s="5">
        <v>27</v>
      </c>
      <c r="G39" s="76"/>
    </row>
    <row r="40" spans="1:7" x14ac:dyDescent="0.3">
      <c r="E40" s="76"/>
    </row>
    <row r="41" spans="1:7" x14ac:dyDescent="0.3">
      <c r="E41" s="77"/>
    </row>
    <row r="42" spans="1:7" x14ac:dyDescent="0.3">
      <c r="A42" s="49" t="s">
        <v>32</v>
      </c>
      <c r="B42" s="50"/>
      <c r="C42" s="50"/>
      <c r="D42" s="50"/>
      <c r="E42" s="75"/>
    </row>
    <row r="43" spans="1:7" x14ac:dyDescent="0.3">
      <c r="A43" s="52"/>
      <c r="B43" s="46" t="s">
        <v>33</v>
      </c>
      <c r="E43" s="54">
        <v>1</v>
      </c>
    </row>
    <row r="44" spans="1:7" x14ac:dyDescent="0.3">
      <c r="A44" s="52"/>
      <c r="B44" s="46" t="s">
        <v>34</v>
      </c>
      <c r="E44" s="54">
        <v>1</v>
      </c>
    </row>
    <row r="45" spans="1:7" x14ac:dyDescent="0.3">
      <c r="A45" s="52"/>
      <c r="B45" s="46" t="s">
        <v>35</v>
      </c>
      <c r="E45" s="54">
        <v>1</v>
      </c>
    </row>
    <row r="46" spans="1:7" x14ac:dyDescent="0.3">
      <c r="A46" s="56"/>
      <c r="B46" s="57" t="s">
        <v>36</v>
      </c>
      <c r="C46" s="57"/>
      <c r="D46" s="57"/>
      <c r="E46" s="5">
        <v>5</v>
      </c>
    </row>
    <row r="47" spans="1:7" x14ac:dyDescent="0.3">
      <c r="E47" s="60"/>
    </row>
    <row r="48" spans="1:7" x14ac:dyDescent="0.3">
      <c r="E48" s="60"/>
    </row>
    <row r="49" spans="1:9" x14ac:dyDescent="0.3">
      <c r="A49" s="49" t="s">
        <v>25</v>
      </c>
      <c r="B49" s="50"/>
      <c r="C49" s="50"/>
      <c r="D49" s="50"/>
      <c r="E49" s="62"/>
    </row>
    <row r="50" spans="1:9" x14ac:dyDescent="0.3">
      <c r="A50" s="52"/>
      <c r="B50" s="46" t="s">
        <v>37</v>
      </c>
      <c r="E50" s="4">
        <v>5000000</v>
      </c>
    </row>
    <row r="51" spans="1:9" x14ac:dyDescent="0.3">
      <c r="A51" s="52"/>
      <c r="B51" s="46" t="s">
        <v>38</v>
      </c>
      <c r="E51" s="4">
        <v>255000</v>
      </c>
    </row>
    <row r="52" spans="1:9" x14ac:dyDescent="0.3">
      <c r="A52" s="52"/>
      <c r="B52" s="46" t="s">
        <v>39</v>
      </c>
      <c r="E52" s="54">
        <v>0.25</v>
      </c>
    </row>
    <row r="53" spans="1:9" x14ac:dyDescent="0.3">
      <c r="A53" s="56" t="s">
        <v>40</v>
      </c>
      <c r="B53" s="57" t="s">
        <v>41</v>
      </c>
      <c r="C53" s="57"/>
      <c r="D53" s="57"/>
      <c r="E53" s="78">
        <v>0.25</v>
      </c>
    </row>
    <row r="56" spans="1:9" x14ac:dyDescent="0.3">
      <c r="A56" s="79" t="s">
        <v>42</v>
      </c>
      <c r="B56" s="50"/>
      <c r="C56" s="50"/>
      <c r="D56" s="50"/>
      <c r="E56" s="50"/>
      <c r="F56" s="50"/>
      <c r="G56" s="50"/>
      <c r="H56" s="50"/>
      <c r="I56" s="75"/>
    </row>
    <row r="57" spans="1:9" x14ac:dyDescent="0.3">
      <c r="A57" s="52"/>
      <c r="I57" s="80"/>
    </row>
    <row r="58" spans="1:9" x14ac:dyDescent="0.3">
      <c r="A58" s="52"/>
      <c r="B58" s="46" t="s">
        <v>43</v>
      </c>
      <c r="E58" s="81">
        <v>0.4</v>
      </c>
      <c r="F58" s="82">
        <v>0.09</v>
      </c>
      <c r="G58" s="83"/>
      <c r="H58" s="83"/>
      <c r="I58" s="84"/>
    </row>
    <row r="59" spans="1:9" x14ac:dyDescent="0.3">
      <c r="A59" s="52"/>
      <c r="B59" s="46" t="s">
        <v>44</v>
      </c>
      <c r="E59" s="81">
        <v>0.56000000000000005</v>
      </c>
      <c r="F59" s="85">
        <v>4.1300000000000003E-2</v>
      </c>
      <c r="G59" s="83"/>
      <c r="H59" s="83"/>
      <c r="I59" s="84"/>
    </row>
    <row r="60" spans="1:9" x14ac:dyDescent="0.3">
      <c r="A60" s="52"/>
      <c r="B60" s="46" t="s">
        <v>45</v>
      </c>
      <c r="E60" s="81">
        <v>0.04</v>
      </c>
      <c r="F60" s="85">
        <v>2.8199999999999999E-2</v>
      </c>
      <c r="G60" s="86">
        <f>SUMPRODUCT(E59:E60,F59:F60)/SUM(E59:E60)</f>
        <v>4.0426666666666666E-2</v>
      </c>
      <c r="H60" s="83"/>
      <c r="I60" s="84"/>
    </row>
    <row r="61" spans="1:9" x14ac:dyDescent="0.3">
      <c r="A61" s="52"/>
      <c r="E61" s="81">
        <f>SUM(E58:E60)</f>
        <v>1</v>
      </c>
      <c r="F61" s="86">
        <f>SUMPRODUCT(E58:E60,F58:F60)</f>
        <v>6.0255999999999997E-2</v>
      </c>
      <c r="G61" s="83"/>
      <c r="H61" s="83"/>
      <c r="I61" s="84"/>
    </row>
    <row r="62" spans="1:9" x14ac:dyDescent="0.3">
      <c r="A62" s="52"/>
      <c r="E62" s="83"/>
      <c r="F62" s="83"/>
      <c r="G62" s="83"/>
      <c r="H62" s="83"/>
      <c r="I62" s="84"/>
    </row>
    <row r="63" spans="1:9" x14ac:dyDescent="0.3">
      <c r="A63" s="52"/>
      <c r="E63" s="83"/>
      <c r="F63" s="83"/>
      <c r="G63" s="83"/>
      <c r="H63" s="83"/>
      <c r="I63" s="84"/>
    </row>
    <row r="64" spans="1:9" x14ac:dyDescent="0.3">
      <c r="A64" s="52"/>
      <c r="B64" s="45" t="s">
        <v>46</v>
      </c>
      <c r="C64" s="45"/>
      <c r="D64" s="45"/>
      <c r="E64" s="87" t="s">
        <v>47</v>
      </c>
      <c r="F64" s="87" t="s">
        <v>48</v>
      </c>
      <c r="G64" s="87" t="s">
        <v>49</v>
      </c>
      <c r="H64" s="87" t="s">
        <v>50</v>
      </c>
      <c r="I64" s="88" t="s">
        <v>51</v>
      </c>
    </row>
    <row r="65" spans="1:9" x14ac:dyDescent="0.3">
      <c r="A65" s="52"/>
      <c r="B65" s="46" t="s">
        <v>52</v>
      </c>
      <c r="E65" s="89">
        <v>0.56000000000000005</v>
      </c>
      <c r="F65" s="89">
        <v>0.56000000000000005</v>
      </c>
      <c r="G65" s="89">
        <v>0.56000000000000005</v>
      </c>
      <c r="H65" s="89">
        <v>0.56000000000000005</v>
      </c>
      <c r="I65" s="90"/>
    </row>
    <row r="66" spans="1:9" x14ac:dyDescent="0.3">
      <c r="A66" s="52"/>
      <c r="B66" s="46" t="s">
        <v>53</v>
      </c>
      <c r="E66" s="89">
        <v>0.4</v>
      </c>
      <c r="F66" s="89">
        <v>0.4</v>
      </c>
      <c r="G66" s="89">
        <v>0.4</v>
      </c>
      <c r="H66" s="89">
        <v>0.4</v>
      </c>
      <c r="I66" s="90"/>
    </row>
    <row r="67" spans="1:9" x14ac:dyDescent="0.3">
      <c r="A67" s="52"/>
      <c r="B67" s="46" t="s">
        <v>54</v>
      </c>
      <c r="E67" s="89">
        <v>0.04</v>
      </c>
      <c r="F67" s="89">
        <v>0.04</v>
      </c>
      <c r="G67" s="89">
        <v>0.04</v>
      </c>
      <c r="H67" s="89">
        <v>0.04</v>
      </c>
      <c r="I67" s="90"/>
    </row>
    <row r="68" spans="1:9" x14ac:dyDescent="0.3">
      <c r="A68" s="52"/>
      <c r="B68" s="46" t="s">
        <v>55</v>
      </c>
      <c r="E68" s="91">
        <v>5.0900000000000001E-2</v>
      </c>
      <c r="F68" s="91">
        <v>3.6200000000000003E-2</v>
      </c>
      <c r="G68" s="91">
        <v>6.0699999999999997E-2</v>
      </c>
      <c r="H68" s="91">
        <v>3.8800000000000001E-2</v>
      </c>
      <c r="I68" s="90"/>
    </row>
    <row r="69" spans="1:9" x14ac:dyDescent="0.3">
      <c r="A69" s="52"/>
      <c r="B69" s="46" t="s">
        <v>56</v>
      </c>
      <c r="E69" s="91">
        <v>8.9300000000000004E-2</v>
      </c>
      <c r="F69" s="91">
        <v>0.09</v>
      </c>
      <c r="G69" s="91">
        <v>9.2999999999999999E-2</v>
      </c>
      <c r="H69" s="91">
        <v>8.7800000000000003E-2</v>
      </c>
      <c r="I69" s="92">
        <f>SUMPRODUCT(E69:H69,E72:H72)</f>
        <v>8.9301800000000001E-2</v>
      </c>
    </row>
    <row r="70" spans="1:9" x14ac:dyDescent="0.3">
      <c r="A70" s="52"/>
      <c r="B70" s="46" t="s">
        <v>57</v>
      </c>
      <c r="E70" s="91">
        <v>2.0799999999999999E-2</v>
      </c>
      <c r="F70" s="91">
        <v>2.29E-2</v>
      </c>
      <c r="G70" s="91">
        <v>2.1600000000000001E-2</v>
      </c>
      <c r="H70" s="91">
        <v>1.7600000000000001E-2</v>
      </c>
      <c r="I70" s="90"/>
    </row>
    <row r="71" spans="1:9" x14ac:dyDescent="0.3">
      <c r="A71" s="52"/>
      <c r="B71" s="46" t="s">
        <v>58</v>
      </c>
      <c r="E71" s="91">
        <f>SUMPRODUCT(E65:E67,E68:E70)</f>
        <v>6.5056000000000003E-2</v>
      </c>
      <c r="F71" s="91">
        <f>SUMPRODUCT(F65:F67,F68:F70)</f>
        <v>5.7188000000000003E-2</v>
      </c>
      <c r="G71" s="91">
        <f>SUMPRODUCT(G65:G67,G68:G70)</f>
        <v>7.2056000000000009E-2</v>
      </c>
      <c r="H71" s="91">
        <f>SUMPRODUCT(H65:H67,H68:H70)</f>
        <v>5.7552000000000013E-2</v>
      </c>
      <c r="I71" s="92">
        <f>SUMPRODUCT(E71:H71,E72:H72)</f>
        <v>6.1411704000000011E-2</v>
      </c>
    </row>
    <row r="72" spans="1:9" x14ac:dyDescent="0.3">
      <c r="A72" s="52"/>
      <c r="B72" s="46" t="s">
        <v>59</v>
      </c>
      <c r="E72" s="91">
        <v>0.23599999999999999</v>
      </c>
      <c r="F72" s="91">
        <v>0.2</v>
      </c>
      <c r="G72" s="91">
        <v>0.153</v>
      </c>
      <c r="H72" s="91">
        <v>0.41</v>
      </c>
      <c r="I72" s="90"/>
    </row>
    <row r="73" spans="1:9" x14ac:dyDescent="0.3">
      <c r="A73" s="52"/>
      <c r="E73" s="83"/>
      <c r="F73" s="83"/>
      <c r="G73" s="83"/>
      <c r="H73" s="83"/>
      <c r="I73" s="84"/>
    </row>
    <row r="74" spans="1:9" x14ac:dyDescent="0.3">
      <c r="A74" s="56"/>
      <c r="B74" s="57" t="s">
        <v>60</v>
      </c>
      <c r="C74" s="57"/>
      <c r="D74" s="57"/>
      <c r="E74" s="93">
        <f>(E65*E68+E67*E70)/SUM(E65,E67)</f>
        <v>4.889333333333333E-2</v>
      </c>
      <c r="F74" s="93">
        <f t="shared" ref="F74:H74" si="0">(F65*F68+F67*F70)/SUM(F65,F67)</f>
        <v>3.5313333333333335E-2</v>
      </c>
      <c r="G74" s="93">
        <f t="shared" si="0"/>
        <v>5.8093333333333323E-2</v>
      </c>
      <c r="H74" s="93">
        <f t="shared" si="0"/>
        <v>3.7386666666666665E-2</v>
      </c>
      <c r="I74" s="94">
        <f>SUMPRODUCT(E74:H74,E72:H72)</f>
        <v>4.2818306666666667E-2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rowBreaks count="1" manualBreakCount="1">
    <brk id="5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ACC39-1E23-4528-AB85-0C72C01E9887}">
  <ds:schemaRefs>
    <ds:schemaRef ds:uri="http://schemas.microsoft.com/office/2006/metadata/properties"/>
    <ds:schemaRef ds:uri="http://schemas.microsoft.com/office/infopath/2007/PartnerControls"/>
    <ds:schemaRef ds:uri="c4ac414c-25a2-4ad1-8aac-59589dae9f3b"/>
  </ds:schemaRefs>
</ds:datastoreItem>
</file>

<file path=customXml/itemProps2.xml><?xml version="1.0" encoding="utf-8"?>
<ds:datastoreItem xmlns:ds="http://schemas.openxmlformats.org/officeDocument/2006/customXml" ds:itemID="{A8744299-36D8-44FD-B642-00EA5E1640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BCD26-B47F-44CE-B8FD-DC97748070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2027 RR Comparison</vt:lpstr>
      <vt:lpstr>Assumptions</vt:lpstr>
      <vt:lpstr>Assumptions!Print_Area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Yampolsky</dc:creator>
  <cp:lastModifiedBy>Natalie Yeates</cp:lastModifiedBy>
  <dcterms:created xsi:type="dcterms:W3CDTF">2026-03-17T19:13:29Z</dcterms:created>
  <dcterms:modified xsi:type="dcterms:W3CDTF">2026-03-27T20:12:59Z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