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18" documentId="8_{C2634914-9E44-47CE-8CF8-FAAB0137BA71}" xr6:coauthVersionLast="47" xr6:coauthVersionMax="47" xr10:uidLastSave="{166DFA3B-6C26-4433-A006-9FC710D87C81}"/>
  <bookViews>
    <workbookView xWindow="-120" yWindow="-120" windowWidth="29040" windowHeight="15840" tabRatio="786" xr2:uid="{A760EC63-9407-45C7-A3C0-268B23321D65}"/>
  </bookViews>
  <sheets>
    <sheet name="Summary" sheetId="1" r:id="rId1"/>
    <sheet name="Revenue Requirements" sheetId="5" r:id="rId2"/>
    <sheet name="PILs Impact" sheetId="3" r:id="rId3"/>
    <sheet name="Rate Base" sheetId="7" r:id="rId4"/>
    <sheet name="Deployment options" sheetId="11" r:id="rId5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{#N/A,#N/A,FALSE,"CLAIMS";#N/A,#N/A,FALSE,"EXPENSE";#N/A,#N/A,FALSE,"CAPITAL"}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4">ISA #REF!</definedName>
    <definedName name="actuals2014" localSheetId="3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"SEP 2015"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#N/A</definedName>
    <definedName name="Days">{0,1,2,3,4,5,6}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>"07"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4">(((1+[0]!Real_Return)^Probable_Life)-(1+[0]!Real_Return)^#REF!)</definedName>
    <definedName name="ELF" localSheetId="3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 hidden="1">#REF!</definedName>
    <definedName name="G1LD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>#REF!</definedName>
    <definedName name="HISTORIC.COST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>#REF!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FD_COL">#REF!</definedName>
    <definedName name="PG" localSheetId="4">(1+[0]!Real_Return)^Probable_Life-1</definedName>
    <definedName name="PG" localSheetId="3">(1+[0]!Real_Return)^Probable_Life-1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>#REF!</definedName>
    <definedName name="RenameRebase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4">(1-[0]!Service_Life)*(Probable_Life-#REF!)/Probable_Life+[0]!Service_Life</definedName>
    <definedName name="Service_Factor" localSheetId="3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_Year">#REF!</definedName>
    <definedName name="TEST0">#REF!</definedName>
    <definedName name="test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er">#REF!</definedName>
    <definedName name="TESTHKEY">#REF!</definedName>
    <definedName name="TESTKEYS">#REF!</definedName>
    <definedName name="TESTVKEY">#REF!</definedName>
    <definedName name="TestYear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4">IF(WeekStart="Monday",2,1)</definedName>
    <definedName name="WeekStartValue" localSheetId="3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9" i="1"/>
  <c r="B10" i="1"/>
  <c r="C18" i="3"/>
  <c r="AF47" i="3"/>
  <c r="AE47" i="3"/>
  <c r="AF40" i="3"/>
  <c r="AG14" i="3"/>
  <c r="C42" i="1"/>
  <c r="B42" i="1"/>
  <c r="E13" i="11"/>
  <c r="C35" i="1"/>
  <c r="B35" i="1"/>
  <c r="C28" i="1"/>
  <c r="B28" i="1"/>
  <c r="C21" i="1"/>
  <c r="I31" i="3" l="1"/>
  <c r="H31" i="3"/>
  <c r="I41" i="3"/>
  <c r="H41" i="3"/>
  <c r="Q41" i="3"/>
  <c r="P41" i="3"/>
  <c r="P43" i="3" s="1"/>
  <c r="Q31" i="3"/>
  <c r="Q33" i="3" s="1"/>
  <c r="P31" i="3"/>
  <c r="P33" i="3" s="1"/>
  <c r="P30" i="3"/>
  <c r="P35" i="3"/>
  <c r="Q35" i="3"/>
  <c r="P40" i="3"/>
  <c r="Q43" i="3"/>
  <c r="P45" i="3"/>
  <c r="Q45" i="3"/>
  <c r="P44" i="3" l="1"/>
  <c r="P46" i="3" s="1"/>
  <c r="P47" i="3" s="1"/>
  <c r="Q40" i="3" s="1"/>
  <c r="P34" i="3"/>
  <c r="P36" i="3" s="1"/>
  <c r="P49" i="3" s="1"/>
  <c r="P18" i="3" s="1"/>
  <c r="Q44" i="3"/>
  <c r="Q46" i="3" s="1"/>
  <c r="Q47" i="3"/>
  <c r="H41" i="7"/>
  <c r="H42" i="7" s="1"/>
  <c r="H26" i="7"/>
  <c r="G26" i="7"/>
  <c r="H25" i="7" s="1"/>
  <c r="H11" i="7"/>
  <c r="G11" i="7"/>
  <c r="H40" i="7"/>
  <c r="G25" i="7"/>
  <c r="G27" i="7" s="1"/>
  <c r="G28" i="7"/>
  <c r="G31" i="7"/>
  <c r="G10" i="7"/>
  <c r="I43" i="3"/>
  <c r="H43" i="3"/>
  <c r="I33" i="3"/>
  <c r="H33" i="3"/>
  <c r="Y31" i="3"/>
  <c r="Y33" i="3"/>
  <c r="Y41" i="3"/>
  <c r="Y43" i="3"/>
  <c r="AG41" i="3"/>
  <c r="AG43" i="3" s="1"/>
  <c r="AF41" i="3"/>
  <c r="AF43" i="3" s="1"/>
  <c r="AG31" i="3"/>
  <c r="AG33" i="3" s="1"/>
  <c r="AF31" i="3"/>
  <c r="AF33" i="3" s="1"/>
  <c r="X41" i="3"/>
  <c r="X43" i="3" s="1"/>
  <c r="X31" i="3"/>
  <c r="X33" i="3" s="1"/>
  <c r="G41" i="7"/>
  <c r="P37" i="3" l="1"/>
  <c r="Q30" i="3" s="1"/>
  <c r="Q34" i="3" s="1"/>
  <c r="Q36" i="3" s="1"/>
  <c r="Q49" i="3" s="1"/>
  <c r="J40" i="11"/>
  <c r="J39" i="11"/>
  <c r="J37" i="11"/>
  <c r="J38" i="11" s="1"/>
  <c r="J36" i="11"/>
  <c r="J31" i="11"/>
  <c r="J30" i="11"/>
  <c r="J28" i="11"/>
  <c r="J27" i="11"/>
  <c r="J29" i="11" s="1"/>
  <c r="J22" i="11"/>
  <c r="J21" i="11"/>
  <c r="J20" i="11"/>
  <c r="J19" i="11"/>
  <c r="J18" i="11"/>
  <c r="J12" i="11"/>
  <c r="J10" i="11"/>
  <c r="J9" i="11"/>
  <c r="J23" i="11" l="1"/>
  <c r="Q18" i="3"/>
  <c r="Q37" i="3"/>
  <c r="H27" i="7"/>
  <c r="H10" i="7"/>
  <c r="G12" i="7"/>
  <c r="J41" i="11"/>
  <c r="J32" i="11"/>
  <c r="I11" i="11" l="1"/>
  <c r="H11" i="11"/>
  <c r="C11" i="11"/>
  <c r="D11" i="11"/>
  <c r="E11" i="11"/>
  <c r="F11" i="11"/>
  <c r="B11" i="11"/>
  <c r="H12" i="7" l="1"/>
  <c r="I41" i="11"/>
  <c r="H41" i="11"/>
  <c r="AF17" i="3" s="1"/>
  <c r="I38" i="11"/>
  <c r="H38" i="11"/>
  <c r="G56" i="7" s="1"/>
  <c r="I32" i="11"/>
  <c r="H32" i="11"/>
  <c r="I29" i="11"/>
  <c r="H29" i="11"/>
  <c r="I23" i="11"/>
  <c r="H23" i="11"/>
  <c r="P17" i="3" s="1"/>
  <c r="I20" i="11"/>
  <c r="H20" i="11"/>
  <c r="I14" i="11"/>
  <c r="H14" i="11"/>
  <c r="H17" i="3" s="1"/>
  <c r="H29" i="5" l="1"/>
  <c r="Q17" i="3"/>
  <c r="H14" i="5"/>
  <c r="I17" i="3"/>
  <c r="H57" i="5"/>
  <c r="AG17" i="3"/>
  <c r="Y17" i="3"/>
  <c r="H43" i="5"/>
  <c r="G29" i="7"/>
  <c r="G29" i="5"/>
  <c r="G14" i="5"/>
  <c r="G59" i="7"/>
  <c r="G57" i="5"/>
  <c r="X17" i="3"/>
  <c r="G44" i="7"/>
  <c r="H43" i="7" s="1"/>
  <c r="G43" i="5"/>
  <c r="J11" i="11"/>
  <c r="D42" i="1"/>
  <c r="C41" i="1"/>
  <c r="B41" i="1"/>
  <c r="D41" i="1" s="1"/>
  <c r="D40" i="1"/>
  <c r="D39" i="1"/>
  <c r="D38" i="1"/>
  <c r="D35" i="1"/>
  <c r="C34" i="1"/>
  <c r="B34" i="1"/>
  <c r="D33" i="1"/>
  <c r="D32" i="1"/>
  <c r="D31" i="1"/>
  <c r="D28" i="1"/>
  <c r="C27" i="1"/>
  <c r="B27" i="1"/>
  <c r="D26" i="1"/>
  <c r="D25" i="1"/>
  <c r="D24" i="1"/>
  <c r="C20" i="1"/>
  <c r="B20" i="1"/>
  <c r="D19" i="1"/>
  <c r="D18" i="1"/>
  <c r="D17" i="1"/>
  <c r="H44" i="7" l="1"/>
  <c r="H47" i="7" s="1"/>
  <c r="H46" i="7"/>
  <c r="H48" i="7" s="1"/>
  <c r="H50" i="7" s="1"/>
  <c r="H45" i="7"/>
  <c r="H28" i="7"/>
  <c r="G30" i="7"/>
  <c r="G32" i="7"/>
  <c r="G33" i="7" s="1"/>
  <c r="G35" i="7" s="1"/>
  <c r="D34" i="1"/>
  <c r="D20" i="1"/>
  <c r="D27" i="1"/>
  <c r="Y11" i="3" l="1"/>
  <c r="Y14" i="3" s="1"/>
  <c r="Y16" i="3" s="1"/>
  <c r="H39" i="5"/>
  <c r="H41" i="5" s="1"/>
  <c r="P11" i="3"/>
  <c r="P14" i="3" s="1"/>
  <c r="P16" i="3" s="1"/>
  <c r="P19" i="3" s="1"/>
  <c r="P21" i="3" s="1"/>
  <c r="P23" i="3" s="1"/>
  <c r="P25" i="3" s="1"/>
  <c r="G31" i="5" s="1"/>
  <c r="G25" i="5"/>
  <c r="H29" i="7"/>
  <c r="H32" i="7" s="1"/>
  <c r="H31" i="7"/>
  <c r="H33" i="7" s="1"/>
  <c r="H35" i="7" s="1"/>
  <c r="AB45" i="3"/>
  <c r="AC45" i="3" s="1"/>
  <c r="AD45" i="3" s="1"/>
  <c r="AE45" i="3" s="1"/>
  <c r="AF45" i="3" s="1"/>
  <c r="AG45" i="3" s="1"/>
  <c r="T45" i="3"/>
  <c r="U45" i="3" s="1"/>
  <c r="V45" i="3" s="1"/>
  <c r="W45" i="3" s="1"/>
  <c r="X45" i="3" s="1"/>
  <c r="Y45" i="3" s="1"/>
  <c r="AE41" i="3"/>
  <c r="AE43" i="3" s="1"/>
  <c r="AD41" i="3"/>
  <c r="AD43" i="3" s="1"/>
  <c r="AC41" i="3"/>
  <c r="AC43" i="3" s="1"/>
  <c r="AB41" i="3"/>
  <c r="AB43" i="3" s="1"/>
  <c r="AA41" i="3"/>
  <c r="AA43" i="3" s="1"/>
  <c r="AA44" i="3" s="1"/>
  <c r="AA46" i="3" s="1"/>
  <c r="AA47" i="3" s="1"/>
  <c r="AB40" i="3" s="1"/>
  <c r="W41" i="3"/>
  <c r="W43" i="3" s="1"/>
  <c r="V41" i="3"/>
  <c r="V43" i="3" s="1"/>
  <c r="U41" i="3"/>
  <c r="U43" i="3" s="1"/>
  <c r="T41" i="3"/>
  <c r="T43" i="3" s="1"/>
  <c r="S41" i="3"/>
  <c r="S43" i="3" s="1"/>
  <c r="S44" i="3" s="1"/>
  <c r="S46" i="3" s="1"/>
  <c r="S47" i="3" s="1"/>
  <c r="T40" i="3" s="1"/>
  <c r="O41" i="3"/>
  <c r="O43" i="3" s="1"/>
  <c r="N41" i="3"/>
  <c r="N43" i="3" s="1"/>
  <c r="M41" i="3"/>
  <c r="M43" i="3" s="1"/>
  <c r="L41" i="3"/>
  <c r="L43" i="3" s="1"/>
  <c r="K41" i="3"/>
  <c r="K43" i="3" s="1"/>
  <c r="K44" i="3" s="1"/>
  <c r="K46" i="3" s="1"/>
  <c r="AB35" i="3"/>
  <c r="AC35" i="3" s="1"/>
  <c r="AD35" i="3" s="1"/>
  <c r="AE35" i="3" s="1"/>
  <c r="AF35" i="3" s="1"/>
  <c r="AG35" i="3" s="1"/>
  <c r="T35" i="3"/>
  <c r="U35" i="3" s="1"/>
  <c r="V35" i="3" s="1"/>
  <c r="W35" i="3" s="1"/>
  <c r="X35" i="3" s="1"/>
  <c r="Y35" i="3" s="1"/>
  <c r="AE31" i="3"/>
  <c r="AE33" i="3" s="1"/>
  <c r="AD31" i="3"/>
  <c r="AD33" i="3" s="1"/>
  <c r="AC31" i="3"/>
  <c r="AC33" i="3" s="1"/>
  <c r="AB31" i="3"/>
  <c r="AB33" i="3" s="1"/>
  <c r="AA31" i="3"/>
  <c r="AA33" i="3" s="1"/>
  <c r="AA34" i="3" s="1"/>
  <c r="AA36" i="3" s="1"/>
  <c r="AA37" i="3" s="1"/>
  <c r="AB30" i="3" s="1"/>
  <c r="W31" i="3"/>
  <c r="W33" i="3" s="1"/>
  <c r="V31" i="3"/>
  <c r="V33" i="3" s="1"/>
  <c r="U31" i="3"/>
  <c r="U33" i="3" s="1"/>
  <c r="T31" i="3"/>
  <c r="T33" i="3" s="1"/>
  <c r="S31" i="3"/>
  <c r="S33" i="3" s="1"/>
  <c r="S34" i="3" s="1"/>
  <c r="S36" i="3" s="1"/>
  <c r="O31" i="3"/>
  <c r="O33" i="3" s="1"/>
  <c r="N31" i="3"/>
  <c r="N33" i="3" s="1"/>
  <c r="M31" i="3"/>
  <c r="M33" i="3" s="1"/>
  <c r="L31" i="3"/>
  <c r="L33" i="3" s="1"/>
  <c r="K31" i="3"/>
  <c r="K33" i="3" s="1"/>
  <c r="K34" i="3" s="1"/>
  <c r="K36" i="3" s="1"/>
  <c r="K37" i="3" s="1"/>
  <c r="L30" i="3" s="1"/>
  <c r="G31" i="3"/>
  <c r="G33" i="3" s="1"/>
  <c r="F31" i="3"/>
  <c r="F33" i="3" s="1"/>
  <c r="E31" i="3"/>
  <c r="E33" i="3" s="1"/>
  <c r="D31" i="3"/>
  <c r="D33" i="3" s="1"/>
  <c r="C31" i="3"/>
  <c r="L45" i="3"/>
  <c r="M45" i="3" s="1"/>
  <c r="N45" i="3" s="1"/>
  <c r="L35" i="3"/>
  <c r="M35" i="3" s="1"/>
  <c r="N35" i="3" s="1"/>
  <c r="D45" i="3"/>
  <c r="E45" i="3" s="1"/>
  <c r="F45" i="3" s="1"/>
  <c r="G45" i="3" s="1"/>
  <c r="H45" i="3" s="1"/>
  <c r="I45" i="3" s="1"/>
  <c r="D35" i="3"/>
  <c r="E35" i="3" s="1"/>
  <c r="F35" i="3" s="1"/>
  <c r="G35" i="3" s="1"/>
  <c r="H35" i="3" s="1"/>
  <c r="I35" i="3" s="1"/>
  <c r="H30" i="7" l="1"/>
  <c r="Q11" i="3"/>
  <c r="Q14" i="3" s="1"/>
  <c r="Q16" i="3" s="1"/>
  <c r="Q19" i="3" s="1"/>
  <c r="Q21" i="3" s="1"/>
  <c r="Q23" i="3" s="1"/>
  <c r="Q25" i="3" s="1"/>
  <c r="H31" i="5" s="1"/>
  <c r="H25" i="5"/>
  <c r="H27" i="5" s="1"/>
  <c r="G27" i="5"/>
  <c r="O35" i="3"/>
  <c r="O45" i="3"/>
  <c r="AB44" i="3"/>
  <c r="AB46" i="3" s="1"/>
  <c r="AB47" i="3" s="1"/>
  <c r="AC40" i="3" s="1"/>
  <c r="T44" i="3"/>
  <c r="T46" i="3" s="1"/>
  <c r="T47" i="3" s="1"/>
  <c r="U40" i="3" s="1"/>
  <c r="S49" i="3"/>
  <c r="S18" i="3" s="1"/>
  <c r="AB34" i="3"/>
  <c r="AB36" i="3" s="1"/>
  <c r="AA49" i="3"/>
  <c r="AA18" i="3" s="1"/>
  <c r="S37" i="3"/>
  <c r="T30" i="3" s="1"/>
  <c r="C33" i="3"/>
  <c r="C34" i="3" s="1"/>
  <c r="C36" i="3" s="1"/>
  <c r="K49" i="3"/>
  <c r="K18" i="3" s="1"/>
  <c r="K47" i="3"/>
  <c r="L40" i="3" s="1"/>
  <c r="L34" i="3"/>
  <c r="L36" i="3" s="1"/>
  <c r="L37" i="3" s="1"/>
  <c r="M30" i="3" s="1"/>
  <c r="AB49" i="3" l="1"/>
  <c r="AB18" i="3" s="1"/>
  <c r="AB37" i="3"/>
  <c r="AC30" i="3" s="1"/>
  <c r="AC44" i="3"/>
  <c r="AC46" i="3" s="1"/>
  <c r="AC47" i="3" s="1"/>
  <c r="AD40" i="3" s="1"/>
  <c r="U44" i="3"/>
  <c r="U46" i="3" s="1"/>
  <c r="U47" i="3" s="1"/>
  <c r="V40" i="3" s="1"/>
  <c r="AC34" i="3"/>
  <c r="AC36" i="3" s="1"/>
  <c r="AC49" i="3" s="1"/>
  <c r="AC18" i="3" s="1"/>
  <c r="T34" i="3"/>
  <c r="T36" i="3" s="1"/>
  <c r="T49" i="3" s="1"/>
  <c r="T18" i="3" s="1"/>
  <c r="C37" i="3"/>
  <c r="D30" i="3" s="1"/>
  <c r="D34" i="3" s="1"/>
  <c r="D36" i="3" s="1"/>
  <c r="L44" i="3"/>
  <c r="L46" i="3" s="1"/>
  <c r="L49" i="3" s="1"/>
  <c r="L18" i="3" s="1"/>
  <c r="M34" i="3"/>
  <c r="M36" i="3" s="1"/>
  <c r="M37" i="3" s="1"/>
  <c r="N30" i="3" s="1"/>
  <c r="C20" i="11"/>
  <c r="D20" i="11"/>
  <c r="E20" i="11"/>
  <c r="F20" i="11"/>
  <c r="B20" i="11"/>
  <c r="C38" i="11"/>
  <c r="D38" i="11"/>
  <c r="E38" i="11"/>
  <c r="F38" i="11"/>
  <c r="B38" i="11"/>
  <c r="F29" i="11"/>
  <c r="C29" i="11"/>
  <c r="D29" i="11"/>
  <c r="E29" i="11"/>
  <c r="B29" i="11"/>
  <c r="G28" i="11"/>
  <c r="G27" i="11"/>
  <c r="G29" i="11" l="1"/>
  <c r="AC37" i="3"/>
  <c r="AD30" i="3" s="1"/>
  <c r="AD34" i="3" s="1"/>
  <c r="AD36" i="3" s="1"/>
  <c r="AD44" i="3"/>
  <c r="AD46" i="3" s="1"/>
  <c r="AD47" i="3" s="1"/>
  <c r="AE40" i="3" s="1"/>
  <c r="V44" i="3"/>
  <c r="V46" i="3" s="1"/>
  <c r="V47" i="3" s="1"/>
  <c r="W40" i="3" s="1"/>
  <c r="T37" i="3"/>
  <c r="U30" i="3" s="1"/>
  <c r="D37" i="3"/>
  <c r="E30" i="3" s="1"/>
  <c r="L47" i="3"/>
  <c r="M40" i="3" s="1"/>
  <c r="N34" i="3"/>
  <c r="N36" i="3" s="1"/>
  <c r="N37" i="3" s="1"/>
  <c r="G9" i="11"/>
  <c r="G37" i="11"/>
  <c r="G36" i="11"/>
  <c r="G38" i="11" s="1"/>
  <c r="G19" i="11"/>
  <c r="G18" i="11"/>
  <c r="G20" i="11" s="1"/>
  <c r="G41" i="3"/>
  <c r="G43" i="3" s="1"/>
  <c r="F41" i="3"/>
  <c r="F43" i="3" s="1"/>
  <c r="E41" i="3"/>
  <c r="E43" i="3" s="1"/>
  <c r="D41" i="3"/>
  <c r="D43" i="3" s="1"/>
  <c r="O30" i="3" l="1"/>
  <c r="AD49" i="3"/>
  <c r="AD18" i="3" s="1"/>
  <c r="AE44" i="3"/>
  <c r="AE46" i="3" s="1"/>
  <c r="W44" i="3"/>
  <c r="W46" i="3" s="1"/>
  <c r="W47" i="3" s="1"/>
  <c r="X40" i="3" s="1"/>
  <c r="AD37" i="3"/>
  <c r="AE30" i="3" s="1"/>
  <c r="U34" i="3"/>
  <c r="U36" i="3" s="1"/>
  <c r="U49" i="3" s="1"/>
  <c r="U18" i="3" s="1"/>
  <c r="E34" i="3"/>
  <c r="E36" i="3" s="1"/>
  <c r="M44" i="3"/>
  <c r="M46" i="3" s="1"/>
  <c r="M49" i="3" s="1"/>
  <c r="M18" i="3" s="1"/>
  <c r="O34" i="3"/>
  <c r="O36" i="3" s="1"/>
  <c r="O37" i="3" s="1"/>
  <c r="AF44" i="3" l="1"/>
  <c r="AF46" i="3" s="1"/>
  <c r="AG40" i="3" s="1"/>
  <c r="X44" i="3"/>
  <c r="X46" i="3" s="1"/>
  <c r="X47" i="3" s="1"/>
  <c r="Y40" i="3" s="1"/>
  <c r="AE34" i="3"/>
  <c r="AE36" i="3" s="1"/>
  <c r="AE49" i="3" s="1"/>
  <c r="AE18" i="3" s="1"/>
  <c r="U37" i="3"/>
  <c r="V30" i="3" s="1"/>
  <c r="E37" i="3"/>
  <c r="F30" i="3" s="1"/>
  <c r="M47" i="3"/>
  <c r="N40" i="3" s="1"/>
  <c r="B56" i="7"/>
  <c r="B57" i="7" s="1"/>
  <c r="B41" i="7"/>
  <c r="C40" i="7" s="1"/>
  <c r="C41" i="7" s="1"/>
  <c r="B26" i="7"/>
  <c r="B27" i="7" s="1"/>
  <c r="B61" i="7"/>
  <c r="B46" i="7"/>
  <c r="B31" i="7"/>
  <c r="B16" i="7"/>
  <c r="Y44" i="3" l="1"/>
  <c r="Y46" i="3" s="1"/>
  <c r="Y47" i="3" s="1"/>
  <c r="AG44" i="3"/>
  <c r="AG46" i="3" s="1"/>
  <c r="AG47" i="3" s="1"/>
  <c r="AE37" i="3"/>
  <c r="AF30" i="3" s="1"/>
  <c r="V34" i="3"/>
  <c r="V36" i="3" s="1"/>
  <c r="V49" i="3" s="1"/>
  <c r="V18" i="3" s="1"/>
  <c r="F34" i="3"/>
  <c r="F36" i="3" s="1"/>
  <c r="N44" i="3"/>
  <c r="N46" i="3" s="1"/>
  <c r="N49" i="3" s="1"/>
  <c r="N18" i="3" s="1"/>
  <c r="C55" i="7"/>
  <c r="C56" i="7" s="1"/>
  <c r="B42" i="7"/>
  <c r="C25" i="7"/>
  <c r="C26" i="7" s="1"/>
  <c r="C27" i="7" s="1"/>
  <c r="C42" i="7"/>
  <c r="AF34" i="3" l="1"/>
  <c r="AF36" i="3" s="1"/>
  <c r="AF49" i="3" s="1"/>
  <c r="AF18" i="3" s="1"/>
  <c r="V37" i="3"/>
  <c r="W30" i="3" s="1"/>
  <c r="F37" i="3"/>
  <c r="G30" i="3" s="1"/>
  <c r="N47" i="3"/>
  <c r="C57" i="7"/>
  <c r="D40" i="7"/>
  <c r="D41" i="7" s="1"/>
  <c r="D55" i="7"/>
  <c r="D56" i="7" s="1"/>
  <c r="D25" i="7"/>
  <c r="D26" i="7" s="1"/>
  <c r="O40" i="3" l="1"/>
  <c r="AF37" i="3"/>
  <c r="AG30" i="3" s="1"/>
  <c r="AG34" i="3" s="1"/>
  <c r="AG36" i="3" s="1"/>
  <c r="AG49" i="3" s="1"/>
  <c r="AG18" i="3" s="1"/>
  <c r="AG19" i="3" s="1"/>
  <c r="AG21" i="3" s="1"/>
  <c r="W34" i="3"/>
  <c r="W36" i="3" s="1"/>
  <c r="W49" i="3" s="1"/>
  <c r="W18" i="3" s="1"/>
  <c r="G34" i="3"/>
  <c r="G36" i="3" s="1"/>
  <c r="O44" i="3"/>
  <c r="O46" i="3" s="1"/>
  <c r="O49" i="3" s="1"/>
  <c r="O18" i="3" s="1"/>
  <c r="D57" i="7"/>
  <c r="D42" i="7"/>
  <c r="D27" i="7"/>
  <c r="AG25" i="3" l="1"/>
  <c r="AG23" i="3"/>
  <c r="AG37" i="3"/>
  <c r="W37" i="3"/>
  <c r="X30" i="3" s="1"/>
  <c r="G37" i="3"/>
  <c r="H30" i="3" s="1"/>
  <c r="O47" i="3"/>
  <c r="E40" i="7"/>
  <c r="E41" i="7" s="1"/>
  <c r="E25" i="7"/>
  <c r="E26" i="7" s="1"/>
  <c r="E55" i="7"/>
  <c r="E56" i="7" s="1"/>
  <c r="H34" i="3" l="1"/>
  <c r="H36" i="3" s="1"/>
  <c r="H37" i="3" s="1"/>
  <c r="I30" i="3" s="1"/>
  <c r="X34" i="3"/>
  <c r="X36" i="3" s="1"/>
  <c r="X49" i="3" s="1"/>
  <c r="X18" i="3" s="1"/>
  <c r="E42" i="7"/>
  <c r="E27" i="7"/>
  <c r="E57" i="7"/>
  <c r="I34" i="3" l="1"/>
  <c r="I36" i="3" s="1"/>
  <c r="I37" i="3"/>
  <c r="X37" i="3"/>
  <c r="Y30" i="3" s="1"/>
  <c r="F55" i="7"/>
  <c r="F56" i="7" s="1"/>
  <c r="G55" i="7" s="1"/>
  <c r="F40" i="7"/>
  <c r="F41" i="7" s="1"/>
  <c r="G40" i="7" s="1"/>
  <c r="F25" i="7"/>
  <c r="F26" i="7" s="1"/>
  <c r="Y34" i="3" l="1"/>
  <c r="Y36" i="3" s="1"/>
  <c r="Y49" i="3" s="1"/>
  <c r="Y18" i="3" s="1"/>
  <c r="Y19" i="3" s="1"/>
  <c r="Y21" i="3" s="1"/>
  <c r="G42" i="7"/>
  <c r="G57" i="7"/>
  <c r="F57" i="7"/>
  <c r="F27" i="7"/>
  <c r="F42" i="7"/>
  <c r="Y37" i="3" l="1"/>
  <c r="H55" i="7"/>
  <c r="H56" i="7" s="1"/>
  <c r="F41" i="11"/>
  <c r="E41" i="11"/>
  <c r="D41" i="11"/>
  <c r="C41" i="11"/>
  <c r="B41" i="11"/>
  <c r="AA17" i="3" s="1"/>
  <c r="G40" i="11"/>
  <c r="G39" i="11"/>
  <c r="F32" i="11"/>
  <c r="E32" i="11"/>
  <c r="D32" i="11"/>
  <c r="C32" i="11"/>
  <c r="B32" i="11"/>
  <c r="S17" i="3" s="1"/>
  <c r="G31" i="11"/>
  <c r="G30" i="11"/>
  <c r="F23" i="11"/>
  <c r="E23" i="11"/>
  <c r="D23" i="11"/>
  <c r="C23" i="11"/>
  <c r="B23" i="11"/>
  <c r="K17" i="3" s="1"/>
  <c r="G22" i="11"/>
  <c r="G21" i="11"/>
  <c r="F14" i="11"/>
  <c r="E14" i="11"/>
  <c r="D14" i="11"/>
  <c r="C14" i="11"/>
  <c r="B14" i="11"/>
  <c r="C17" i="3" s="1"/>
  <c r="G13" i="11"/>
  <c r="G12" i="11"/>
  <c r="J13" i="11" l="1"/>
  <c r="B21" i="1"/>
  <c r="D21" i="1" s="1"/>
  <c r="D14" i="5"/>
  <c r="E17" i="3"/>
  <c r="E14" i="5"/>
  <c r="F17" i="3"/>
  <c r="C29" i="5"/>
  <c r="L17" i="3"/>
  <c r="F14" i="5"/>
  <c r="G17" i="3"/>
  <c r="E29" i="5"/>
  <c r="N17" i="3"/>
  <c r="F29" i="5"/>
  <c r="O17" i="3"/>
  <c r="D29" i="5"/>
  <c r="M17" i="3"/>
  <c r="C14" i="5"/>
  <c r="D17" i="3"/>
  <c r="C57" i="5"/>
  <c r="AB17" i="3"/>
  <c r="D57" i="5"/>
  <c r="AC17" i="3"/>
  <c r="E57" i="5"/>
  <c r="AD17" i="3"/>
  <c r="F57" i="5"/>
  <c r="AE17" i="3"/>
  <c r="C43" i="5"/>
  <c r="T17" i="3"/>
  <c r="D43" i="5"/>
  <c r="U17" i="3"/>
  <c r="F43" i="5"/>
  <c r="W17" i="3"/>
  <c r="E43" i="5"/>
  <c r="V17" i="3"/>
  <c r="G41" i="11"/>
  <c r="G23" i="11"/>
  <c r="G14" i="11"/>
  <c r="G32" i="11"/>
  <c r="B14" i="7"/>
  <c r="B14" i="5"/>
  <c r="B29" i="5"/>
  <c r="B29" i="7"/>
  <c r="B59" i="7"/>
  <c r="B57" i="5"/>
  <c r="B43" i="5"/>
  <c r="B44" i="7"/>
  <c r="J14" i="11" l="1"/>
  <c r="H57" i="7"/>
  <c r="B60" i="7"/>
  <c r="C58" i="7"/>
  <c r="B62" i="7"/>
  <c r="B63" i="7" s="1"/>
  <c r="B65" i="7" s="1"/>
  <c r="B30" i="7"/>
  <c r="C28" i="7"/>
  <c r="B32" i="7"/>
  <c r="B33" i="7" s="1"/>
  <c r="B35" i="7" s="1"/>
  <c r="B15" i="7"/>
  <c r="C13" i="7"/>
  <c r="B45" i="7"/>
  <c r="B47" i="7"/>
  <c r="B48" i="7" s="1"/>
  <c r="B50" i="7" s="1"/>
  <c r="C43" i="7"/>
  <c r="B53" i="5" l="1"/>
  <c r="B55" i="5" s="1"/>
  <c r="AA11" i="3"/>
  <c r="B39" i="5"/>
  <c r="B41" i="5" s="1"/>
  <c r="S11" i="3"/>
  <c r="B25" i="5"/>
  <c r="B27" i="5" s="1"/>
  <c r="K11" i="3"/>
  <c r="C14" i="7"/>
  <c r="C15" i="7" s="1"/>
  <c r="C29" i="7"/>
  <c r="C30" i="7" s="1"/>
  <c r="C31" i="7"/>
  <c r="C59" i="7"/>
  <c r="C60" i="7" s="1"/>
  <c r="C61" i="7"/>
  <c r="C44" i="7"/>
  <c r="C45" i="7" s="1"/>
  <c r="C46" i="7"/>
  <c r="D28" i="7" l="1"/>
  <c r="C32" i="7"/>
  <c r="C33" i="7" s="1"/>
  <c r="C35" i="7" s="1"/>
  <c r="D58" i="7"/>
  <c r="C62" i="7"/>
  <c r="C63" i="7" s="1"/>
  <c r="C65" i="7" s="1"/>
  <c r="D13" i="7"/>
  <c r="D43" i="7"/>
  <c r="C47" i="7"/>
  <c r="C48" i="7" s="1"/>
  <c r="C50" i="7" s="1"/>
  <c r="C53" i="5" l="1"/>
  <c r="C55" i="5" s="1"/>
  <c r="AB11" i="3"/>
  <c r="C39" i="5"/>
  <c r="C41" i="5" s="1"/>
  <c r="T11" i="3"/>
  <c r="C25" i="5"/>
  <c r="C27" i="5" s="1"/>
  <c r="L11" i="3"/>
  <c r="D59" i="7"/>
  <c r="D60" i="7" s="1"/>
  <c r="D61" i="7"/>
  <c r="D14" i="7"/>
  <c r="D15" i="7" s="1"/>
  <c r="D29" i="7"/>
  <c r="D30" i="7" s="1"/>
  <c r="D31" i="7"/>
  <c r="D44" i="7"/>
  <c r="D45" i="7" s="1"/>
  <c r="D46" i="7"/>
  <c r="E28" i="7" l="1"/>
  <c r="D32" i="7"/>
  <c r="D33" i="7" s="1"/>
  <c r="D35" i="7" s="1"/>
  <c r="E58" i="7"/>
  <c r="D62" i="7"/>
  <c r="D63" i="7" s="1"/>
  <c r="D65" i="7" s="1"/>
  <c r="E13" i="7"/>
  <c r="E43" i="7"/>
  <c r="D47" i="7"/>
  <c r="D48" i="7" s="1"/>
  <c r="D50" i="7" s="1"/>
  <c r="D53" i="5" l="1"/>
  <c r="D55" i="5" s="1"/>
  <c r="AC11" i="3"/>
  <c r="D39" i="5"/>
  <c r="D41" i="5" s="1"/>
  <c r="U11" i="3"/>
  <c r="D25" i="5"/>
  <c r="D27" i="5" s="1"/>
  <c r="M11" i="3"/>
  <c r="E59" i="7"/>
  <c r="E60" i="7" s="1"/>
  <c r="E61" i="7"/>
  <c r="E29" i="7"/>
  <c r="E30" i="7" s="1"/>
  <c r="E31" i="7"/>
  <c r="E14" i="7"/>
  <c r="E15" i="7" s="1"/>
  <c r="E44" i="7"/>
  <c r="E45" i="7" s="1"/>
  <c r="E46" i="7"/>
  <c r="F28" i="7" l="1"/>
  <c r="E32" i="7"/>
  <c r="E33" i="7" s="1"/>
  <c r="E35" i="7" s="1"/>
  <c r="F13" i="7"/>
  <c r="F58" i="7"/>
  <c r="E62" i="7"/>
  <c r="E63" i="7" s="1"/>
  <c r="E65" i="7" s="1"/>
  <c r="F43" i="7"/>
  <c r="E47" i="7"/>
  <c r="E48" i="7" s="1"/>
  <c r="E50" i="7" s="1"/>
  <c r="E53" i="5" l="1"/>
  <c r="AD11" i="3"/>
  <c r="E39" i="5"/>
  <c r="V11" i="3"/>
  <c r="E25" i="5"/>
  <c r="N11" i="3"/>
  <c r="F29" i="7"/>
  <c r="F31" i="7"/>
  <c r="F59" i="7"/>
  <c r="F61" i="7"/>
  <c r="F14" i="7"/>
  <c r="G13" i="7" s="1"/>
  <c r="F44" i="7"/>
  <c r="F46" i="7"/>
  <c r="G16" i="7" l="1"/>
  <c r="G14" i="7"/>
  <c r="G15" i="7"/>
  <c r="F47" i="7"/>
  <c r="G43" i="7"/>
  <c r="F62" i="7"/>
  <c r="G58" i="7"/>
  <c r="F32" i="7"/>
  <c r="F33" i="7" s="1"/>
  <c r="F35" i="7" s="1"/>
  <c r="E27" i="5"/>
  <c r="E41" i="5"/>
  <c r="E55" i="5"/>
  <c r="F63" i="7"/>
  <c r="F65" i="7" s="1"/>
  <c r="F30" i="7"/>
  <c r="F48" i="7"/>
  <c r="F50" i="7" s="1"/>
  <c r="F60" i="7"/>
  <c r="F15" i="7"/>
  <c r="F45" i="7"/>
  <c r="H13" i="7" l="1"/>
  <c r="G17" i="7"/>
  <c r="G18" i="7" s="1"/>
  <c r="G20" i="7" s="1"/>
  <c r="G60" i="7"/>
  <c r="G61" i="7"/>
  <c r="G45" i="7"/>
  <c r="G46" i="7"/>
  <c r="F53" i="5"/>
  <c r="AE11" i="3"/>
  <c r="F39" i="5"/>
  <c r="W11" i="3"/>
  <c r="F25" i="5"/>
  <c r="O11" i="3"/>
  <c r="H11" i="3" l="1"/>
  <c r="H14" i="3" s="1"/>
  <c r="H16" i="3" s="1"/>
  <c r="G10" i="5"/>
  <c r="G12" i="5" s="1"/>
  <c r="H14" i="7"/>
  <c r="H17" i="7" s="1"/>
  <c r="H16" i="7"/>
  <c r="H58" i="7"/>
  <c r="H59" i="7" s="1"/>
  <c r="G62" i="7"/>
  <c r="G63" i="7" s="1"/>
  <c r="G65" i="7" s="1"/>
  <c r="G47" i="7"/>
  <c r="G48" i="7" s="1"/>
  <c r="G50" i="7" s="1"/>
  <c r="F41" i="5"/>
  <c r="F27" i="5"/>
  <c r="F55" i="5"/>
  <c r="H18" i="7" l="1"/>
  <c r="H20" i="7" s="1"/>
  <c r="I11" i="3" s="1"/>
  <c r="I14" i="3" s="1"/>
  <c r="I16" i="3" s="1"/>
  <c r="H15" i="7"/>
  <c r="X11" i="3"/>
  <c r="X14" i="3" s="1"/>
  <c r="X16" i="3" s="1"/>
  <c r="X19" i="3" s="1"/>
  <c r="X21" i="3" s="1"/>
  <c r="G39" i="5"/>
  <c r="G41" i="5" s="1"/>
  <c r="AF11" i="3"/>
  <c r="AF14" i="3" s="1"/>
  <c r="AF16" i="3" s="1"/>
  <c r="AF19" i="3" s="1"/>
  <c r="AF21" i="3" s="1"/>
  <c r="G53" i="5"/>
  <c r="G55" i="5" s="1"/>
  <c r="H62" i="7"/>
  <c r="H61" i="7"/>
  <c r="W14" i="3"/>
  <c r="W16" i="3" s="1"/>
  <c r="V14" i="3"/>
  <c r="V16" i="3" s="1"/>
  <c r="U14" i="3"/>
  <c r="U16" i="3" s="1"/>
  <c r="T14" i="3"/>
  <c r="T16" i="3" s="1"/>
  <c r="S14" i="3"/>
  <c r="S16" i="3" s="1"/>
  <c r="AE14" i="3"/>
  <c r="AE16" i="3" s="1"/>
  <c r="AE19" i="3" s="1"/>
  <c r="AD14" i="3"/>
  <c r="AD16" i="3" s="1"/>
  <c r="AD19" i="3" s="1"/>
  <c r="AC14" i="3"/>
  <c r="AC16" i="3" s="1"/>
  <c r="AB14" i="3"/>
  <c r="AB16" i="3" s="1"/>
  <c r="AA14" i="3"/>
  <c r="AA16" i="3" s="1"/>
  <c r="O14" i="3"/>
  <c r="O16" i="3" s="1"/>
  <c r="O19" i="3" s="1"/>
  <c r="N14" i="3"/>
  <c r="N16" i="3" s="1"/>
  <c r="N19" i="3" s="1"/>
  <c r="M14" i="3"/>
  <c r="M16" i="3" s="1"/>
  <c r="M19" i="3" s="1"/>
  <c r="L14" i="3"/>
  <c r="L16" i="3" s="1"/>
  <c r="L19" i="3" s="1"/>
  <c r="K14" i="3"/>
  <c r="K16" i="3" s="1"/>
  <c r="K19" i="3" s="1"/>
  <c r="H10" i="5" l="1"/>
  <c r="H12" i="5" s="1"/>
  <c r="H60" i="7"/>
  <c r="H63" i="7"/>
  <c r="H65" i="7" s="1"/>
  <c r="AA19" i="3"/>
  <c r="AA21" i="3" s="1"/>
  <c r="AB19" i="3"/>
  <c r="AB21" i="3" s="1"/>
  <c r="AC19" i="3"/>
  <c r="AC21" i="3" s="1"/>
  <c r="S19" i="3"/>
  <c r="S21" i="3" s="1"/>
  <c r="T19" i="3"/>
  <c r="T21" i="3" s="1"/>
  <c r="U19" i="3"/>
  <c r="U21" i="3" s="1"/>
  <c r="V19" i="3"/>
  <c r="V21" i="3" s="1"/>
  <c r="W19" i="3"/>
  <c r="W21" i="3" s="1"/>
  <c r="AD21" i="3"/>
  <c r="AE21" i="3"/>
  <c r="N21" i="3"/>
  <c r="L21" i="3"/>
  <c r="M21" i="3"/>
  <c r="K21" i="3"/>
  <c r="O21" i="3"/>
  <c r="AG11" i="3" l="1"/>
  <c r="AG16" i="3" s="1"/>
  <c r="H53" i="5"/>
  <c r="B23" i="3"/>
  <c r="H55" i="5" l="1"/>
  <c r="Y23" i="3"/>
  <c r="Y25" i="3" s="1"/>
  <c r="H45" i="5" s="1"/>
  <c r="X23" i="3"/>
  <c r="X25" i="3" s="1"/>
  <c r="G45" i="5" s="1"/>
  <c r="AF23" i="3"/>
  <c r="AF25" i="3" s="1"/>
  <c r="G59" i="5" s="1"/>
  <c r="G60" i="5" s="1"/>
  <c r="G62" i="5" s="1"/>
  <c r="H59" i="5"/>
  <c r="S23" i="3"/>
  <c r="S25" i="3" s="1"/>
  <c r="U23" i="3"/>
  <c r="U25" i="3" s="1"/>
  <c r="D45" i="5" s="1"/>
  <c r="D46" i="5" s="1"/>
  <c r="D48" i="5" s="1"/>
  <c r="V23" i="3"/>
  <c r="V25" i="3" s="1"/>
  <c r="E45" i="5" s="1"/>
  <c r="W23" i="3"/>
  <c r="W25" i="3" s="1"/>
  <c r="F45" i="5" s="1"/>
  <c r="F46" i="5" s="1"/>
  <c r="F48" i="5" s="1"/>
  <c r="T23" i="3"/>
  <c r="T25" i="3" s="1"/>
  <c r="AB23" i="3"/>
  <c r="AB25" i="3" s="1"/>
  <c r="AD23" i="3"/>
  <c r="AD25" i="3" s="1"/>
  <c r="E59" i="5" s="1"/>
  <c r="AE23" i="3"/>
  <c r="AE25" i="3" s="1"/>
  <c r="F59" i="5" s="1"/>
  <c r="F60" i="5" s="1"/>
  <c r="F62" i="5" s="1"/>
  <c r="AC23" i="3"/>
  <c r="AC25" i="3" s="1"/>
  <c r="D59" i="5" s="1"/>
  <c r="D60" i="5" s="1"/>
  <c r="D62" i="5" s="1"/>
  <c r="AA23" i="3"/>
  <c r="AA25" i="3" s="1"/>
  <c r="K23" i="3"/>
  <c r="K25" i="3" s="1"/>
  <c r="O23" i="3"/>
  <c r="O25" i="3" s="1"/>
  <c r="F31" i="5" s="1"/>
  <c r="F32" i="5" s="1"/>
  <c r="F34" i="5" s="1"/>
  <c r="M23" i="3"/>
  <c r="M25" i="3" s="1"/>
  <c r="D31" i="5" s="1"/>
  <c r="D32" i="5" s="1"/>
  <c r="D34" i="5" s="1"/>
  <c r="L23" i="3"/>
  <c r="L25" i="3" s="1"/>
  <c r="N23" i="3"/>
  <c r="N25" i="3" s="1"/>
  <c r="E31" i="5" s="1"/>
  <c r="H60" i="5" l="1"/>
  <c r="B59" i="5"/>
  <c r="B60" i="5" s="1"/>
  <c r="B62" i="5" s="1"/>
  <c r="G46" i="5"/>
  <c r="G48" i="5" s="1"/>
  <c r="B31" i="5"/>
  <c r="B32" i="5" s="1"/>
  <c r="B34" i="5" s="1"/>
  <c r="C59" i="5"/>
  <c r="H46" i="5"/>
  <c r="H48" i="5" s="1"/>
  <c r="C45" i="5"/>
  <c r="C46" i="5" s="1"/>
  <c r="H32" i="5"/>
  <c r="H34" i="5" s="1"/>
  <c r="C31" i="5"/>
  <c r="C32" i="5" s="1"/>
  <c r="B45" i="5"/>
  <c r="B46" i="5" s="1"/>
  <c r="B48" i="5" s="1"/>
  <c r="G32" i="5"/>
  <c r="G34" i="5" s="1"/>
  <c r="C10" i="1" s="1"/>
  <c r="C29" i="1" s="1"/>
  <c r="E32" i="5"/>
  <c r="E60" i="5"/>
  <c r="E46" i="5"/>
  <c r="H62" i="5" l="1"/>
  <c r="C11" i="1"/>
  <c r="C36" i="1" s="1"/>
  <c r="C60" i="5"/>
  <c r="C62" i="5" s="1"/>
  <c r="E62" i="5"/>
  <c r="E48" i="5"/>
  <c r="E34" i="5"/>
  <c r="C48" i="5"/>
  <c r="C34" i="5"/>
  <c r="C12" i="1" l="1"/>
  <c r="C43" i="1" s="1"/>
  <c r="B43" i="1"/>
  <c r="D12" i="1" l="1"/>
  <c r="D43" i="1" s="1"/>
  <c r="B29" i="1"/>
  <c r="D10" i="1"/>
  <c r="D29" i="1" s="1"/>
  <c r="B36" i="1"/>
  <c r="D11" i="1"/>
  <c r="D36" i="1" s="1"/>
  <c r="B11" i="7" l="1"/>
  <c r="B17" i="7" s="1"/>
  <c r="B18" i="7" s="1"/>
  <c r="B20" i="7" s="1"/>
  <c r="C41" i="3"/>
  <c r="G10" i="11"/>
  <c r="G11" i="11" s="1"/>
  <c r="B12" i="7" l="1"/>
  <c r="C10" i="7"/>
  <c r="C11" i="7" s="1"/>
  <c r="D10" i="7" s="1"/>
  <c r="C43" i="3"/>
  <c r="C44" i="3" s="1"/>
  <c r="C46" i="3" s="1"/>
  <c r="C49" i="3" s="1"/>
  <c r="C11" i="3"/>
  <c r="C14" i="3" s="1"/>
  <c r="C16" i="3" s="1"/>
  <c r="B10" i="5"/>
  <c r="C16" i="7" l="1"/>
  <c r="C12" i="7"/>
  <c r="C17" i="7"/>
  <c r="C18" i="7" s="1"/>
  <c r="C20" i="7" s="1"/>
  <c r="C10" i="5" s="1"/>
  <c r="C12" i="5" s="1"/>
  <c r="C19" i="3"/>
  <c r="C21" i="3" s="1"/>
  <c r="C23" i="3" s="1"/>
  <c r="C25" i="3" s="1"/>
  <c r="B16" i="5" s="1"/>
  <c r="C47" i="3"/>
  <c r="D40" i="3" s="1"/>
  <c r="B12" i="5"/>
  <c r="D16" i="7"/>
  <c r="D11" i="7"/>
  <c r="D12" i="7" s="1"/>
  <c r="D11" i="3" l="1"/>
  <c r="D14" i="3" s="1"/>
  <c r="D16" i="3" s="1"/>
  <c r="D44" i="3"/>
  <c r="D46" i="3" s="1"/>
  <c r="D49" i="3" s="1"/>
  <c r="D18" i="3" s="1"/>
  <c r="B17" i="5"/>
  <c r="D17" i="7"/>
  <c r="D18" i="7" s="1"/>
  <c r="D20" i="7" s="1"/>
  <c r="E10" i="7"/>
  <c r="D47" i="3" l="1"/>
  <c r="E40" i="3" s="1"/>
  <c r="D19" i="3"/>
  <c r="D21" i="3" s="1"/>
  <c r="D23" i="3" s="1"/>
  <c r="D25" i="3" s="1"/>
  <c r="C16" i="5" s="1"/>
  <c r="C17" i="5" s="1"/>
  <c r="C19" i="5" s="1"/>
  <c r="E44" i="3"/>
  <c r="E46" i="3" s="1"/>
  <c r="E49" i="3" s="1"/>
  <c r="E18" i="3" s="1"/>
  <c r="D10" i="5"/>
  <c r="E11" i="3"/>
  <c r="E14" i="3" s="1"/>
  <c r="E16" i="3" s="1"/>
  <c r="E11" i="7"/>
  <c r="E12" i="7" s="1"/>
  <c r="E16" i="7"/>
  <c r="B19" i="5"/>
  <c r="E47" i="3" l="1"/>
  <c r="F40" i="3" s="1"/>
  <c r="E19" i="3"/>
  <c r="E21" i="3" s="1"/>
  <c r="E23" i="3" s="1"/>
  <c r="E25" i="3" s="1"/>
  <c r="D16" i="5" s="1"/>
  <c r="E17" i="7"/>
  <c r="E18" i="7" s="1"/>
  <c r="E20" i="7" s="1"/>
  <c r="F10" i="7"/>
  <c r="D12" i="5"/>
  <c r="F44" i="3" l="1"/>
  <c r="F46" i="3" s="1"/>
  <c r="F49" i="3" s="1"/>
  <c r="F18" i="3" s="1"/>
  <c r="E10" i="5"/>
  <c r="F11" i="3"/>
  <c r="F14" i="3" s="1"/>
  <c r="F16" i="3" s="1"/>
  <c r="F19" i="3" s="1"/>
  <c r="F21" i="3" s="1"/>
  <c r="F16" i="7"/>
  <c r="F11" i="7"/>
  <c r="D17" i="5"/>
  <c r="F17" i="7" l="1"/>
  <c r="F12" i="7"/>
  <c r="F47" i="3"/>
  <c r="G40" i="3" s="1"/>
  <c r="D19" i="5"/>
  <c r="F23" i="3"/>
  <c r="F25" i="3" s="1"/>
  <c r="E16" i="5" s="1"/>
  <c r="F18" i="7"/>
  <c r="F20" i="7" s="1"/>
  <c r="E12" i="5"/>
  <c r="G44" i="3" l="1"/>
  <c r="G46" i="3" s="1"/>
  <c r="G49" i="3" s="1"/>
  <c r="G18" i="3" s="1"/>
  <c r="G11" i="3"/>
  <c r="G14" i="3" s="1"/>
  <c r="G16" i="3" s="1"/>
  <c r="G19" i="3" s="1"/>
  <c r="G21" i="3" s="1"/>
  <c r="F10" i="5"/>
  <c r="E17" i="5"/>
  <c r="G47" i="3" l="1"/>
  <c r="H40" i="3" s="1"/>
  <c r="E19" i="5"/>
  <c r="F12" i="5"/>
  <c r="G23" i="3"/>
  <c r="G25" i="3" s="1"/>
  <c r="F16" i="5" s="1"/>
  <c r="H44" i="3" l="1"/>
  <c r="H46" i="3" s="1"/>
  <c r="H49" i="3" s="1"/>
  <c r="H18" i="3" s="1"/>
  <c r="H19" i="3" s="1"/>
  <c r="H21" i="3" s="1"/>
  <c r="F17" i="5"/>
  <c r="H47" i="3" l="1"/>
  <c r="I40" i="3" s="1"/>
  <c r="I44" i="3" s="1"/>
  <c r="I46" i="3" s="1"/>
  <c r="H23" i="3"/>
  <c r="H25" i="3" s="1"/>
  <c r="G16" i="5" s="1"/>
  <c r="G17" i="5" s="1"/>
  <c r="G19" i="5" s="1"/>
  <c r="F19" i="5"/>
  <c r="I49" i="3" l="1"/>
  <c r="I18" i="3" s="1"/>
  <c r="I19" i="3" s="1"/>
  <c r="I21" i="3" s="1"/>
  <c r="I23" i="3" s="1"/>
  <c r="I25" i="3" s="1"/>
  <c r="H16" i="5" s="1"/>
  <c r="H17" i="5" s="1"/>
  <c r="H19" i="5" s="1"/>
  <c r="C9" i="1" s="1"/>
  <c r="C22" i="1" s="1"/>
  <c r="I47" i="3"/>
  <c r="B22" i="1" l="1"/>
  <c r="D22" i="1" s="1"/>
  <c r="D9" i="1"/>
</calcChain>
</file>

<file path=xl/sharedStrings.xml><?xml version="1.0" encoding="utf-8"?>
<sst xmlns="http://schemas.openxmlformats.org/spreadsheetml/2006/main" count="246" uniqueCount="98">
  <si>
    <t>EB-2025-0252</t>
  </si>
  <si>
    <t>Test Years</t>
  </si>
  <si>
    <t>Opening Gross Assets</t>
  </si>
  <si>
    <t>Closing Gross Assets</t>
  </si>
  <si>
    <t>Average Gross Assets</t>
  </si>
  <si>
    <t>Opening Accumulated Depreciation</t>
  </si>
  <si>
    <t>Closing Accumulated Depreciation</t>
  </si>
  <si>
    <t>Average Accumulated Depreciation</t>
  </si>
  <si>
    <t>Opening Net Book Value</t>
  </si>
  <si>
    <t>Closing Net Book Value</t>
  </si>
  <si>
    <t>Average Net Book Value</t>
  </si>
  <si>
    <t>Working Capital Allowance</t>
  </si>
  <si>
    <t>RATE BASE</t>
  </si>
  <si>
    <t>Alectra Utilities Corporation</t>
  </si>
  <si>
    <t>Interrogatory Responses</t>
  </si>
  <si>
    <t>Deemed Equity %</t>
  </si>
  <si>
    <t>Return on Equity %</t>
  </si>
  <si>
    <t>Tax Rate</t>
  </si>
  <si>
    <t>Total income taxes</t>
  </si>
  <si>
    <t xml:space="preserve">Gross-up </t>
  </si>
  <si>
    <t>Summary:</t>
  </si>
  <si>
    <t>Rate Base</t>
  </si>
  <si>
    <t>Return on Rate Base</t>
  </si>
  <si>
    <t>Depreciation</t>
  </si>
  <si>
    <t>Payment in Lieu of Taxes</t>
  </si>
  <si>
    <t>Service Revenue Requirement</t>
  </si>
  <si>
    <t>Base Revenue Requirement</t>
  </si>
  <si>
    <t>Revenue Requirements</t>
  </si>
  <si>
    <t xml:space="preserve"> x  Cost of Capital </t>
  </si>
  <si>
    <t>Less: Revenue Offsets</t>
  </si>
  <si>
    <t>OM&amp;A Expenses (excludes Property Taxes)</t>
  </si>
  <si>
    <t>Property Taxes</t>
  </si>
  <si>
    <t>3-Year Deployment</t>
  </si>
  <si>
    <t>JT-3.57_2-CCC-12</t>
  </si>
  <si>
    <t>3 Year</t>
  </si>
  <si>
    <t>5 Year</t>
  </si>
  <si>
    <t>5.5 Year</t>
  </si>
  <si>
    <t>7 Year</t>
  </si>
  <si>
    <t>AMI 1.0 Reactive Meter Failures</t>
  </si>
  <si>
    <t>AMI 1.0 accelerated depreciation</t>
  </si>
  <si>
    <t>Total Depreciation</t>
  </si>
  <si>
    <t>5.5-Year Deployment</t>
  </si>
  <si>
    <t>Budget Depreciation</t>
  </si>
  <si>
    <t>Total CAPEX</t>
  </si>
  <si>
    <t>Rate Base - 3 Year</t>
  </si>
  <si>
    <t>Rate Base - 7 Year</t>
  </si>
  <si>
    <t>Rate Base - 5.5 Year</t>
  </si>
  <si>
    <t>Rate Base - 5 Year</t>
  </si>
  <si>
    <t>5.0 - Year Deployment</t>
  </si>
  <si>
    <t>7 -Year Deployment</t>
  </si>
  <si>
    <t>3-Year Mass Deployment Alternative</t>
  </si>
  <si>
    <t>2027-2031</t>
  </si>
  <si>
    <t>5-Year Mass Deployment Alternative</t>
  </si>
  <si>
    <t>5.5-Year Mass Deployment Alternative</t>
  </si>
  <si>
    <t>7-Year Mass Deployment Alternative</t>
  </si>
  <si>
    <t>JT-3.57; 2-CCC-12</t>
  </si>
  <si>
    <t>Mass Deployment Alternatives</t>
  </si>
  <si>
    <t>Return on Equity</t>
  </si>
  <si>
    <t>Net income before taxes</t>
  </si>
  <si>
    <t xml:space="preserve">Depreciation expense </t>
  </si>
  <si>
    <t>Total taxable income</t>
  </si>
  <si>
    <t>Total PILS (grossed up)</t>
  </si>
  <si>
    <t>Opening UCC</t>
  </si>
  <si>
    <t>Additions</t>
  </si>
  <si>
    <t>Additions Multiplier</t>
  </si>
  <si>
    <t>Adjusted Additions</t>
  </si>
  <si>
    <t>Adjusted UCC</t>
  </si>
  <si>
    <t>CCA Rate</t>
  </si>
  <si>
    <t>CCA</t>
  </si>
  <si>
    <t>Ending UCC</t>
  </si>
  <si>
    <t>Class 12</t>
  </si>
  <si>
    <t>Class 47</t>
  </si>
  <si>
    <t>Total CCA</t>
  </si>
  <si>
    <t>Capital Cost Allowance:</t>
  </si>
  <si>
    <t>Capital Expenditures ($MM)</t>
  </si>
  <si>
    <t>DSP:
2027 to 2031</t>
  </si>
  <si>
    <t>Total Project and Project Dependent Costs</t>
  </si>
  <si>
    <t>DSP Quantities</t>
  </si>
  <si>
    <t>AMI Renewal</t>
  </si>
  <si>
    <t>AMI 1.0 Meter Reverifications and resealing, beyond dispensation exemptions</t>
  </si>
  <si>
    <t>Total 3-Year Deployment</t>
  </si>
  <si>
    <t>Accelerated Depreciation</t>
  </si>
  <si>
    <t>Total 5-Year Deployment</t>
  </si>
  <si>
    <t>Total 5.5-Year Deployment</t>
  </si>
  <si>
    <t>Total 7-Year Deployment</t>
  </si>
  <si>
    <t>Table 6</t>
  </si>
  <si>
    <t xml:space="preserve">PILs </t>
  </si>
  <si>
    <t>AMI Budget (IT)</t>
  </si>
  <si>
    <t>AMI Budget (Meters)</t>
  </si>
  <si>
    <t>2027-2031 Total</t>
  </si>
  <si>
    <t>Grand Total</t>
  </si>
  <si>
    <t>2032-2033</t>
  </si>
  <si>
    <t>standard depreciation is higher than accelerated depreciation for 2030 to 2033</t>
  </si>
  <si>
    <t>standard depreciation is higher than accelerated depreciationn for 2032-2033</t>
  </si>
  <si>
    <t>DSP:
2032 to 2033</t>
  </si>
  <si>
    <t xml:space="preserve">Revenue Requirements </t>
  </si>
  <si>
    <t>number changed as compared to prior version as the accelerated depreciation was only captured up to the end of the deployment period</t>
  </si>
  <si>
    <t xml:space="preserve">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</si>
</sst>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&quot;$&quot;* #,##0.00_-;\-&quot;$&quot;* #,##0.00_-;_-&quot;$&quot;* &quot;-&quot;??_-;_-@_-"/>
    <numFmt numFmtId="167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165" fontId="0" fillId="0" borderId="2" xfId="1" applyNumberFormat="1" applyFont="1" applyBorder="1" applyAlignment="1">
      <alignment vertical="center" wrapText="1"/>
    </xf>
    <xf numFmtId="165" fontId="1" fillId="0" borderId="2" xfId="1" applyNumberFormat="1" applyFont="1" applyBorder="1" applyAlignment="1">
      <alignment vertical="center" wrapText="1"/>
    </xf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/>
    </xf>
    <xf numFmtId="37" fontId="6" fillId="0" borderId="0" xfId="0" applyNumberFormat="1" applyFont="1"/>
    <xf numFmtId="10" fontId="6" fillId="0" borderId="0" xfId="6" applyNumberFormat="1" applyFont="1"/>
    <xf numFmtId="37" fontId="6" fillId="0" borderId="3" xfId="0" applyNumberFormat="1" applyFont="1" applyBorder="1"/>
    <xf numFmtId="37" fontId="6" fillId="0" borderId="4" xfId="0" applyNumberFormat="1" applyFont="1" applyBorder="1"/>
    <xf numFmtId="10" fontId="6" fillId="0" borderId="4" xfId="6" applyNumberFormat="1" applyFont="1" applyBorder="1"/>
    <xf numFmtId="10" fontId="6" fillId="0" borderId="0" xfId="0" applyNumberFormat="1" applyFont="1"/>
    <xf numFmtId="43" fontId="6" fillId="0" borderId="0" xfId="1" applyFont="1"/>
    <xf numFmtId="0" fontId="1" fillId="0" borderId="0" xfId="0" applyFont="1"/>
    <xf numFmtId="0" fontId="8" fillId="3" borderId="0" xfId="0" applyFont="1" applyFill="1" applyAlignment="1">
      <alignment horizontal="center"/>
    </xf>
    <xf numFmtId="5" fontId="6" fillId="0" borderId="0" xfId="0" applyNumberFormat="1" applyFont="1"/>
    <xf numFmtId="5" fontId="5" fillId="0" borderId="0" xfId="0" applyNumberFormat="1" applyFont="1"/>
    <xf numFmtId="0" fontId="5" fillId="0" borderId="0" xfId="0" applyFont="1" applyAlignment="1">
      <alignment wrapText="1"/>
    </xf>
    <xf numFmtId="5" fontId="5" fillId="0" borderId="6" xfId="0" applyNumberFormat="1" applyFont="1" applyBorder="1"/>
    <xf numFmtId="0" fontId="7" fillId="3" borderId="2" xfId="0" applyFont="1" applyFill="1" applyBorder="1" applyAlignment="1">
      <alignment vertical="center" wrapText="1"/>
    </xf>
    <xf numFmtId="0" fontId="9" fillId="0" borderId="0" xfId="0" applyFont="1"/>
    <xf numFmtId="0" fontId="0" fillId="0" borderId="5" xfId="0" applyBorder="1"/>
    <xf numFmtId="0" fontId="1" fillId="0" borderId="21" xfId="0" applyFont="1" applyBorder="1"/>
    <xf numFmtId="0" fontId="1" fillId="0" borderId="18" xfId="0" applyFont="1" applyBorder="1"/>
    <xf numFmtId="165" fontId="0" fillId="0" borderId="1" xfId="1" applyNumberFormat="1" applyFont="1" applyFill="1" applyBorder="1"/>
    <xf numFmtId="0" fontId="0" fillId="0" borderId="5" xfId="0" applyBorder="1" applyAlignment="1">
      <alignment horizontal="left" indent="1"/>
    </xf>
    <xf numFmtId="0" fontId="1" fillId="0" borderId="5" xfId="0" applyFont="1" applyBorder="1"/>
    <xf numFmtId="0" fontId="1" fillId="0" borderId="13" xfId="0" applyFont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5" fontId="0" fillId="0" borderId="14" xfId="1" applyNumberFormat="1" applyFont="1" applyBorder="1" applyAlignment="1">
      <alignment vertical="center" wrapText="1"/>
    </xf>
    <xf numFmtId="165" fontId="1" fillId="0" borderId="14" xfId="1" applyNumberFormat="1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5" fontId="1" fillId="2" borderId="16" xfId="1" applyNumberFormat="1" applyFont="1" applyFill="1" applyBorder="1" applyAlignment="1">
      <alignment vertical="center" wrapText="1"/>
    </xf>
    <xf numFmtId="165" fontId="1" fillId="2" borderId="17" xfId="1" applyNumberFormat="1" applyFont="1" applyFill="1" applyBorder="1" applyAlignment="1">
      <alignment vertical="center" wrapText="1"/>
    </xf>
    <xf numFmtId="0" fontId="11" fillId="0" borderId="0" xfId="0" applyFont="1"/>
    <xf numFmtId="0" fontId="1" fillId="0" borderId="7" xfId="0" applyFont="1" applyBorder="1"/>
    <xf numFmtId="167" fontId="6" fillId="0" borderId="0" xfId="1" applyNumberFormat="1" applyFont="1"/>
    <xf numFmtId="165" fontId="6" fillId="0" borderId="0" xfId="1" applyNumberFormat="1" applyFont="1"/>
    <xf numFmtId="9" fontId="6" fillId="0" borderId="0" xfId="6" applyFont="1"/>
    <xf numFmtId="165" fontId="6" fillId="0" borderId="3" xfId="1" applyNumberFormat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1" xfId="0" applyNumberFormat="1" applyBorder="1"/>
    <xf numFmtId="165" fontId="1" fillId="0" borderId="0" xfId="1" applyNumberFormat="1" applyFont="1" applyFill="1" applyBorder="1"/>
    <xf numFmtId="165" fontId="1" fillId="0" borderId="1" xfId="1" applyNumberFormat="1" applyFont="1" applyFill="1" applyBorder="1"/>
    <xf numFmtId="165" fontId="1" fillId="0" borderId="19" xfId="1" applyNumberFormat="1" applyFont="1" applyFill="1" applyBorder="1"/>
    <xf numFmtId="165" fontId="1" fillId="0" borderId="20" xfId="1" applyNumberFormat="1" applyFont="1" applyFill="1" applyBorder="1"/>
    <xf numFmtId="165" fontId="1" fillId="0" borderId="19" xfId="0" applyNumberFormat="1" applyFont="1" applyBorder="1"/>
    <xf numFmtId="165" fontId="1" fillId="0" borderId="20" xfId="0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Fill="1" applyBorder="1"/>
    <xf numFmtId="0" fontId="7" fillId="3" borderId="0" xfId="0" applyFont="1" applyFill="1" applyAlignment="1">
      <alignment horizontal="center" wrapText="1"/>
    </xf>
    <xf numFmtId="0" fontId="0" fillId="0" borderId="2" xfId="0" applyBorder="1" applyAlignment="1">
      <alignment horizontal="left" indent="1"/>
    </xf>
    <xf numFmtId="164" fontId="0" fillId="0" borderId="2" xfId="0" applyNumberFormat="1" applyBorder="1"/>
    <xf numFmtId="167" fontId="0" fillId="0" borderId="2" xfId="1" applyNumberFormat="1" applyFont="1" applyFill="1" applyBorder="1"/>
    <xf numFmtId="165" fontId="0" fillId="0" borderId="2" xfId="1" applyNumberFormat="1" applyFont="1" applyFill="1" applyBorder="1"/>
    <xf numFmtId="0" fontId="0" fillId="0" borderId="2" xfId="0" applyBorder="1" applyAlignment="1">
      <alignment horizontal="left" wrapText="1" indent="1"/>
    </xf>
    <xf numFmtId="0" fontId="7" fillId="4" borderId="0" xfId="0" applyFont="1" applyFill="1"/>
    <xf numFmtId="167" fontId="7" fillId="4" borderId="19" xfId="0" applyNumberFormat="1" applyFont="1" applyFill="1" applyBorder="1"/>
    <xf numFmtId="165" fontId="7" fillId="4" borderId="19" xfId="1" applyNumberFormat="1" applyFont="1" applyFill="1" applyBorder="1"/>
    <xf numFmtId="0" fontId="10" fillId="5" borderId="2" xfId="0" applyFont="1" applyFill="1" applyBorder="1" applyAlignment="1">
      <alignment horizontal="left" indent="1"/>
    </xf>
    <xf numFmtId="164" fontId="10" fillId="5" borderId="2" xfId="0" applyNumberFormat="1" applyFont="1" applyFill="1" applyBorder="1"/>
    <xf numFmtId="167" fontId="10" fillId="5" borderId="2" xfId="1" applyNumberFormat="1" applyFont="1" applyFill="1" applyBorder="1"/>
    <xf numFmtId="165" fontId="10" fillId="5" borderId="2" xfId="1" applyNumberFormat="1" applyFont="1" applyFill="1" applyBorder="1"/>
    <xf numFmtId="0" fontId="10" fillId="6" borderId="2" xfId="0" applyFont="1" applyFill="1" applyBorder="1" applyAlignment="1">
      <alignment horizontal="left" indent="1"/>
    </xf>
    <xf numFmtId="164" fontId="10" fillId="6" borderId="2" xfId="0" applyNumberFormat="1" applyFont="1" applyFill="1" applyBorder="1"/>
    <xf numFmtId="167" fontId="10" fillId="6" borderId="2" xfId="1" applyNumberFormat="1" applyFont="1" applyFill="1" applyBorder="1"/>
    <xf numFmtId="165" fontId="10" fillId="6" borderId="2" xfId="1" applyNumberFormat="1" applyFont="1" applyFill="1" applyBorder="1"/>
    <xf numFmtId="0" fontId="0" fillId="6" borderId="2" xfId="0" applyFill="1" applyBorder="1" applyAlignment="1">
      <alignment horizontal="left" indent="1"/>
    </xf>
    <xf numFmtId="164" fontId="0" fillId="6" borderId="2" xfId="0" applyNumberFormat="1" applyFill="1" applyBorder="1"/>
    <xf numFmtId="167" fontId="0" fillId="6" borderId="2" xfId="1" applyNumberFormat="1" applyFont="1" applyFill="1" applyBorder="1"/>
    <xf numFmtId="165" fontId="0" fillId="6" borderId="2" xfId="1" applyNumberFormat="1" applyFont="1" applyFill="1" applyBorder="1"/>
    <xf numFmtId="0" fontId="0" fillId="6" borderId="2" xfId="0" applyFill="1" applyBorder="1" applyAlignment="1">
      <alignment horizontal="left" wrapText="1" indent="1"/>
    </xf>
    <xf numFmtId="0" fontId="10" fillId="7" borderId="2" xfId="0" applyFont="1" applyFill="1" applyBorder="1" applyAlignment="1">
      <alignment horizontal="left" indent="1"/>
    </xf>
    <xf numFmtId="0" fontId="0" fillId="0" borderId="22" xfId="0" applyBorder="1" applyAlignment="1">
      <alignment horizontal="center"/>
    </xf>
    <xf numFmtId="165" fontId="0" fillId="0" borderId="5" xfId="1" applyNumberFormat="1" applyFont="1" applyFill="1" applyBorder="1"/>
    <xf numFmtId="165" fontId="1" fillId="0" borderId="5" xfId="1" applyNumberFormat="1" applyFont="1" applyFill="1" applyBorder="1"/>
    <xf numFmtId="165" fontId="1" fillId="0" borderId="18" xfId="0" applyNumberFormat="1" applyFont="1" applyBorder="1"/>
    <xf numFmtId="164" fontId="10" fillId="7" borderId="23" xfId="0" applyNumberFormat="1" applyFont="1" applyFill="1" applyBorder="1" applyAlignment="1">
      <alignment horizontal="right"/>
    </xf>
    <xf numFmtId="164" fontId="10" fillId="7" borderId="23" xfId="0" applyNumberFormat="1" applyFont="1" applyFill="1" applyBorder="1"/>
    <xf numFmtId="0" fontId="0" fillId="0" borderId="22" xfId="0" applyBorder="1"/>
    <xf numFmtId="165" fontId="6" fillId="0" borderId="0" xfId="1" applyNumberFormat="1" applyFont="1" applyFill="1"/>
    <xf numFmtId="0" fontId="5" fillId="0" borderId="2" xfId="0" applyFont="1" applyBorder="1"/>
    <xf numFmtId="0" fontId="0" fillId="0" borderId="2" xfId="0" applyBorder="1"/>
    <xf numFmtId="165" fontId="0" fillId="0" borderId="2" xfId="1" applyNumberFormat="1" applyFont="1" applyBorder="1"/>
    <xf numFmtId="165" fontId="0" fillId="0" borderId="2" xfId="1" applyNumberFormat="1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7">
    <cellStyle name="Comma" xfId="1" builtinId="3"/>
    <cellStyle name="Currency 2" xfId="4" xr:uid="{B8609DDB-F779-4CB6-9EE8-539A6E35680E}"/>
    <cellStyle name="Normal" xfId="0" builtinId="0"/>
    <cellStyle name="Normal 2 15" xfId="2" xr:uid="{13DEC5DD-2DDB-46B8-A012-F37A6601F831}"/>
    <cellStyle name="Normal 2 2 2 2" xfId="5" xr:uid="{017E02EC-FCEC-4CDE-AC58-91EA03768BDA}"/>
    <cellStyle name="Normal 32" xfId="3" xr:uid="{96318423-23FA-413D-A413-B2864E097E0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8A3C-6E7C-4D58-BE7C-0A5D1DB5B129}">
  <dimension ref="A1:F44"/>
  <sheetViews>
    <sheetView tabSelected="1" topLeftCell="A17" workbookViewId="0">
      <selection activeCell="B57" sqref="B57"/>
    </sheetView>
  </sheetViews>
  <sheetFormatPr defaultRowHeight="15" x14ac:dyDescent="0.25"/>
  <cols>
    <col min="1" max="1" width="39.85546875" customWidth="1"/>
    <col min="2" max="3" width="16.140625" customWidth="1"/>
    <col min="4" max="4" width="15.42578125" customWidth="1"/>
    <col min="5" max="5" width="12.42578125" customWidth="1"/>
  </cols>
  <sheetData>
    <row r="1" spans="1:5" x14ac:dyDescent="0.25">
      <c r="A1" s="5" t="s">
        <v>13</v>
      </c>
    </row>
    <row r="2" spans="1:5" x14ac:dyDescent="0.25">
      <c r="A2" s="5" t="s">
        <v>0</v>
      </c>
    </row>
    <row r="3" spans="1:5" x14ac:dyDescent="0.25">
      <c r="A3" s="5" t="s">
        <v>14</v>
      </c>
    </row>
    <row r="4" spans="1:5" x14ac:dyDescent="0.25">
      <c r="A4" s="5" t="s">
        <v>33</v>
      </c>
    </row>
    <row r="5" spans="1:5" x14ac:dyDescent="0.25">
      <c r="A5" s="5" t="s">
        <v>85</v>
      </c>
    </row>
    <row r="7" spans="1:5" ht="21" x14ac:dyDescent="0.35">
      <c r="A7" s="5"/>
      <c r="B7" s="37"/>
    </row>
    <row r="8" spans="1:5" x14ac:dyDescent="0.25">
      <c r="A8" s="86" t="s">
        <v>27</v>
      </c>
      <c r="B8" s="90" t="s">
        <v>51</v>
      </c>
      <c r="C8" s="90" t="s">
        <v>91</v>
      </c>
      <c r="D8" s="90" t="s">
        <v>90</v>
      </c>
    </row>
    <row r="9" spans="1:5" x14ac:dyDescent="0.25">
      <c r="A9" s="87" t="s">
        <v>50</v>
      </c>
      <c r="B9" s="88">
        <f>SUM('Revenue Requirements'!B19:F19)</f>
        <v>149994288.25057113</v>
      </c>
      <c r="C9" s="88">
        <f>'Revenue Requirements'!G19+'Revenue Requirements'!H19</f>
        <v>63080085.768519461</v>
      </c>
      <c r="D9" s="88">
        <f>SUM(B9:C9)</f>
        <v>213074374.01909059</v>
      </c>
    </row>
    <row r="10" spans="1:5" s="1" customFormat="1" ht="14.45" customHeight="1" x14ac:dyDescent="0.25">
      <c r="A10" s="87" t="s">
        <v>52</v>
      </c>
      <c r="B10" s="89">
        <f>SUM('Revenue Requirements'!B34:F34)</f>
        <v>137240485.8485907</v>
      </c>
      <c r="C10" s="89">
        <f>'Revenue Requirements'!G34+'Revenue Requirements'!H34</f>
        <v>66049232.964739084</v>
      </c>
      <c r="D10" s="88">
        <f t="shared" ref="D10:D12" si="0">SUM(B10:C10)</f>
        <v>203289718.81332979</v>
      </c>
    </row>
    <row r="11" spans="1:5" ht="20.45" customHeight="1" x14ac:dyDescent="0.25">
      <c r="A11" s="87" t="s">
        <v>53</v>
      </c>
      <c r="B11" s="88">
        <f>SUM('Revenue Requirements'!B48:F48)</f>
        <v>134679463.48679623</v>
      </c>
      <c r="C11" s="88">
        <f>'Revenue Requirements'!G48+'Revenue Requirements'!H48</f>
        <v>66271991.633890182</v>
      </c>
      <c r="D11" s="88">
        <f t="shared" si="0"/>
        <v>200951455.12068641</v>
      </c>
    </row>
    <row r="12" spans="1:5" ht="16.5" customHeight="1" x14ac:dyDescent="0.25">
      <c r="A12" s="87" t="s">
        <v>54</v>
      </c>
      <c r="B12" s="88">
        <f>SUM('Revenue Requirements'!B62:F62)</f>
        <v>122701070.6467067</v>
      </c>
      <c r="C12" s="88">
        <f>'Revenue Requirements'!G62+'Revenue Requirements'!H62</f>
        <v>94470963.426803663</v>
      </c>
      <c r="D12" s="88">
        <f t="shared" si="0"/>
        <v>217172034.07351035</v>
      </c>
    </row>
    <row r="13" spans="1:5" ht="16.5" customHeight="1" x14ac:dyDescent="0.25"/>
    <row r="15" spans="1:5" ht="60" x14ac:dyDescent="0.25">
      <c r="A15" s="55" t="s">
        <v>74</v>
      </c>
      <c r="B15" s="55" t="s">
        <v>75</v>
      </c>
      <c r="C15" s="55" t="s">
        <v>94</v>
      </c>
      <c r="D15" s="55" t="s">
        <v>76</v>
      </c>
      <c r="E15" s="55" t="s">
        <v>77</v>
      </c>
    </row>
    <row r="16" spans="1:5" ht="23.1" customHeight="1" x14ac:dyDescent="0.25">
      <c r="A16" s="55" t="s">
        <v>50</v>
      </c>
      <c r="B16" s="55"/>
      <c r="C16" s="55"/>
      <c r="D16" s="55"/>
      <c r="E16" s="55"/>
    </row>
    <row r="17" spans="1:6" x14ac:dyDescent="0.25">
      <c r="A17" s="56" t="s">
        <v>78</v>
      </c>
      <c r="B17" s="57">
        <v>257.39999999999998</v>
      </c>
      <c r="C17" s="57">
        <v>0</v>
      </c>
      <c r="D17" s="58">
        <f>SUM(B17:C17)</f>
        <v>257.39999999999998</v>
      </c>
      <c r="E17" s="59">
        <v>950000</v>
      </c>
    </row>
    <row r="18" spans="1:6" x14ac:dyDescent="0.25">
      <c r="A18" s="56" t="s">
        <v>38</v>
      </c>
      <c r="B18" s="57">
        <v>14.7</v>
      </c>
      <c r="C18" s="57">
        <v>0</v>
      </c>
      <c r="D18" s="58">
        <f t="shared" ref="D18:D19" si="1">SUM(B18:C18)</f>
        <v>14.7</v>
      </c>
      <c r="E18" s="59">
        <v>74944.405845500005</v>
      </c>
    </row>
    <row r="19" spans="1:6" ht="45" x14ac:dyDescent="0.25">
      <c r="A19" s="60" t="s">
        <v>79</v>
      </c>
      <c r="B19" s="57">
        <v>5.5</v>
      </c>
      <c r="C19" s="57">
        <v>0</v>
      </c>
      <c r="D19" s="58">
        <f t="shared" si="1"/>
        <v>5.5</v>
      </c>
      <c r="E19" s="59">
        <v>9487.6</v>
      </c>
    </row>
    <row r="20" spans="1:6" ht="15.75" thickBot="1" x14ac:dyDescent="0.3">
      <c r="A20" s="61" t="s">
        <v>80</v>
      </c>
      <c r="B20" s="62">
        <f>SUM(B17:B19)</f>
        <v>277.59999999999997</v>
      </c>
      <c r="C20" s="62">
        <f t="shared" ref="C20:D20" si="2">SUM(C17:C19)</f>
        <v>0</v>
      </c>
      <c r="D20" s="62">
        <f t="shared" si="2"/>
        <v>277.59999999999997</v>
      </c>
      <c r="E20" s="63"/>
    </row>
    <row r="21" spans="1:6" x14ac:dyDescent="0.25">
      <c r="A21" s="64" t="s">
        <v>81</v>
      </c>
      <c r="B21" s="65">
        <f>'Deployment options'!G13/1000000</f>
        <v>25.6161998507006</v>
      </c>
      <c r="C21" s="66">
        <f>SUM('Deployment options'!H13:I13)/1000000</f>
        <v>-9.2188811202024414</v>
      </c>
      <c r="D21" s="66">
        <f>SUM(B21:C21)</f>
        <v>16.397318730498156</v>
      </c>
      <c r="E21" s="67"/>
      <c r="F21" t="s">
        <v>96</v>
      </c>
    </row>
    <row r="22" spans="1:6" x14ac:dyDescent="0.25">
      <c r="A22" s="77" t="s">
        <v>95</v>
      </c>
      <c r="B22" s="82">
        <f>B9/1000000</f>
        <v>149.99428825057115</v>
      </c>
      <c r="C22" s="82">
        <f>C9/1000000</f>
        <v>63.08008576851946</v>
      </c>
      <c r="D22" s="82">
        <f>SUM(B22:C22)</f>
        <v>213.07437401909061</v>
      </c>
      <c r="E22" s="78"/>
    </row>
    <row r="23" spans="1:6" ht="23.1" customHeight="1" x14ac:dyDescent="0.25">
      <c r="A23" s="55" t="s">
        <v>52</v>
      </c>
      <c r="B23" s="55"/>
      <c r="C23" s="55"/>
      <c r="D23" s="55"/>
      <c r="E23" s="55"/>
    </row>
    <row r="24" spans="1:6" x14ac:dyDescent="0.25">
      <c r="A24" s="72" t="s">
        <v>78</v>
      </c>
      <c r="B24" s="73">
        <v>261.89999999999998</v>
      </c>
      <c r="C24" s="73">
        <v>0</v>
      </c>
      <c r="D24" s="74">
        <f>SUM(B24:C24)</f>
        <v>261.89999999999998</v>
      </c>
      <c r="E24" s="75">
        <v>950000</v>
      </c>
    </row>
    <row r="25" spans="1:6" x14ac:dyDescent="0.25">
      <c r="A25" s="72" t="s">
        <v>38</v>
      </c>
      <c r="B25" s="73">
        <v>23.6</v>
      </c>
      <c r="C25" s="73">
        <v>0</v>
      </c>
      <c r="D25" s="74">
        <f t="shared" ref="D25:D26" si="3">SUM(B25:C25)</f>
        <v>23.6</v>
      </c>
      <c r="E25" s="75">
        <v>89172.6691593</v>
      </c>
    </row>
    <row r="26" spans="1:6" ht="38.450000000000003" customHeight="1" x14ac:dyDescent="0.25">
      <c r="A26" s="76" t="s">
        <v>79</v>
      </c>
      <c r="B26" s="73">
        <v>5.5</v>
      </c>
      <c r="C26" s="73">
        <v>0</v>
      </c>
      <c r="D26" s="74">
        <f t="shared" si="3"/>
        <v>5.5</v>
      </c>
      <c r="E26" s="75">
        <v>9487.6</v>
      </c>
    </row>
    <row r="27" spans="1:6" ht="15.75" thickBot="1" x14ac:dyDescent="0.3">
      <c r="A27" s="61" t="s">
        <v>82</v>
      </c>
      <c r="B27" s="62">
        <f>SUM(B24:B26)</f>
        <v>291</v>
      </c>
      <c r="C27" s="62">
        <f t="shared" ref="C27:D27" si="4">SUM(C24:C26)</f>
        <v>0</v>
      </c>
      <c r="D27" s="62">
        <f t="shared" si="4"/>
        <v>291</v>
      </c>
      <c r="E27" s="63"/>
    </row>
    <row r="28" spans="1:6" x14ac:dyDescent="0.25">
      <c r="A28" s="64" t="s">
        <v>81</v>
      </c>
      <c r="B28" s="65">
        <f>'Deployment options'!G22/1000000</f>
        <v>25.616199766980699</v>
      </c>
      <c r="C28" s="66">
        <f>SUM('Deployment options'!H22:I22)/1000000</f>
        <v>-9.2188811202024414</v>
      </c>
      <c r="D28" s="66">
        <f t="shared" ref="D28" si="5">SUM(B28:C28)</f>
        <v>16.39731864677826</v>
      </c>
      <c r="E28" s="67"/>
      <c r="F28" t="s">
        <v>96</v>
      </c>
    </row>
    <row r="29" spans="1:6" x14ac:dyDescent="0.25">
      <c r="A29" s="77" t="s">
        <v>95</v>
      </c>
      <c r="B29" s="83">
        <f>B10/1000000</f>
        <v>137.24048584859071</v>
      </c>
      <c r="C29" s="83">
        <f>C10/1000000</f>
        <v>66.04923296473909</v>
      </c>
      <c r="D29" s="83">
        <f t="shared" ref="D29" si="6">D10/1000000</f>
        <v>203.28971881332978</v>
      </c>
      <c r="E29" s="84"/>
    </row>
    <row r="30" spans="1:6" ht="23.1" customHeight="1" x14ac:dyDescent="0.25">
      <c r="A30" s="55" t="s">
        <v>53</v>
      </c>
      <c r="B30" s="55"/>
      <c r="C30" s="55"/>
      <c r="D30" s="55"/>
      <c r="E30" s="55"/>
    </row>
    <row r="31" spans="1:6" x14ac:dyDescent="0.25">
      <c r="A31" s="72" t="s">
        <v>78</v>
      </c>
      <c r="B31" s="73">
        <v>247.6</v>
      </c>
      <c r="C31" s="73">
        <v>14.3</v>
      </c>
      <c r="D31" s="74">
        <f t="shared" ref="D31:D35" si="7">SUM(B31:C31)</f>
        <v>261.89999999999998</v>
      </c>
      <c r="E31" s="75">
        <v>900000</v>
      </c>
    </row>
    <row r="32" spans="1:6" x14ac:dyDescent="0.25">
      <c r="A32" s="72" t="s">
        <v>38</v>
      </c>
      <c r="B32" s="73">
        <v>23.6</v>
      </c>
      <c r="C32" s="73">
        <v>0</v>
      </c>
      <c r="D32" s="74">
        <f t="shared" si="7"/>
        <v>23.6</v>
      </c>
      <c r="E32" s="75">
        <v>89172.6691593</v>
      </c>
    </row>
    <row r="33" spans="1:6" ht="45" x14ac:dyDescent="0.25">
      <c r="A33" s="76" t="s">
        <v>79</v>
      </c>
      <c r="B33" s="73">
        <v>5.5</v>
      </c>
      <c r="C33" s="73">
        <v>0</v>
      </c>
      <c r="D33" s="74">
        <f t="shared" si="7"/>
        <v>5.5</v>
      </c>
      <c r="E33" s="75">
        <v>9487.6</v>
      </c>
    </row>
    <row r="34" spans="1:6" ht="15.75" thickBot="1" x14ac:dyDescent="0.3">
      <c r="A34" s="61" t="s">
        <v>83</v>
      </c>
      <c r="B34" s="62">
        <f>SUM(B31:B33)</f>
        <v>276.7</v>
      </c>
      <c r="C34" s="62">
        <f t="shared" ref="C34" si="8">SUM(C31:C33)</f>
        <v>14.3</v>
      </c>
      <c r="D34" s="62">
        <f t="shared" si="7"/>
        <v>291</v>
      </c>
      <c r="E34" s="63"/>
    </row>
    <row r="35" spans="1:6" x14ac:dyDescent="0.25">
      <c r="A35" s="64" t="s">
        <v>81</v>
      </c>
      <c r="B35" s="65">
        <f>'Deployment options'!G31/1000000</f>
        <v>25.205240623973523</v>
      </c>
      <c r="C35" s="66">
        <f>SUM('Deployment options'!H31:I31)/1000000</f>
        <v>-8.8079219771952815</v>
      </c>
      <c r="D35" s="66">
        <f t="shared" si="7"/>
        <v>16.397318646778242</v>
      </c>
      <c r="E35" s="67"/>
      <c r="F35" t="s">
        <v>96</v>
      </c>
    </row>
    <row r="36" spans="1:6" x14ac:dyDescent="0.25">
      <c r="A36" s="77" t="s">
        <v>95</v>
      </c>
      <c r="B36" s="83">
        <f>B11/1000000</f>
        <v>134.67946348679624</v>
      </c>
      <c r="C36" s="83">
        <f t="shared" ref="C36:D36" si="9">C11/1000000</f>
        <v>66.271991633890181</v>
      </c>
      <c r="D36" s="83">
        <f t="shared" si="9"/>
        <v>200.9514551206864</v>
      </c>
      <c r="E36" s="84"/>
    </row>
    <row r="37" spans="1:6" ht="23.1" customHeight="1" x14ac:dyDescent="0.25">
      <c r="A37" s="55" t="s">
        <v>54</v>
      </c>
      <c r="B37" s="55"/>
      <c r="C37" s="55"/>
      <c r="D37" s="55"/>
      <c r="E37" s="55"/>
    </row>
    <row r="38" spans="1:6" x14ac:dyDescent="0.25">
      <c r="A38" s="72" t="s">
        <v>78</v>
      </c>
      <c r="B38" s="73">
        <v>193.2</v>
      </c>
      <c r="C38" s="73">
        <v>69.5</v>
      </c>
      <c r="D38" s="74">
        <f t="shared" ref="D38:D42" si="10">SUM(B38:C38)</f>
        <v>262.7</v>
      </c>
      <c r="E38" s="75">
        <v>650000</v>
      </c>
    </row>
    <row r="39" spans="1:6" x14ac:dyDescent="0.25">
      <c r="A39" s="72" t="s">
        <v>38</v>
      </c>
      <c r="B39" s="73">
        <v>35.5</v>
      </c>
      <c r="C39" s="73">
        <v>6.2</v>
      </c>
      <c r="D39" s="74">
        <f t="shared" si="10"/>
        <v>41.7</v>
      </c>
      <c r="E39" s="75">
        <v>132546.2690114</v>
      </c>
    </row>
    <row r="40" spans="1:6" ht="45" x14ac:dyDescent="0.25">
      <c r="A40" s="76" t="s">
        <v>79</v>
      </c>
      <c r="B40" s="73">
        <v>19.2</v>
      </c>
      <c r="C40" s="73">
        <v>2.9</v>
      </c>
      <c r="D40" s="74">
        <f t="shared" si="10"/>
        <v>22.099999999999998</v>
      </c>
      <c r="E40" s="75">
        <v>32679.799999999996</v>
      </c>
    </row>
    <row r="41" spans="1:6" ht="15.75" thickBot="1" x14ac:dyDescent="0.3">
      <c r="A41" s="61" t="s">
        <v>84</v>
      </c>
      <c r="B41" s="62">
        <f>SUM(B38:B40)</f>
        <v>247.89999999999998</v>
      </c>
      <c r="C41" s="62">
        <f t="shared" ref="C41" si="11">SUM(C38:C40)</f>
        <v>78.600000000000009</v>
      </c>
      <c r="D41" s="62">
        <f t="shared" si="10"/>
        <v>326.5</v>
      </c>
      <c r="E41" s="63"/>
    </row>
    <row r="42" spans="1:6" x14ac:dyDescent="0.25">
      <c r="A42" s="64" t="s">
        <v>81</v>
      </c>
      <c r="B42" s="65">
        <f>'Deployment options'!G40/1000000</f>
        <v>15.663629327522024</v>
      </c>
      <c r="C42" s="66">
        <f>SUM('Deployment options'!H40:I40)/1000000</f>
        <v>0.73368931925624425</v>
      </c>
      <c r="D42" s="66">
        <f t="shared" si="10"/>
        <v>16.397318646778267</v>
      </c>
      <c r="E42" s="67"/>
      <c r="F42" t="s">
        <v>96</v>
      </c>
    </row>
    <row r="43" spans="1:6" x14ac:dyDescent="0.25">
      <c r="A43" s="77" t="s">
        <v>95</v>
      </c>
      <c r="B43" s="83">
        <f>B12/1000000</f>
        <v>122.7010706467067</v>
      </c>
      <c r="C43" s="83">
        <f t="shared" ref="C43:D43" si="12">C12/1000000</f>
        <v>94.470963426803664</v>
      </c>
      <c r="D43" s="83">
        <f t="shared" si="12"/>
        <v>217.17203407351036</v>
      </c>
      <c r="E43" s="84"/>
    </row>
    <row r="44" spans="1:6" x14ac:dyDescent="0.25">
      <c r="A44" s="68"/>
      <c r="B44" s="69"/>
      <c r="C44" s="69"/>
      <c r="D44" s="70"/>
      <c r="E44" s="71"/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4761-4AC4-4453-851F-E98BDC4EE6D4}">
  <dimension ref="A1:H63"/>
  <sheetViews>
    <sheetView workbookViewId="0">
      <selection activeCell="L15" sqref="L15"/>
    </sheetView>
  </sheetViews>
  <sheetFormatPr defaultRowHeight="15" x14ac:dyDescent="0.25"/>
  <cols>
    <col min="1" max="1" width="40.28515625" style="6" customWidth="1"/>
    <col min="2" max="3" width="13.5703125" style="6" bestFit="1" customWidth="1"/>
    <col min="4" max="8" width="14.42578125" style="6" bestFit="1" customWidth="1"/>
  </cols>
  <sheetData>
    <row r="1" spans="1:8" x14ac:dyDescent="0.25">
      <c r="A1" s="5" t="s">
        <v>13</v>
      </c>
    </row>
    <row r="2" spans="1:8" x14ac:dyDescent="0.25">
      <c r="A2" s="5" t="s">
        <v>0</v>
      </c>
    </row>
    <row r="3" spans="1:8" x14ac:dyDescent="0.25">
      <c r="A3" s="5" t="s">
        <v>14</v>
      </c>
    </row>
    <row r="4" spans="1:8" x14ac:dyDescent="0.25">
      <c r="A4" s="5" t="s">
        <v>33</v>
      </c>
    </row>
    <row r="5" spans="1:8" x14ac:dyDescent="0.25">
      <c r="A5" s="5" t="s">
        <v>27</v>
      </c>
    </row>
    <row r="7" spans="1:8" ht="21" x14ac:dyDescent="0.35">
      <c r="A7" s="22"/>
      <c r="B7" s="37"/>
    </row>
    <row r="8" spans="1:8" x14ac:dyDescent="0.25">
      <c r="A8" s="22" t="s">
        <v>32</v>
      </c>
    </row>
    <row r="9" spans="1:8" s="15" customFormat="1" x14ac:dyDescent="0.25">
      <c r="A9" s="19" t="s">
        <v>26</v>
      </c>
      <c r="B9" s="16">
        <v>2027</v>
      </c>
      <c r="C9" s="16">
        <v>2028</v>
      </c>
      <c r="D9" s="16">
        <v>2029</v>
      </c>
      <c r="E9" s="16">
        <v>2030</v>
      </c>
      <c r="F9" s="16">
        <v>2031</v>
      </c>
      <c r="G9" s="16">
        <v>2032</v>
      </c>
      <c r="H9" s="16">
        <v>2033</v>
      </c>
    </row>
    <row r="10" spans="1:8" x14ac:dyDescent="0.25">
      <c r="A10" s="6" t="s">
        <v>21</v>
      </c>
      <c r="B10" s="17">
        <f>'Rate Base'!B20</f>
        <v>16308908.547218606</v>
      </c>
      <c r="C10" s="17">
        <f>'Rate Base'!C20</f>
        <v>77776348.620813563</v>
      </c>
      <c r="D10" s="17">
        <f>'Rate Base'!D20</f>
        <v>163049782.5506627</v>
      </c>
      <c r="E10" s="17">
        <f>'Rate Base'!E20</f>
        <v>196211992.74059641</v>
      </c>
      <c r="F10" s="17">
        <f>'Rate Base'!F20</f>
        <v>182075995.34526902</v>
      </c>
      <c r="G10" s="17">
        <f>'Rate Base'!G20</f>
        <v>166098844.56055665</v>
      </c>
      <c r="H10" s="17">
        <f>'Rate Base'!H20</f>
        <v>148141741.1421282</v>
      </c>
    </row>
    <row r="11" spans="1:8" x14ac:dyDescent="0.25">
      <c r="A11" s="6" t="s">
        <v>28</v>
      </c>
      <c r="B11" s="9">
        <v>6.1028604187000658E-2</v>
      </c>
      <c r="C11" s="9">
        <v>6.1896436726146364E-2</v>
      </c>
      <c r="D11" s="9">
        <v>6.19933994581056E-2</v>
      </c>
      <c r="E11" s="9">
        <v>6.2054411756909011E-2</v>
      </c>
      <c r="F11" s="9">
        <v>6.2847092783868741E-2</v>
      </c>
      <c r="G11" s="9">
        <v>6.2847092783868741E-2</v>
      </c>
      <c r="H11" s="9">
        <v>6.2847092783868741E-2</v>
      </c>
    </row>
    <row r="12" spans="1:8" x14ac:dyDescent="0.25">
      <c r="A12" s="6" t="s">
        <v>22</v>
      </c>
      <c r="B12" s="17">
        <f t="shared" ref="B12:F12" si="0">B10*B11</f>
        <v>995309.92445019621</v>
      </c>
      <c r="C12" s="17">
        <f t="shared" si="0"/>
        <v>4814078.8411988877</v>
      </c>
      <c r="D12" s="17">
        <f t="shared" si="0"/>
        <v>10108010.301220488</v>
      </c>
      <c r="E12" s="17">
        <f t="shared" si="0"/>
        <v>12175819.789168611</v>
      </c>
      <c r="F12" s="17">
        <f t="shared" si="0"/>
        <v>11442946.973179376</v>
      </c>
      <c r="G12" s="17">
        <f t="shared" ref="G12:H12" si="1">G10*G11</f>
        <v>10438829.495390696</v>
      </c>
      <c r="H12" s="17">
        <f t="shared" si="1"/>
        <v>9310277.7507231962</v>
      </c>
    </row>
    <row r="13" spans="1:8" x14ac:dyDescent="0.25">
      <c r="A13" s="6" t="s">
        <v>30</v>
      </c>
      <c r="B13" s="17"/>
      <c r="C13" s="17"/>
      <c r="D13" s="17"/>
      <c r="E13" s="17"/>
      <c r="F13" s="17"/>
      <c r="G13" s="17"/>
      <c r="H13" s="17"/>
    </row>
    <row r="14" spans="1:8" x14ac:dyDescent="0.25">
      <c r="A14" s="6" t="s">
        <v>23</v>
      </c>
      <c r="B14" s="17">
        <f>'Deployment options'!B14</f>
        <v>16132707.506362787</v>
      </c>
      <c r="C14" s="17">
        <f>'Deployment options'!C14</f>
        <v>23919643.133047283</v>
      </c>
      <c r="D14" s="17">
        <f>'Deployment options'!D14</f>
        <v>30333769.167054415</v>
      </c>
      <c r="E14" s="17">
        <f>'Deployment options'!E14</f>
        <v>15862648.80835351</v>
      </c>
      <c r="F14" s="17">
        <f>'Deployment options'!F14</f>
        <v>16449343.962667622</v>
      </c>
      <c r="G14" s="17">
        <f>'Deployment options'!H14</f>
        <v>17587691.205848012</v>
      </c>
      <c r="H14" s="17">
        <f>'Deployment options'!I14</f>
        <v>18326515.631008856</v>
      </c>
    </row>
    <row r="15" spans="1:8" x14ac:dyDescent="0.25">
      <c r="A15" s="6" t="s">
        <v>31</v>
      </c>
      <c r="B15" s="17"/>
      <c r="C15" s="17"/>
      <c r="D15" s="17"/>
      <c r="E15" s="17"/>
      <c r="F15" s="17"/>
      <c r="G15" s="17"/>
      <c r="H15" s="17"/>
    </row>
    <row r="16" spans="1:8" x14ac:dyDescent="0.25">
      <c r="A16" s="6" t="s">
        <v>24</v>
      </c>
      <c r="B16" s="17">
        <f>'PILs Impact'!C25</f>
        <v>-2896824.2138916403</v>
      </c>
      <c r="C16" s="17">
        <f>'PILs Impact'!D25</f>
        <v>4891115.7651817799</v>
      </c>
      <c r="D16" s="17">
        <f>'PILs Impact'!E25</f>
        <v>3043007.1334866635</v>
      </c>
      <c r="E16" s="17">
        <f>'PILs Impact'!F25</f>
        <v>-163140.47464189195</v>
      </c>
      <c r="F16" s="17">
        <f>'PILs Impact'!G25</f>
        <v>2885851.6337330658</v>
      </c>
      <c r="G16" s="17">
        <f>'PILs Impact'!H25</f>
        <v>3491513.4574049609</v>
      </c>
      <c r="H16" s="17">
        <f>'PILs Impact'!I25</f>
        <v>3925258.2281437363</v>
      </c>
    </row>
    <row r="17" spans="1:8" s="15" customFormat="1" x14ac:dyDescent="0.25">
      <c r="A17" s="5" t="s">
        <v>25</v>
      </c>
      <c r="B17" s="18">
        <f>SUM(B12:B16)</f>
        <v>14231193.216921341</v>
      </c>
      <c r="C17" s="18">
        <f t="shared" ref="C17:F17" si="2">SUM(C12:C16)</f>
        <v>33624837.739427954</v>
      </c>
      <c r="D17" s="18">
        <f t="shared" si="2"/>
        <v>43484786.601761572</v>
      </c>
      <c r="E17" s="18">
        <f t="shared" si="2"/>
        <v>27875328.122880228</v>
      </c>
      <c r="F17" s="18">
        <f t="shared" si="2"/>
        <v>30778142.569580063</v>
      </c>
      <c r="G17" s="18">
        <f t="shared" ref="G17:H17" si="3">SUM(G12:G16)</f>
        <v>31518034.158643667</v>
      </c>
      <c r="H17" s="18">
        <f t="shared" si="3"/>
        <v>31562051.609875791</v>
      </c>
    </row>
    <row r="18" spans="1:8" x14ac:dyDescent="0.25">
      <c r="A18" s="6" t="s">
        <v>29</v>
      </c>
      <c r="B18" s="17"/>
      <c r="C18" s="17"/>
      <c r="D18" s="17"/>
      <c r="E18" s="17"/>
      <c r="F18" s="17"/>
      <c r="G18" s="17"/>
      <c r="H18" s="17"/>
    </row>
    <row r="19" spans="1:8" s="15" customFormat="1" ht="15.75" thickBot="1" x14ac:dyDescent="0.3">
      <c r="A19" s="5" t="s">
        <v>26</v>
      </c>
      <c r="B19" s="20">
        <f t="shared" ref="B19:H19" si="4">B17+B18</f>
        <v>14231193.216921341</v>
      </c>
      <c r="C19" s="20">
        <f t="shared" si="4"/>
        <v>33624837.739427954</v>
      </c>
      <c r="D19" s="20">
        <f t="shared" si="4"/>
        <v>43484786.601761572</v>
      </c>
      <c r="E19" s="20">
        <f t="shared" si="4"/>
        <v>27875328.122880228</v>
      </c>
      <c r="F19" s="20">
        <f t="shared" si="4"/>
        <v>30778142.569580063</v>
      </c>
      <c r="G19" s="20">
        <f t="shared" si="4"/>
        <v>31518034.158643667</v>
      </c>
      <c r="H19" s="20">
        <f t="shared" si="4"/>
        <v>31562051.609875791</v>
      </c>
    </row>
    <row r="20" spans="1:8" ht="15.75" thickTop="1" x14ac:dyDescent="0.25">
      <c r="B20" s="17"/>
      <c r="C20" s="17"/>
      <c r="D20" s="17"/>
      <c r="E20" s="17"/>
      <c r="F20" s="17"/>
      <c r="G20" s="17"/>
      <c r="H20" s="17"/>
    </row>
    <row r="21" spans="1:8" x14ac:dyDescent="0.25">
      <c r="B21" s="17"/>
      <c r="C21" s="17"/>
      <c r="D21" s="17"/>
      <c r="E21" s="17"/>
      <c r="F21" s="17"/>
      <c r="G21" s="17"/>
      <c r="H21" s="17"/>
    </row>
    <row r="22" spans="1:8" x14ac:dyDescent="0.25">
      <c r="B22" s="17"/>
      <c r="C22" s="17"/>
      <c r="D22" s="17"/>
      <c r="E22" s="17"/>
      <c r="F22" s="17"/>
      <c r="G22" s="17"/>
      <c r="H22" s="17"/>
    </row>
    <row r="23" spans="1:8" x14ac:dyDescent="0.25">
      <c r="A23" s="22" t="s">
        <v>48</v>
      </c>
    </row>
    <row r="24" spans="1:8" s="15" customFormat="1" x14ac:dyDescent="0.25">
      <c r="A24" s="19" t="s">
        <v>26</v>
      </c>
      <c r="B24" s="16">
        <v>2027</v>
      </c>
      <c r="C24" s="16">
        <v>2028</v>
      </c>
      <c r="D24" s="16">
        <v>2029</v>
      </c>
      <c r="E24" s="16">
        <v>2030</v>
      </c>
      <c r="F24" s="16">
        <v>2031</v>
      </c>
      <c r="G24" s="16">
        <v>2032</v>
      </c>
      <c r="H24" s="16">
        <v>2033</v>
      </c>
    </row>
    <row r="25" spans="1:8" x14ac:dyDescent="0.25">
      <c r="A25" s="6" t="s">
        <v>21</v>
      </c>
      <c r="B25" s="17">
        <f>'Rate Base'!B35</f>
        <v>19015760.551844995</v>
      </c>
      <c r="C25" s="17">
        <f>'Rate Base'!C35</f>
        <v>62245622.50355725</v>
      </c>
      <c r="D25" s="17">
        <f>'Rate Base'!D35</f>
        <v>108342753.2372109</v>
      </c>
      <c r="E25" s="17">
        <f>'Rate Base'!E35</f>
        <v>148114388.65585768</v>
      </c>
      <c r="F25" s="17">
        <f>'Rate Base'!F35</f>
        <v>180449223.75204548</v>
      </c>
      <c r="G25" s="17">
        <f>'Rate Base'!G35</f>
        <v>185716685.21904641</v>
      </c>
      <c r="H25" s="17">
        <f>'Rate Base'!H35</f>
        <v>166870044.20506528</v>
      </c>
    </row>
    <row r="26" spans="1:8" x14ac:dyDescent="0.25">
      <c r="A26" s="6" t="s">
        <v>28</v>
      </c>
      <c r="B26" s="9">
        <v>6.1028604187000658E-2</v>
      </c>
      <c r="C26" s="9">
        <v>6.1896436726146364E-2</v>
      </c>
      <c r="D26" s="9">
        <v>6.19933994581056E-2</v>
      </c>
      <c r="E26" s="9">
        <v>6.2054411756909011E-2</v>
      </c>
      <c r="F26" s="9">
        <v>6.2847092783868741E-2</v>
      </c>
      <c r="G26" s="9">
        <v>6.2847092783868741E-2</v>
      </c>
      <c r="H26" s="9">
        <v>6.2847092783868741E-2</v>
      </c>
    </row>
    <row r="27" spans="1:8" x14ac:dyDescent="0.25">
      <c r="A27" s="6" t="s">
        <v>22</v>
      </c>
      <c r="B27" s="17">
        <f t="shared" ref="B27:F27" si="5">B25*B26</f>
        <v>1160505.3240333295</v>
      </c>
      <c r="C27" s="17">
        <f t="shared" si="5"/>
        <v>3852782.2347710235</v>
      </c>
      <c r="D27" s="17">
        <f t="shared" si="5"/>
        <v>6716535.579825379</v>
      </c>
      <c r="E27" s="17">
        <f t="shared" si="5"/>
        <v>9191151.2607734464</v>
      </c>
      <c r="F27" s="17">
        <f t="shared" si="5"/>
        <v>11340709.107921893</v>
      </c>
      <c r="G27" s="17">
        <f t="shared" ref="G27:H27" si="6">G25*G26</f>
        <v>11671753.747473955</v>
      </c>
      <c r="H27" s="17">
        <f t="shared" si="6"/>
        <v>10487297.151004016</v>
      </c>
    </row>
    <row r="28" spans="1:8" x14ac:dyDescent="0.25">
      <c r="A28" s="6" t="s">
        <v>30</v>
      </c>
      <c r="B28" s="17"/>
      <c r="C28" s="17"/>
      <c r="D28" s="17"/>
      <c r="E28" s="17"/>
      <c r="F28" s="17"/>
      <c r="G28" s="17"/>
      <c r="H28" s="17"/>
    </row>
    <row r="29" spans="1:8" x14ac:dyDescent="0.25">
      <c r="A29" s="6" t="s">
        <v>23</v>
      </c>
      <c r="B29" s="17">
        <f>'Deployment options'!B23</f>
        <v>10876179.073310003</v>
      </c>
      <c r="C29" s="17">
        <f>'Deployment options'!C23</f>
        <v>16170219.774965499</v>
      </c>
      <c r="D29" s="17">
        <f>'Deployment options'!D23</f>
        <v>19670340.617727205</v>
      </c>
      <c r="E29" s="17">
        <f>'Deployment options'!E23</f>
        <v>23346533.707779244</v>
      </c>
      <c r="F29" s="17">
        <f>'Deployment options'!F23</f>
        <v>26137544.705745138</v>
      </c>
      <c r="G29" s="17">
        <f>'Deployment options'!H23</f>
        <v>18357535.088652998</v>
      </c>
      <c r="H29" s="17">
        <f>'Deployment options'!I23</f>
        <v>19335746.939309243</v>
      </c>
    </row>
    <row r="30" spans="1:8" x14ac:dyDescent="0.25">
      <c r="A30" s="6" t="s">
        <v>31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6" t="s">
        <v>24</v>
      </c>
      <c r="B31" s="17">
        <f>'PILs Impact'!K25</f>
        <v>-4761434.6455477392</v>
      </c>
      <c r="C31" s="17">
        <f>'PILs Impact'!L25</f>
        <v>3703668.9364590487</v>
      </c>
      <c r="D31" s="17">
        <f>'PILs Impact'!M25</f>
        <v>2643761.924765307</v>
      </c>
      <c r="E31" s="17">
        <f>'PILs Impact'!N25</f>
        <v>3235789.3921821043</v>
      </c>
      <c r="F31" s="17">
        <f>'PILs Impact'!O25</f>
        <v>3956198.8538798136</v>
      </c>
      <c r="G31" s="17">
        <f>'PILs Impact'!P25</f>
        <v>2307531.9559350354</v>
      </c>
      <c r="H31" s="17">
        <f>'PILs Impact'!Q25</f>
        <v>3889368.0823638309</v>
      </c>
    </row>
    <row r="32" spans="1:8" s="15" customFormat="1" x14ac:dyDescent="0.25">
      <c r="A32" s="5" t="s">
        <v>25</v>
      </c>
      <c r="B32" s="18">
        <f>SUM(B27:B31)</f>
        <v>7275249.7517955927</v>
      </c>
      <c r="C32" s="18">
        <f t="shared" ref="C32:F32" si="7">SUM(C27:C31)</f>
        <v>23726670.946195573</v>
      </c>
      <c r="D32" s="18">
        <f t="shared" si="7"/>
        <v>29030638.122317892</v>
      </c>
      <c r="E32" s="18">
        <f t="shared" si="7"/>
        <v>35773474.360734791</v>
      </c>
      <c r="F32" s="18">
        <f t="shared" si="7"/>
        <v>41434452.667546846</v>
      </c>
      <c r="G32" s="18">
        <f t="shared" ref="G32:H32" si="8">SUM(G27:G31)</f>
        <v>32336820.792061988</v>
      </c>
      <c r="H32" s="18">
        <f t="shared" si="8"/>
        <v>33712412.172677092</v>
      </c>
    </row>
    <row r="33" spans="1:8" x14ac:dyDescent="0.25">
      <c r="A33" s="6" t="s">
        <v>29</v>
      </c>
      <c r="B33" s="17"/>
      <c r="C33" s="17"/>
      <c r="D33" s="17"/>
      <c r="E33" s="17"/>
      <c r="F33" s="17"/>
      <c r="G33" s="17"/>
      <c r="H33" s="17"/>
    </row>
    <row r="34" spans="1:8" s="15" customFormat="1" ht="15.75" thickBot="1" x14ac:dyDescent="0.3">
      <c r="A34" s="5" t="s">
        <v>26</v>
      </c>
      <c r="B34" s="20">
        <f t="shared" ref="B34:H34" si="9">B32+B33</f>
        <v>7275249.7517955927</v>
      </c>
      <c r="C34" s="20">
        <f t="shared" si="9"/>
        <v>23726670.946195573</v>
      </c>
      <c r="D34" s="20">
        <f t="shared" si="9"/>
        <v>29030638.122317892</v>
      </c>
      <c r="E34" s="20">
        <f t="shared" si="9"/>
        <v>35773474.360734791</v>
      </c>
      <c r="F34" s="20">
        <f t="shared" si="9"/>
        <v>41434452.667546846</v>
      </c>
      <c r="G34" s="20">
        <f t="shared" si="9"/>
        <v>32336820.792061988</v>
      </c>
      <c r="H34" s="20">
        <f t="shared" si="9"/>
        <v>33712412.172677092</v>
      </c>
    </row>
    <row r="35" spans="1:8" ht="15.75" thickTop="1" x14ac:dyDescent="0.25">
      <c r="B35" s="17"/>
      <c r="C35" s="17"/>
      <c r="D35" s="17"/>
      <c r="E35" s="17"/>
      <c r="F35" s="17"/>
      <c r="G35" s="17"/>
      <c r="H35" s="17"/>
    </row>
    <row r="36" spans="1:8" x14ac:dyDescent="0.25">
      <c r="B36" s="17"/>
      <c r="C36" s="17"/>
      <c r="D36" s="17"/>
      <c r="E36" s="17"/>
      <c r="F36" s="17"/>
      <c r="G36" s="17"/>
      <c r="H36" s="17"/>
    </row>
    <row r="37" spans="1:8" x14ac:dyDescent="0.25">
      <c r="A37" s="22" t="s">
        <v>41</v>
      </c>
    </row>
    <row r="38" spans="1:8" x14ac:dyDescent="0.25">
      <c r="A38" s="19" t="s">
        <v>26</v>
      </c>
      <c r="B38" s="16">
        <v>2027</v>
      </c>
      <c r="C38" s="16">
        <v>2028</v>
      </c>
      <c r="D38" s="16">
        <v>2029</v>
      </c>
      <c r="E38" s="16">
        <v>2030</v>
      </c>
      <c r="F38" s="16">
        <v>2031</v>
      </c>
      <c r="G38" s="16">
        <v>2032</v>
      </c>
      <c r="H38" s="16">
        <v>2033</v>
      </c>
    </row>
    <row r="39" spans="1:8" x14ac:dyDescent="0.25">
      <c r="A39" s="6" t="s">
        <v>21</v>
      </c>
      <c r="B39" s="17">
        <f>'Rate Base'!B50</f>
        <v>19040341.963699356</v>
      </c>
      <c r="C39" s="17">
        <f>'Rate Base'!C50</f>
        <v>62451796.914328456</v>
      </c>
      <c r="D39" s="17">
        <f>'Rate Base'!D50</f>
        <v>108655812.1851057</v>
      </c>
      <c r="E39" s="17">
        <f>'Rate Base'!E50</f>
        <v>145968067.87567061</v>
      </c>
      <c r="F39" s="17">
        <f>'Rate Base'!F50</f>
        <v>171926442.74495178</v>
      </c>
      <c r="G39" s="17">
        <f>'Rate Base'!G50</f>
        <v>179845918.65133822</v>
      </c>
      <c r="H39" s="17">
        <f>'Rate Base'!H50</f>
        <v>168012777.71753383</v>
      </c>
    </row>
    <row r="40" spans="1:8" x14ac:dyDescent="0.25">
      <c r="A40" s="6" t="s">
        <v>28</v>
      </c>
      <c r="B40" s="9">
        <v>6.1028604187000658E-2</v>
      </c>
      <c r="C40" s="9">
        <v>6.1896436726146364E-2</v>
      </c>
      <c r="D40" s="9">
        <v>6.19933994581056E-2</v>
      </c>
      <c r="E40" s="9">
        <v>6.2054411756909011E-2</v>
      </c>
      <c r="F40" s="9">
        <v>6.2847092783868741E-2</v>
      </c>
      <c r="G40" s="9">
        <v>6.2847092783868741E-2</v>
      </c>
      <c r="H40" s="9">
        <v>6.2847092783868741E-2</v>
      </c>
    </row>
    <row r="41" spans="1:8" x14ac:dyDescent="0.25">
      <c r="A41" s="6" t="s">
        <v>22</v>
      </c>
      <c r="B41" s="17">
        <f t="shared" ref="B41:F41" si="10">B39*B40</f>
        <v>1162005.4932877468</v>
      </c>
      <c r="C41" s="17">
        <f t="shared" si="10"/>
        <v>3865543.696141874</v>
      </c>
      <c r="D41" s="17">
        <f t="shared" si="10"/>
        <v>6735943.1682361551</v>
      </c>
      <c r="E41" s="17">
        <f t="shared" si="10"/>
        <v>9057962.5873173065</v>
      </c>
      <c r="F41" s="17">
        <f t="shared" si="10"/>
        <v>10805077.099192481</v>
      </c>
      <c r="G41" s="17">
        <f t="shared" ref="G41:H41" si="11">G39*G40</f>
        <v>11302793.136280762</v>
      </c>
      <c r="H41" s="17">
        <f t="shared" si="11"/>
        <v>10559114.630089363</v>
      </c>
    </row>
    <row r="42" spans="1:8" x14ac:dyDescent="0.25">
      <c r="A42" s="6" t="s">
        <v>30</v>
      </c>
      <c r="B42" s="17"/>
      <c r="C42" s="17"/>
      <c r="D42" s="17"/>
      <c r="E42" s="17"/>
      <c r="F42" s="17"/>
      <c r="G42" s="17"/>
      <c r="H42" s="17"/>
    </row>
    <row r="43" spans="1:8" x14ac:dyDescent="0.25">
      <c r="A43" s="6" t="s">
        <v>23</v>
      </c>
      <c r="B43" s="17">
        <f>'Deployment options'!B32</f>
        <v>10705888.479001293</v>
      </c>
      <c r="C43" s="17">
        <f>'Deployment options'!C32</f>
        <v>15957196.396240506</v>
      </c>
      <c r="D43" s="17">
        <f>'Deployment options'!D32</f>
        <v>19584278.375005014</v>
      </c>
      <c r="E43" s="17">
        <f>'Deployment options'!E32</f>
        <v>22781573.008665189</v>
      </c>
      <c r="F43" s="17">
        <f>'Deployment options'!F32</f>
        <v>25289278.348272424</v>
      </c>
      <c r="G43" s="17">
        <f>'Deployment options'!H32</f>
        <v>19491682.940554745</v>
      </c>
      <c r="H43" s="17">
        <f>'Deployment options'!I32</f>
        <v>18547190.755254015</v>
      </c>
    </row>
    <row r="44" spans="1:8" x14ac:dyDescent="0.25">
      <c r="A44" s="6" t="s">
        <v>31</v>
      </c>
      <c r="B44" s="17"/>
      <c r="C44" s="17"/>
      <c r="D44" s="17"/>
      <c r="E44" s="17"/>
      <c r="F44" s="17"/>
      <c r="G44" s="17"/>
      <c r="H44" s="17"/>
    </row>
    <row r="45" spans="1:8" x14ac:dyDescent="0.25">
      <c r="A45" s="6" t="s">
        <v>24</v>
      </c>
      <c r="B45" s="17">
        <f>'PILs Impact'!S25</f>
        <v>-4719160.230536771</v>
      </c>
      <c r="C45" s="17">
        <f>'PILs Impact'!T25</f>
        <v>3668765.5576860299</v>
      </c>
      <c r="D45" s="17">
        <f>'PILs Impact'!U25</f>
        <v>2709220.0172816291</v>
      </c>
      <c r="E45" s="17">
        <f>'PILs Impact'!V25</f>
        <v>3181957.0188288051</v>
      </c>
      <c r="F45" s="17">
        <f>'PILs Impact'!W25</f>
        <v>3893934.4721765481</v>
      </c>
      <c r="G45" s="17">
        <f>'PILs Impact'!X25</f>
        <v>2827666.4807890151</v>
      </c>
      <c r="H45" s="17">
        <f>'PILs Impact'!Y25</f>
        <v>3543543.6909222803</v>
      </c>
    </row>
    <row r="46" spans="1:8" x14ac:dyDescent="0.25">
      <c r="A46" s="5" t="s">
        <v>25</v>
      </c>
      <c r="B46" s="18">
        <f>SUM(B41:B45)</f>
        <v>7148733.7417522697</v>
      </c>
      <c r="C46" s="18">
        <f t="shared" ref="C46:F46" si="12">SUM(C41:C45)</f>
        <v>23491505.65006841</v>
      </c>
      <c r="D46" s="18">
        <f t="shared" si="12"/>
        <v>29029441.560522798</v>
      </c>
      <c r="E46" s="18">
        <f t="shared" si="12"/>
        <v>35021492.614811301</v>
      </c>
      <c r="F46" s="18">
        <f t="shared" si="12"/>
        <v>39988289.91964145</v>
      </c>
      <c r="G46" s="18">
        <f t="shared" ref="G46:H46" si="13">SUM(G41:G45)</f>
        <v>33622142.557624519</v>
      </c>
      <c r="H46" s="18">
        <f t="shared" si="13"/>
        <v>32649849.076265659</v>
      </c>
    </row>
    <row r="47" spans="1:8" x14ac:dyDescent="0.25">
      <c r="A47" s="6" t="s">
        <v>29</v>
      </c>
      <c r="B47" s="17"/>
      <c r="C47" s="17"/>
      <c r="D47" s="17"/>
      <c r="E47" s="17"/>
      <c r="F47" s="17"/>
      <c r="G47" s="17"/>
      <c r="H47" s="17"/>
    </row>
    <row r="48" spans="1:8" ht="15.75" thickBot="1" x14ac:dyDescent="0.3">
      <c r="A48" s="5" t="s">
        <v>26</v>
      </c>
      <c r="B48" s="20">
        <f t="shared" ref="B48:H48" si="14">B46+B47</f>
        <v>7148733.7417522697</v>
      </c>
      <c r="C48" s="20">
        <f t="shared" si="14"/>
        <v>23491505.65006841</v>
      </c>
      <c r="D48" s="20">
        <f t="shared" si="14"/>
        <v>29029441.560522798</v>
      </c>
      <c r="E48" s="20">
        <f t="shared" si="14"/>
        <v>35021492.614811301</v>
      </c>
      <c r="F48" s="20">
        <f t="shared" si="14"/>
        <v>39988289.91964145</v>
      </c>
      <c r="G48" s="20">
        <f t="shared" si="14"/>
        <v>33622142.557624519</v>
      </c>
      <c r="H48" s="20">
        <f t="shared" si="14"/>
        <v>32649849.076265659</v>
      </c>
    </row>
    <row r="49" spans="1:8" ht="15.75" thickTop="1" x14ac:dyDescent="0.25"/>
    <row r="51" spans="1:8" x14ac:dyDescent="0.25">
      <c r="A51" s="22" t="s">
        <v>49</v>
      </c>
    </row>
    <row r="52" spans="1:8" x14ac:dyDescent="0.25">
      <c r="A52" s="19" t="s">
        <v>26</v>
      </c>
      <c r="B52" s="16">
        <v>2027</v>
      </c>
      <c r="C52" s="16">
        <v>2028</v>
      </c>
      <c r="D52" s="16">
        <v>2029</v>
      </c>
      <c r="E52" s="16">
        <v>2030</v>
      </c>
      <c r="F52" s="16">
        <v>2031</v>
      </c>
      <c r="G52" s="16">
        <v>2032</v>
      </c>
      <c r="H52" s="16">
        <v>2033</v>
      </c>
    </row>
    <row r="53" spans="1:8" x14ac:dyDescent="0.25">
      <c r="A53" s="6" t="s">
        <v>21</v>
      </c>
      <c r="B53" s="17">
        <f>'Rate Base'!B65</f>
        <v>23241305.90202558</v>
      </c>
      <c r="C53" s="17">
        <f>'Rate Base'!C65</f>
        <v>66694439.103500523</v>
      </c>
      <c r="D53" s="17">
        <f>'Rate Base'!D65</f>
        <v>102861941.6057916</v>
      </c>
      <c r="E53" s="17">
        <f>'Rate Base'!E65</f>
        <v>131803688.73958582</v>
      </c>
      <c r="F53" s="17">
        <f>'Rate Base'!F65</f>
        <v>153092596.79208234</v>
      </c>
      <c r="G53" s="17">
        <f>'Rate Base'!G65</f>
        <v>167253269.08323699</v>
      </c>
      <c r="H53" s="17">
        <f>'Rate Base'!H65</f>
        <v>175548220.19656909</v>
      </c>
    </row>
    <row r="54" spans="1:8" x14ac:dyDescent="0.25">
      <c r="A54" s="6" t="s">
        <v>28</v>
      </c>
      <c r="B54" s="9">
        <v>6.1028604187000658E-2</v>
      </c>
      <c r="C54" s="9">
        <v>6.1896436726146364E-2</v>
      </c>
      <c r="D54" s="9">
        <v>6.19933994581056E-2</v>
      </c>
      <c r="E54" s="9">
        <v>6.2054411756909011E-2</v>
      </c>
      <c r="F54" s="9">
        <v>6.2847092783868741E-2</v>
      </c>
      <c r="G54" s="9">
        <v>6.2847092783868741E-2</v>
      </c>
      <c r="H54" s="9">
        <v>6.2847092783868741E-2</v>
      </c>
    </row>
    <row r="55" spans="1:8" x14ac:dyDescent="0.25">
      <c r="A55" s="6" t="s">
        <v>22</v>
      </c>
      <c r="B55" s="17">
        <f t="shared" ref="B55:F55" si="15">B53*B54</f>
        <v>1418384.4586837215</v>
      </c>
      <c r="C55" s="17">
        <f t="shared" si="15"/>
        <v>4128148.1299556419</v>
      </c>
      <c r="D55" s="17">
        <f t="shared" si="15"/>
        <v>6376761.435004171</v>
      </c>
      <c r="E55" s="17">
        <f t="shared" si="15"/>
        <v>8179000.3721257299</v>
      </c>
      <c r="F55" s="17">
        <f t="shared" si="15"/>
        <v>9621424.6351154055</v>
      </c>
      <c r="G55" s="17">
        <f t="shared" ref="G55:H55" si="16">G53*G54</f>
        <v>10511381.720479561</v>
      </c>
      <c r="H55" s="17">
        <f t="shared" si="16"/>
        <v>11032695.282736797</v>
      </c>
    </row>
    <row r="56" spans="1:8" x14ac:dyDescent="0.25">
      <c r="A56" s="6" t="s">
        <v>30</v>
      </c>
      <c r="B56" s="17"/>
      <c r="C56" s="17"/>
      <c r="D56" s="17"/>
      <c r="E56" s="17"/>
      <c r="F56" s="17"/>
      <c r="G56" s="17"/>
      <c r="H56" s="17"/>
    </row>
    <row r="57" spans="1:8" x14ac:dyDescent="0.25">
      <c r="A57" s="6" t="s">
        <v>23</v>
      </c>
      <c r="B57" s="17">
        <f>'Deployment options'!B41</f>
        <v>9579954.7509440724</v>
      </c>
      <c r="C57" s="17">
        <f>'Deployment options'!C41</f>
        <v>14625387.199747972</v>
      </c>
      <c r="D57" s="17">
        <f>'Deployment options'!D41</f>
        <v>16633069.82755316</v>
      </c>
      <c r="E57" s="17">
        <f>'Deployment options'!E41</f>
        <v>19752232.901131637</v>
      </c>
      <c r="F57" s="17">
        <f>'Deployment options'!F41</f>
        <v>25895436.048748564</v>
      </c>
      <c r="G57" s="17">
        <f>'Deployment options'!H41</f>
        <v>26334324.333736323</v>
      </c>
      <c r="H57" s="17">
        <f>'Deployment options'!I41</f>
        <v>32809014.861211263</v>
      </c>
    </row>
    <row r="58" spans="1:8" x14ac:dyDescent="0.25">
      <c r="A58" s="6" t="s">
        <v>31</v>
      </c>
      <c r="B58" s="17"/>
      <c r="C58" s="17"/>
      <c r="D58" s="17"/>
      <c r="E58" s="17"/>
      <c r="F58" s="17"/>
      <c r="G58" s="17"/>
      <c r="H58" s="17"/>
    </row>
    <row r="59" spans="1:8" x14ac:dyDescent="0.25">
      <c r="A59" s="6" t="s">
        <v>24</v>
      </c>
      <c r="B59" s="17">
        <f>'PILs Impact'!AA25</f>
        <v>-5380306.6319419546</v>
      </c>
      <c r="C59" s="17">
        <f>'PILs Impact'!AB25</f>
        <v>3152289.3450584495</v>
      </c>
      <c r="D59" s="17">
        <f>'PILs Impact'!AC25</f>
        <v>1782068.918529579</v>
      </c>
      <c r="E59" s="17">
        <f>'PILs Impact'!AD25</f>
        <v>2416344.895524702</v>
      </c>
      <c r="F59" s="17">
        <f>'PILs Impact'!AE25</f>
        <v>4520874.360525839</v>
      </c>
      <c r="G59" s="17">
        <f>'PILs Impact'!AF25</f>
        <v>5502290.851142779</v>
      </c>
      <c r="H59" s="17">
        <f>'PILs Impact'!AG25</f>
        <v>8281256.3774969345</v>
      </c>
    </row>
    <row r="60" spans="1:8" x14ac:dyDescent="0.25">
      <c r="A60" s="5" t="s">
        <v>25</v>
      </c>
      <c r="B60" s="18">
        <f>SUM(B55:B59)</f>
        <v>5618032.5776858395</v>
      </c>
      <c r="C60" s="18">
        <f t="shared" ref="C60:F60" si="17">SUM(C55:C59)</f>
        <v>21905824.674762063</v>
      </c>
      <c r="D60" s="18">
        <f t="shared" si="17"/>
        <v>24791900.181086909</v>
      </c>
      <c r="E60" s="18">
        <f t="shared" si="17"/>
        <v>30347578.16878207</v>
      </c>
      <c r="F60" s="18">
        <f t="shared" si="17"/>
        <v>40037735.044389807</v>
      </c>
      <c r="G60" s="18">
        <f t="shared" ref="G60:H60" si="18">SUM(G55:G59)</f>
        <v>42347996.905358665</v>
      </c>
      <c r="H60" s="18">
        <f t="shared" si="18"/>
        <v>52122966.521444999</v>
      </c>
    </row>
    <row r="61" spans="1:8" x14ac:dyDescent="0.25">
      <c r="A61" s="6" t="s">
        <v>29</v>
      </c>
      <c r="B61" s="17"/>
      <c r="C61" s="17"/>
      <c r="D61" s="17"/>
      <c r="E61" s="17"/>
      <c r="F61" s="17"/>
      <c r="G61" s="17"/>
      <c r="H61" s="17"/>
    </row>
    <row r="62" spans="1:8" ht="15.75" thickBot="1" x14ac:dyDescent="0.3">
      <c r="A62" s="5" t="s">
        <v>26</v>
      </c>
      <c r="B62" s="20">
        <f t="shared" ref="B62:H62" si="19">B60+B61</f>
        <v>5618032.5776858395</v>
      </c>
      <c r="C62" s="20">
        <f t="shared" si="19"/>
        <v>21905824.674762063</v>
      </c>
      <c r="D62" s="20">
        <f t="shared" si="19"/>
        <v>24791900.181086909</v>
      </c>
      <c r="E62" s="20">
        <f t="shared" si="19"/>
        <v>30347578.16878207</v>
      </c>
      <c r="F62" s="20">
        <f t="shared" si="19"/>
        <v>40037735.044389807</v>
      </c>
      <c r="G62" s="20">
        <f t="shared" si="19"/>
        <v>42347996.905358665</v>
      </c>
      <c r="H62" s="20">
        <f t="shared" si="19"/>
        <v>52122966.521444999</v>
      </c>
    </row>
    <row r="63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591E-BC89-4728-AB42-64CD072F2D21}">
  <dimension ref="A1:AL67"/>
  <sheetViews>
    <sheetView topLeftCell="N12" zoomScale="85" zoomScaleNormal="85" workbookViewId="0">
      <selection activeCell="W29" sqref="W29:Y29"/>
    </sheetView>
  </sheetViews>
  <sheetFormatPr defaultColWidth="9.140625" defaultRowHeight="14.25" x14ac:dyDescent="0.2"/>
  <cols>
    <col min="1" max="1" width="24.7109375" style="6" customWidth="1"/>
    <col min="2" max="2" width="10.5703125" style="6" customWidth="1"/>
    <col min="3" max="3" width="13.7109375" style="6" bestFit="1" customWidth="1"/>
    <col min="4" max="9" width="14.28515625" style="6" bestFit="1" customWidth="1"/>
    <col min="10" max="10" width="4.42578125" style="6" customWidth="1"/>
    <col min="11" max="11" width="13.7109375" style="6" bestFit="1" customWidth="1"/>
    <col min="12" max="12" width="12.85546875" style="6" bestFit="1" customWidth="1"/>
    <col min="13" max="17" width="14.28515625" style="6" bestFit="1" customWidth="1"/>
    <col min="18" max="18" width="3.7109375" style="6" customWidth="1"/>
    <col min="19" max="19" width="13.7109375" style="6" bestFit="1" customWidth="1"/>
    <col min="20" max="20" width="12.85546875" style="6" bestFit="1" customWidth="1"/>
    <col min="21" max="25" width="14.28515625" style="6" bestFit="1" customWidth="1"/>
    <col min="26" max="26" width="3.7109375" style="6" customWidth="1"/>
    <col min="27" max="27" width="13.7109375" style="6" bestFit="1" customWidth="1"/>
    <col min="28" max="28" width="12.85546875" style="6" bestFit="1" customWidth="1"/>
    <col min="29" max="33" width="14.28515625" style="6" bestFit="1" customWidth="1"/>
    <col min="34" max="34" width="9.140625" style="6"/>
    <col min="35" max="35" width="9.28515625" style="6" customWidth="1"/>
    <col min="36" max="16384" width="9.140625" style="6"/>
  </cols>
  <sheetData>
    <row r="1" spans="1:33" ht="15" x14ac:dyDescent="0.25">
      <c r="A1" s="5" t="s">
        <v>13</v>
      </c>
    </row>
    <row r="2" spans="1:33" ht="15" x14ac:dyDescent="0.25">
      <c r="A2" s="5" t="s">
        <v>0</v>
      </c>
    </row>
    <row r="3" spans="1:33" ht="15" x14ac:dyDescent="0.25">
      <c r="A3" s="5" t="s">
        <v>14</v>
      </c>
    </row>
    <row r="4" spans="1:33" ht="15" x14ac:dyDescent="0.25">
      <c r="A4" s="5" t="s">
        <v>33</v>
      </c>
    </row>
    <row r="5" spans="1:33" ht="15" x14ac:dyDescent="0.25">
      <c r="A5" s="5" t="s">
        <v>86</v>
      </c>
    </row>
    <row r="7" spans="1:33" ht="15" x14ac:dyDescent="0.25">
      <c r="A7" s="22"/>
      <c r="B7"/>
      <c r="C7"/>
      <c r="D7"/>
      <c r="E7"/>
      <c r="F7"/>
      <c r="G7"/>
      <c r="H7"/>
      <c r="I7"/>
      <c r="K7"/>
      <c r="L7"/>
      <c r="M7"/>
      <c r="N7"/>
      <c r="O7"/>
      <c r="P7"/>
      <c r="Q7"/>
      <c r="S7"/>
      <c r="T7"/>
      <c r="U7"/>
      <c r="V7"/>
      <c r="W7"/>
      <c r="X7"/>
      <c r="Y7"/>
      <c r="AA7" s="22"/>
      <c r="AB7"/>
      <c r="AC7"/>
      <c r="AD7"/>
      <c r="AE7"/>
      <c r="AF7"/>
      <c r="AG7"/>
    </row>
    <row r="8" spans="1:33" ht="15" x14ac:dyDescent="0.25">
      <c r="A8" s="5" t="s">
        <v>20</v>
      </c>
      <c r="C8" s="22" t="s">
        <v>34</v>
      </c>
      <c r="K8" s="22" t="s">
        <v>35</v>
      </c>
      <c r="S8" s="22" t="s">
        <v>36</v>
      </c>
      <c r="AA8" s="22" t="s">
        <v>37</v>
      </c>
    </row>
    <row r="9" spans="1:33" ht="15" x14ac:dyDescent="0.25">
      <c r="C9" s="7">
        <v>2027</v>
      </c>
      <c r="D9" s="7">
        <v>2028</v>
      </c>
      <c r="E9" s="7">
        <v>2029</v>
      </c>
      <c r="F9" s="7">
        <v>2030</v>
      </c>
      <c r="G9" s="7">
        <v>2031</v>
      </c>
      <c r="H9" s="7">
        <v>2032</v>
      </c>
      <c r="I9" s="7">
        <v>2033</v>
      </c>
      <c r="K9" s="7">
        <v>2027</v>
      </c>
      <c r="L9" s="7">
        <v>2028</v>
      </c>
      <c r="M9" s="7">
        <v>2029</v>
      </c>
      <c r="N9" s="7">
        <v>2030</v>
      </c>
      <c r="O9" s="7">
        <v>2031</v>
      </c>
      <c r="P9" s="7">
        <v>2032</v>
      </c>
      <c r="Q9" s="7">
        <v>2033</v>
      </c>
      <c r="S9" s="7">
        <v>2027</v>
      </c>
      <c r="T9" s="7">
        <v>2028</v>
      </c>
      <c r="U9" s="7">
        <v>2029</v>
      </c>
      <c r="V9" s="7">
        <v>2030</v>
      </c>
      <c r="W9" s="7">
        <v>2031</v>
      </c>
      <c r="X9" s="7">
        <v>2032</v>
      </c>
      <c r="Y9" s="7">
        <v>2033</v>
      </c>
      <c r="AA9" s="7">
        <v>2027</v>
      </c>
      <c r="AB9" s="7">
        <v>2028</v>
      </c>
      <c r="AC9" s="7">
        <v>2029</v>
      </c>
      <c r="AD9" s="7">
        <v>2030</v>
      </c>
      <c r="AE9" s="7">
        <v>2031</v>
      </c>
      <c r="AF9" s="7">
        <v>2032</v>
      </c>
      <c r="AG9" s="7">
        <v>2033</v>
      </c>
    </row>
    <row r="10" spans="1:33" x14ac:dyDescent="0.2">
      <c r="C10" s="8"/>
      <c r="D10" s="8"/>
      <c r="E10" s="8"/>
      <c r="F10" s="8"/>
      <c r="G10" s="8"/>
      <c r="H10" s="8"/>
      <c r="I10" s="8"/>
      <c r="K10" s="8"/>
      <c r="L10" s="8"/>
      <c r="M10" s="8"/>
      <c r="N10" s="8"/>
      <c r="O10" s="8"/>
      <c r="P10" s="8"/>
      <c r="Q10" s="8"/>
      <c r="S10" s="8"/>
      <c r="T10" s="8"/>
      <c r="U10" s="8"/>
      <c r="V10" s="8"/>
      <c r="W10" s="8"/>
      <c r="X10" s="8"/>
      <c r="Y10" s="8"/>
      <c r="AA10" s="8"/>
      <c r="AB10" s="8"/>
      <c r="AC10" s="8"/>
      <c r="AD10" s="8"/>
      <c r="AE10" s="8"/>
      <c r="AF10" s="8"/>
      <c r="AG10" s="8"/>
    </row>
    <row r="11" spans="1:33" x14ac:dyDescent="0.2">
      <c r="A11" s="6" t="s">
        <v>21</v>
      </c>
      <c r="C11" s="8">
        <f>'Rate Base'!B20</f>
        <v>16308908.547218606</v>
      </c>
      <c r="D11" s="8">
        <f>'Rate Base'!C20</f>
        <v>77776348.620813563</v>
      </c>
      <c r="E11" s="8">
        <f>'Rate Base'!D20</f>
        <v>163049782.5506627</v>
      </c>
      <c r="F11" s="8">
        <f>'Rate Base'!E20</f>
        <v>196211992.74059641</v>
      </c>
      <c r="G11" s="8">
        <f>'Rate Base'!F20</f>
        <v>182075995.34526902</v>
      </c>
      <c r="H11" s="8">
        <f>'Rate Base'!G20</f>
        <v>166098844.56055665</v>
      </c>
      <c r="I11" s="8">
        <f>'Rate Base'!H20</f>
        <v>148141741.1421282</v>
      </c>
      <c r="K11" s="8">
        <f>'Rate Base'!B35</f>
        <v>19015760.551844995</v>
      </c>
      <c r="L11" s="8">
        <f>'Rate Base'!C35</f>
        <v>62245622.50355725</v>
      </c>
      <c r="M11" s="8">
        <f>'Rate Base'!D35</f>
        <v>108342753.2372109</v>
      </c>
      <c r="N11" s="8">
        <f>'Rate Base'!E35</f>
        <v>148114388.65585768</v>
      </c>
      <c r="O11" s="8">
        <f>'Rate Base'!F35</f>
        <v>180449223.75204548</v>
      </c>
      <c r="P11" s="8">
        <f>'Rate Base'!G35</f>
        <v>185716685.21904641</v>
      </c>
      <c r="Q11" s="8">
        <f>'Rate Base'!H35</f>
        <v>166870044.20506528</v>
      </c>
      <c r="S11" s="8">
        <f>'Rate Base'!B50</f>
        <v>19040341.963699356</v>
      </c>
      <c r="T11" s="8">
        <f>'Rate Base'!C50</f>
        <v>62451796.914328456</v>
      </c>
      <c r="U11" s="8">
        <f>'Rate Base'!D50</f>
        <v>108655812.1851057</v>
      </c>
      <c r="V11" s="8">
        <f>'Rate Base'!E50</f>
        <v>145968067.87567061</v>
      </c>
      <c r="W11" s="8">
        <f>'Rate Base'!F50</f>
        <v>171926442.74495178</v>
      </c>
      <c r="X11" s="8">
        <f>'Rate Base'!G50</f>
        <v>179845918.65133822</v>
      </c>
      <c r="Y11" s="8">
        <f>'Rate Base'!H50</f>
        <v>168012777.71753383</v>
      </c>
      <c r="AA11" s="8">
        <f>'Rate Base'!B65</f>
        <v>23241305.90202558</v>
      </c>
      <c r="AB11" s="8">
        <f>'Rate Base'!C65</f>
        <v>66694439.103500523</v>
      </c>
      <c r="AC11" s="8">
        <f>'Rate Base'!D65</f>
        <v>102861941.6057916</v>
      </c>
      <c r="AD11" s="8">
        <f>'Rate Base'!E65</f>
        <v>131803688.73958582</v>
      </c>
      <c r="AE11" s="8">
        <f>'Rate Base'!F65</f>
        <v>153092596.79208234</v>
      </c>
      <c r="AF11" s="8">
        <f>'Rate Base'!G65</f>
        <v>167253269.08323699</v>
      </c>
      <c r="AG11" s="8">
        <f>'Rate Base'!H65</f>
        <v>175548220.19656909</v>
      </c>
    </row>
    <row r="12" spans="1:33" x14ac:dyDescent="0.2">
      <c r="A12" s="6" t="s">
        <v>15</v>
      </c>
      <c r="C12" s="9">
        <v>0.4</v>
      </c>
      <c r="D12" s="9">
        <v>0.4</v>
      </c>
      <c r="E12" s="9">
        <v>0.4</v>
      </c>
      <c r="F12" s="9">
        <v>0.4</v>
      </c>
      <c r="G12" s="9">
        <v>0.4</v>
      </c>
      <c r="H12" s="9">
        <v>0.4</v>
      </c>
      <c r="I12" s="9">
        <v>0.4</v>
      </c>
      <c r="K12" s="9">
        <v>0.4</v>
      </c>
      <c r="L12" s="9">
        <v>0.4</v>
      </c>
      <c r="M12" s="9">
        <v>0.4</v>
      </c>
      <c r="N12" s="9">
        <v>0.4</v>
      </c>
      <c r="O12" s="9">
        <v>0.4</v>
      </c>
      <c r="P12" s="9">
        <v>0.4</v>
      </c>
      <c r="Q12" s="9">
        <v>0.4</v>
      </c>
      <c r="S12" s="9">
        <v>0.4</v>
      </c>
      <c r="T12" s="9">
        <v>0.4</v>
      </c>
      <c r="U12" s="9">
        <v>0.4</v>
      </c>
      <c r="V12" s="9">
        <v>0.4</v>
      </c>
      <c r="W12" s="9">
        <v>0.4</v>
      </c>
      <c r="X12" s="9">
        <v>0.4</v>
      </c>
      <c r="Y12" s="9">
        <v>0.4</v>
      </c>
      <c r="AA12" s="9">
        <v>0.4</v>
      </c>
      <c r="AB12" s="9">
        <v>0.4</v>
      </c>
      <c r="AC12" s="9">
        <v>0.4</v>
      </c>
      <c r="AD12" s="9">
        <v>0.4</v>
      </c>
      <c r="AE12" s="9">
        <v>0.4</v>
      </c>
      <c r="AF12" s="9">
        <v>0.4</v>
      </c>
      <c r="AG12" s="9">
        <v>0.4</v>
      </c>
    </row>
    <row r="13" spans="1:33" x14ac:dyDescent="0.2">
      <c r="A13" s="6" t="s">
        <v>16</v>
      </c>
      <c r="C13" s="9">
        <v>0.09</v>
      </c>
      <c r="D13" s="9">
        <v>0.09</v>
      </c>
      <c r="E13" s="9">
        <v>0.09</v>
      </c>
      <c r="F13" s="9">
        <v>0.09</v>
      </c>
      <c r="G13" s="9">
        <v>0.09</v>
      </c>
      <c r="H13" s="9">
        <v>0.09</v>
      </c>
      <c r="I13" s="9">
        <v>0.09</v>
      </c>
      <c r="K13" s="9">
        <v>0.09</v>
      </c>
      <c r="L13" s="9">
        <v>0.09</v>
      </c>
      <c r="M13" s="9">
        <v>0.09</v>
      </c>
      <c r="N13" s="9">
        <v>0.09</v>
      </c>
      <c r="O13" s="9">
        <v>0.09</v>
      </c>
      <c r="P13" s="9">
        <v>0.09</v>
      </c>
      <c r="Q13" s="9">
        <v>0.09</v>
      </c>
      <c r="S13" s="9">
        <v>0.09</v>
      </c>
      <c r="T13" s="9">
        <v>0.09</v>
      </c>
      <c r="U13" s="9">
        <v>0.09</v>
      </c>
      <c r="V13" s="9">
        <v>0.09</v>
      </c>
      <c r="W13" s="9">
        <v>0.09</v>
      </c>
      <c r="X13" s="9">
        <v>0.09</v>
      </c>
      <c r="Y13" s="9">
        <v>0.09</v>
      </c>
      <c r="AA13" s="9">
        <v>0.09</v>
      </c>
      <c r="AB13" s="9">
        <v>0.09</v>
      </c>
      <c r="AC13" s="9">
        <v>0.09</v>
      </c>
      <c r="AD13" s="9">
        <v>0.09</v>
      </c>
      <c r="AE13" s="9">
        <v>0.09</v>
      </c>
      <c r="AF13" s="9">
        <v>0.09</v>
      </c>
      <c r="AG13" s="9">
        <v>0.09</v>
      </c>
    </row>
    <row r="14" spans="1:33" x14ac:dyDescent="0.2">
      <c r="A14" s="6" t="s">
        <v>57</v>
      </c>
      <c r="C14" s="10">
        <f t="shared" ref="C14:G14" si="0">+C11*C12*C13</f>
        <v>587120.70769986988</v>
      </c>
      <c r="D14" s="10">
        <f t="shared" si="0"/>
        <v>2799948.5503492882</v>
      </c>
      <c r="E14" s="10">
        <f t="shared" si="0"/>
        <v>5869792.1718238574</v>
      </c>
      <c r="F14" s="10">
        <f t="shared" si="0"/>
        <v>7063631.7386614708</v>
      </c>
      <c r="G14" s="10">
        <f t="shared" si="0"/>
        <v>6554735.8324296847</v>
      </c>
      <c r="H14" s="10">
        <f t="shared" ref="H14:I14" si="1">+H11*H12*H13</f>
        <v>5979558.4041800397</v>
      </c>
      <c r="I14" s="10">
        <f t="shared" si="1"/>
        <v>5333102.6811166154</v>
      </c>
      <c r="K14" s="10">
        <f t="shared" ref="K14:O14" si="2">+K11*K12*K13</f>
        <v>684567.37986641983</v>
      </c>
      <c r="L14" s="10">
        <f t="shared" si="2"/>
        <v>2240842.4101280612</v>
      </c>
      <c r="M14" s="10">
        <f t="shared" si="2"/>
        <v>3900339.1165395924</v>
      </c>
      <c r="N14" s="10">
        <f t="shared" si="2"/>
        <v>5332117.9916108763</v>
      </c>
      <c r="O14" s="10">
        <f t="shared" si="2"/>
        <v>6496172.0550736375</v>
      </c>
      <c r="P14" s="10">
        <f t="shared" ref="P14:Q14" si="3">+P11*P12*P13</f>
        <v>6685800.6678856714</v>
      </c>
      <c r="Q14" s="10">
        <f t="shared" si="3"/>
        <v>6007321.5913823508</v>
      </c>
      <c r="S14" s="10">
        <f t="shared" ref="S14:W14" si="4">+S11*S12*S13</f>
        <v>685452.31069317681</v>
      </c>
      <c r="T14" s="10">
        <f t="shared" si="4"/>
        <v>2248264.6889158245</v>
      </c>
      <c r="U14" s="10">
        <f t="shared" si="4"/>
        <v>3911609.2386638052</v>
      </c>
      <c r="V14" s="10">
        <f t="shared" si="4"/>
        <v>5254850.4435241418</v>
      </c>
      <c r="W14" s="10">
        <f t="shared" si="4"/>
        <v>6189351.9388182648</v>
      </c>
      <c r="X14" s="10">
        <f t="shared" ref="X14:Y14" si="5">+X11*X12*X13</f>
        <v>6474453.0714481752</v>
      </c>
      <c r="Y14" s="10">
        <f t="shared" si="5"/>
        <v>6048459.997831217</v>
      </c>
      <c r="AA14" s="10">
        <f t="shared" ref="AA14:AE14" si="6">+AA11*AA12*AA13</f>
        <v>836687.01247292093</v>
      </c>
      <c r="AB14" s="10">
        <f t="shared" si="6"/>
        <v>2400999.8077260191</v>
      </c>
      <c r="AC14" s="10">
        <f t="shared" si="6"/>
        <v>3703029.8978084973</v>
      </c>
      <c r="AD14" s="10">
        <f t="shared" si="6"/>
        <v>4744932.7946250895</v>
      </c>
      <c r="AE14" s="10">
        <f t="shared" si="6"/>
        <v>5511333.4845149638</v>
      </c>
      <c r="AF14" s="10">
        <f t="shared" ref="AF14" si="7">+AF11*AF12*AF13</f>
        <v>6021117.6869965317</v>
      </c>
      <c r="AG14" s="10">
        <f>+AG11*AG12*AG13</f>
        <v>6319735.9270764869</v>
      </c>
    </row>
    <row r="15" spans="1:33" x14ac:dyDescent="0.2"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8"/>
      <c r="P15" s="8"/>
      <c r="Q15" s="8"/>
      <c r="S15" s="8"/>
      <c r="T15" s="8"/>
      <c r="U15" s="8"/>
      <c r="V15" s="8"/>
      <c r="W15" s="8"/>
      <c r="X15" s="8"/>
      <c r="Y15" s="8"/>
      <c r="AA15" s="8"/>
      <c r="AB15" s="8"/>
      <c r="AC15" s="8"/>
      <c r="AD15" s="8"/>
      <c r="AE15" s="8"/>
      <c r="AF15" s="8"/>
      <c r="AG15" s="8"/>
    </row>
    <row r="16" spans="1:33" x14ac:dyDescent="0.2">
      <c r="A16" s="6" t="s">
        <v>58</v>
      </c>
      <c r="C16" s="8">
        <f t="shared" ref="C16:G16" si="8">+C14</f>
        <v>587120.70769986988</v>
      </c>
      <c r="D16" s="8">
        <f t="shared" si="8"/>
        <v>2799948.5503492882</v>
      </c>
      <c r="E16" s="8">
        <f t="shared" si="8"/>
        <v>5869792.1718238574</v>
      </c>
      <c r="F16" s="8">
        <f t="shared" si="8"/>
        <v>7063631.7386614708</v>
      </c>
      <c r="G16" s="8">
        <f t="shared" si="8"/>
        <v>6554735.8324296847</v>
      </c>
      <c r="H16" s="8">
        <f t="shared" ref="H16:I16" si="9">+H14</f>
        <v>5979558.4041800397</v>
      </c>
      <c r="I16" s="8">
        <f t="shared" si="9"/>
        <v>5333102.6811166154</v>
      </c>
      <c r="K16" s="8">
        <f t="shared" ref="K16:O16" si="10">+K14</f>
        <v>684567.37986641983</v>
      </c>
      <c r="L16" s="8">
        <f t="shared" si="10"/>
        <v>2240842.4101280612</v>
      </c>
      <c r="M16" s="8">
        <f t="shared" si="10"/>
        <v>3900339.1165395924</v>
      </c>
      <c r="N16" s="8">
        <f t="shared" si="10"/>
        <v>5332117.9916108763</v>
      </c>
      <c r="O16" s="8">
        <f t="shared" si="10"/>
        <v>6496172.0550736375</v>
      </c>
      <c r="P16" s="8">
        <f t="shared" ref="P16:Q16" si="11">+P14</f>
        <v>6685800.6678856714</v>
      </c>
      <c r="Q16" s="8">
        <f t="shared" si="11"/>
        <v>6007321.5913823508</v>
      </c>
      <c r="S16" s="8">
        <f t="shared" ref="S16:W16" si="12">+S14</f>
        <v>685452.31069317681</v>
      </c>
      <c r="T16" s="8">
        <f t="shared" si="12"/>
        <v>2248264.6889158245</v>
      </c>
      <c r="U16" s="8">
        <f t="shared" si="12"/>
        <v>3911609.2386638052</v>
      </c>
      <c r="V16" s="8">
        <f t="shared" si="12"/>
        <v>5254850.4435241418</v>
      </c>
      <c r="W16" s="8">
        <f t="shared" si="12"/>
        <v>6189351.9388182648</v>
      </c>
      <c r="X16" s="8">
        <f t="shared" ref="X16:Y16" si="13">+X14</f>
        <v>6474453.0714481752</v>
      </c>
      <c r="Y16" s="8">
        <f t="shared" si="13"/>
        <v>6048459.997831217</v>
      </c>
      <c r="AA16" s="8">
        <f t="shared" ref="AA16:AE16" si="14">+AA14</f>
        <v>836687.01247292093</v>
      </c>
      <c r="AB16" s="8">
        <f t="shared" si="14"/>
        <v>2400999.8077260191</v>
      </c>
      <c r="AC16" s="8">
        <f t="shared" si="14"/>
        <v>3703029.8978084973</v>
      </c>
      <c r="AD16" s="8">
        <f t="shared" si="14"/>
        <v>4744932.7946250895</v>
      </c>
      <c r="AE16" s="8">
        <f t="shared" si="14"/>
        <v>5511333.4845149638</v>
      </c>
      <c r="AF16" s="8">
        <f t="shared" ref="AF16:AG16" si="15">+AF14</f>
        <v>6021117.6869965317</v>
      </c>
      <c r="AG16" s="8">
        <f t="shared" si="15"/>
        <v>6319735.9270764869</v>
      </c>
    </row>
    <row r="17" spans="1:33" x14ac:dyDescent="0.2">
      <c r="A17" s="6" t="s">
        <v>59</v>
      </c>
      <c r="C17" s="8">
        <f>+'Deployment options'!B14</f>
        <v>16132707.506362787</v>
      </c>
      <c r="D17" s="8">
        <f>+'Deployment options'!C14</f>
        <v>23919643.133047283</v>
      </c>
      <c r="E17" s="8">
        <f>+'Deployment options'!D14</f>
        <v>30333769.167054415</v>
      </c>
      <c r="F17" s="8">
        <f>+'Deployment options'!E14</f>
        <v>15862648.80835351</v>
      </c>
      <c r="G17" s="8">
        <f>+'Deployment options'!F14</f>
        <v>16449343.962667622</v>
      </c>
      <c r="H17" s="8">
        <f>+'Deployment options'!H14</f>
        <v>17587691.205848012</v>
      </c>
      <c r="I17" s="8">
        <f>+'Deployment options'!I14</f>
        <v>18326515.631008856</v>
      </c>
      <c r="K17" s="8">
        <f>'Deployment options'!B23</f>
        <v>10876179.073310003</v>
      </c>
      <c r="L17" s="8">
        <f>'Deployment options'!C23</f>
        <v>16170219.774965499</v>
      </c>
      <c r="M17" s="8">
        <f>'Deployment options'!D23</f>
        <v>19670340.617727205</v>
      </c>
      <c r="N17" s="8">
        <f>'Deployment options'!E23</f>
        <v>23346533.707779244</v>
      </c>
      <c r="O17" s="8">
        <f>'Deployment options'!F23</f>
        <v>26137544.705745138</v>
      </c>
      <c r="P17" s="8">
        <f>'Deployment options'!H23</f>
        <v>18357535.088652998</v>
      </c>
      <c r="Q17" s="8">
        <f>'Deployment options'!I23</f>
        <v>19335746.939309243</v>
      </c>
      <c r="S17" s="8">
        <f>'Deployment options'!B32</f>
        <v>10705888.479001293</v>
      </c>
      <c r="T17" s="8">
        <f>'Deployment options'!C32</f>
        <v>15957196.396240506</v>
      </c>
      <c r="U17" s="8">
        <f>'Deployment options'!D32</f>
        <v>19584278.375005014</v>
      </c>
      <c r="V17" s="8">
        <f>'Deployment options'!E32</f>
        <v>22781573.008665189</v>
      </c>
      <c r="W17" s="8">
        <f>'Deployment options'!F32</f>
        <v>25289278.348272424</v>
      </c>
      <c r="X17" s="8">
        <f>'Deployment options'!H32</f>
        <v>19491682.940554745</v>
      </c>
      <c r="Y17" s="8">
        <f>'Deployment options'!I32</f>
        <v>18547190.755254015</v>
      </c>
      <c r="AA17" s="8">
        <f>'Deployment options'!B41</f>
        <v>9579954.7509440724</v>
      </c>
      <c r="AB17" s="8">
        <f>'Deployment options'!C41</f>
        <v>14625387.199747972</v>
      </c>
      <c r="AC17" s="8">
        <f>'Deployment options'!D41</f>
        <v>16633069.82755316</v>
      </c>
      <c r="AD17" s="8">
        <f>'Deployment options'!E41</f>
        <v>19752232.901131637</v>
      </c>
      <c r="AE17" s="8">
        <f>'Deployment options'!F41</f>
        <v>25895436.048748564</v>
      </c>
      <c r="AF17" s="8">
        <f>'Deployment options'!H41</f>
        <v>26334324.333736323</v>
      </c>
      <c r="AG17" s="8">
        <f>'Deployment options'!I41</f>
        <v>32809014.861211263</v>
      </c>
    </row>
    <row r="18" spans="1:33" x14ac:dyDescent="0.2">
      <c r="A18" s="6" t="s">
        <v>97</v>
      </c>
      <c r="C18" s="11">
        <f>+C49</f>
        <v>-24754416.128063999</v>
      </c>
      <c r="D18" s="11">
        <f>+D49</f>
        <v>-13153666.825250881</v>
      </c>
      <c r="E18" s="11">
        <f>+E49</f>
        <v>-27763522.685622811</v>
      </c>
      <c r="F18" s="11">
        <f>+F49</f>
        <v>-23378764.504984003</v>
      </c>
      <c r="G18" s="11">
        <f>+G49</f>
        <v>-14999925.263799936</v>
      </c>
      <c r="H18" s="11">
        <f t="shared" ref="H18:I18" si="16">+H49</f>
        <v>-13883240.586659575</v>
      </c>
      <c r="I18" s="11">
        <f t="shared" si="16"/>
        <v>-12772581.339726808</v>
      </c>
      <c r="K18" s="11">
        <f t="shared" ref="K18:Q18" si="17">+K49</f>
        <v>-24766989.715356</v>
      </c>
      <c r="L18" s="11">
        <f t="shared" si="17"/>
        <v>-8138621.9273675196</v>
      </c>
      <c r="M18" s="11">
        <f t="shared" si="17"/>
        <v>-16237981.565578118</v>
      </c>
      <c r="N18" s="11">
        <f t="shared" si="17"/>
        <v>-19703915.083337869</v>
      </c>
      <c r="O18" s="11">
        <f t="shared" si="17"/>
        <v>-21660863.335906841</v>
      </c>
      <c r="P18" s="11">
        <f t="shared" si="17"/>
        <v>-18643199.954228289</v>
      </c>
      <c r="Q18" s="11">
        <f t="shared" si="17"/>
        <v>-14555575.924890026</v>
      </c>
      <c r="S18" s="11">
        <f t="shared" ref="S18:Y18" si="18">+S49</f>
        <v>-24480332.372504003</v>
      </c>
      <c r="T18" s="11">
        <f t="shared" si="18"/>
        <v>-8029828.3119516801</v>
      </c>
      <c r="U18" s="11">
        <f t="shared" si="18"/>
        <v>-15981635.867623545</v>
      </c>
      <c r="V18" s="11">
        <f t="shared" si="18"/>
        <v>-19210995.494305663</v>
      </c>
      <c r="W18" s="11">
        <f t="shared" si="18"/>
        <v>-20678472.411431208</v>
      </c>
      <c r="X18" s="11">
        <f t="shared" si="18"/>
        <v>-18123362.942644712</v>
      </c>
      <c r="Y18" s="11">
        <f t="shared" si="18"/>
        <v>-14767331.459395135</v>
      </c>
      <c r="AA18" s="11">
        <f>+AA49</f>
        <v>-25339379.02559562</v>
      </c>
      <c r="AB18" s="11">
        <f>+AB49</f>
        <v>-8283244.8617458371</v>
      </c>
      <c r="AC18" s="11">
        <f>+AC49</f>
        <v>-15393380.272081504</v>
      </c>
      <c r="AD18" s="11">
        <f>+AD49</f>
        <v>-17795227.966659911</v>
      </c>
      <c r="AE18" s="11">
        <f>+AE49</f>
        <v>-18867740.646522049</v>
      </c>
      <c r="AF18" s="11">
        <f t="shared" ref="AF18" si="19">+AF49</f>
        <v>-17094371.169450052</v>
      </c>
      <c r="AG18" s="11">
        <f>+AG49</f>
        <v>-16159983.099758519</v>
      </c>
    </row>
    <row r="19" spans="1:33" x14ac:dyDescent="0.2">
      <c r="A19" s="6" t="s">
        <v>60</v>
      </c>
      <c r="C19" s="8">
        <f>SUM(C16:C18)</f>
        <v>-8034587.9140013419</v>
      </c>
      <c r="D19" s="8">
        <f>SUM(D16:D18)</f>
        <v>13565924.85814569</v>
      </c>
      <c r="E19" s="8">
        <f>SUM(E16:E18)</f>
        <v>8440038.6532554626</v>
      </c>
      <c r="F19" s="8">
        <f>SUM(F16:F18)</f>
        <v>-452483.95796902105</v>
      </c>
      <c r="G19" s="8">
        <f>SUM(G16:G18)</f>
        <v>8004154.5312973708</v>
      </c>
      <c r="H19" s="8">
        <f t="shared" ref="H19:I19" si="20">SUM(H16:H18)</f>
        <v>9684009.023368476</v>
      </c>
      <c r="I19" s="8">
        <f t="shared" si="20"/>
        <v>10887036.972398663</v>
      </c>
      <c r="K19" s="8">
        <f>SUM(K16:K18)</f>
        <v>-13206243.262179578</v>
      </c>
      <c r="L19" s="8">
        <f>SUM(L16:L18)</f>
        <v>10272440.25772604</v>
      </c>
      <c r="M19" s="8">
        <f>SUM(M16:M18)</f>
        <v>7332698.168688681</v>
      </c>
      <c r="N19" s="8">
        <f>SUM(N16:N18)</f>
        <v>8974736.6160522513</v>
      </c>
      <c r="O19" s="8">
        <f>SUM(O16:O18)</f>
        <v>10972853.424911935</v>
      </c>
      <c r="P19" s="8">
        <f t="shared" ref="P19:Q19" si="21">SUM(P16:P18)</f>
        <v>6400135.8023103811</v>
      </c>
      <c r="Q19" s="8">
        <f t="shared" si="21"/>
        <v>10787492.605801567</v>
      </c>
      <c r="S19" s="8">
        <f t="shared" ref="S19:Y19" si="22">SUM(S16:S18)</f>
        <v>-13088991.582809534</v>
      </c>
      <c r="T19" s="8">
        <f t="shared" si="22"/>
        <v>10175632.773204649</v>
      </c>
      <c r="U19" s="8">
        <f t="shared" si="22"/>
        <v>7514251.7460452728</v>
      </c>
      <c r="V19" s="8">
        <f t="shared" si="22"/>
        <v>8825427.9578836672</v>
      </c>
      <c r="W19" s="8">
        <f t="shared" si="22"/>
        <v>10800157.875659481</v>
      </c>
      <c r="X19" s="8">
        <f t="shared" si="22"/>
        <v>7842773.069358211</v>
      </c>
      <c r="Y19" s="8">
        <f t="shared" si="22"/>
        <v>9828319.2936900984</v>
      </c>
      <c r="AA19" s="8">
        <f>SUM(AA16:AA18)</f>
        <v>-14922737.262178628</v>
      </c>
      <c r="AB19" s="8">
        <f>SUM(AB16:AB18)</f>
        <v>8743142.1457281522</v>
      </c>
      <c r="AC19" s="8">
        <f>SUM(AC16:AC18)</f>
        <v>4942719.4532801528</v>
      </c>
      <c r="AD19" s="8">
        <f>SUM(AD16:AD18)</f>
        <v>6701937.729096815</v>
      </c>
      <c r="AE19" s="8">
        <f>SUM(AE16:AE18)</f>
        <v>12539028.886741478</v>
      </c>
      <c r="AF19" s="8">
        <f t="shared" ref="AF19" si="23">SUM(AF16:AF18)</f>
        <v>15261070.851282801</v>
      </c>
      <c r="AG19" s="8">
        <f>SUM(AG16:AG18)</f>
        <v>22968767.688529231</v>
      </c>
    </row>
    <row r="20" spans="1:33" x14ac:dyDescent="0.2">
      <c r="A20" s="6" t="s">
        <v>17</v>
      </c>
      <c r="C20" s="12">
        <v>0.26500000000000001</v>
      </c>
      <c r="D20" s="12">
        <v>0.26500000000000001</v>
      </c>
      <c r="E20" s="12">
        <v>0.26500000000000001</v>
      </c>
      <c r="F20" s="12">
        <v>0.26500000000000001</v>
      </c>
      <c r="G20" s="12">
        <v>0.26500000000000001</v>
      </c>
      <c r="H20" s="12">
        <v>0.26500000000000001</v>
      </c>
      <c r="I20" s="12">
        <v>0.26500000000000001</v>
      </c>
      <c r="K20" s="12">
        <v>0.26500000000000001</v>
      </c>
      <c r="L20" s="12">
        <v>0.26500000000000001</v>
      </c>
      <c r="M20" s="12">
        <v>0.26500000000000001</v>
      </c>
      <c r="N20" s="12">
        <v>0.26500000000000001</v>
      </c>
      <c r="O20" s="12">
        <v>0.26500000000000001</v>
      </c>
      <c r="P20" s="12">
        <v>0.26500000000000001</v>
      </c>
      <c r="Q20" s="12">
        <v>0.26500000000000001</v>
      </c>
      <c r="S20" s="12">
        <v>0.26500000000000001</v>
      </c>
      <c r="T20" s="12">
        <v>0.26500000000000001</v>
      </c>
      <c r="U20" s="12">
        <v>0.26500000000000001</v>
      </c>
      <c r="V20" s="12">
        <v>0.26500000000000001</v>
      </c>
      <c r="W20" s="12">
        <v>0.26500000000000001</v>
      </c>
      <c r="X20" s="12">
        <v>0.26500000000000001</v>
      </c>
      <c r="Y20" s="12">
        <v>0.26500000000000001</v>
      </c>
      <c r="AA20" s="12">
        <v>0.26500000000000001</v>
      </c>
      <c r="AB20" s="12">
        <v>0.26500000000000001</v>
      </c>
      <c r="AC20" s="12">
        <v>0.26500000000000001</v>
      </c>
      <c r="AD20" s="12">
        <v>0.26500000000000001</v>
      </c>
      <c r="AE20" s="12">
        <v>0.26500000000000001</v>
      </c>
      <c r="AF20" s="12">
        <v>0.26500000000000001</v>
      </c>
      <c r="AG20" s="12">
        <v>0.26500000000000001</v>
      </c>
    </row>
    <row r="21" spans="1:33" x14ac:dyDescent="0.2">
      <c r="A21" s="6" t="s">
        <v>18</v>
      </c>
      <c r="C21" s="8">
        <f t="shared" ref="C21:G21" si="24">+C19*C20</f>
        <v>-2129165.7972103558</v>
      </c>
      <c r="D21" s="8">
        <f t="shared" si="24"/>
        <v>3594970.0874086078</v>
      </c>
      <c r="E21" s="8">
        <f t="shared" si="24"/>
        <v>2236610.2431126977</v>
      </c>
      <c r="F21" s="8">
        <f t="shared" si="24"/>
        <v>-119908.24886179059</v>
      </c>
      <c r="G21" s="8">
        <f t="shared" si="24"/>
        <v>2121100.9507938032</v>
      </c>
      <c r="H21" s="8">
        <f t="shared" ref="H21:I21" si="25">+H19*H20</f>
        <v>2566262.3911926462</v>
      </c>
      <c r="I21" s="8">
        <f t="shared" si="25"/>
        <v>2885064.797685646</v>
      </c>
      <c r="K21" s="8">
        <f t="shared" ref="K21:O21" si="26">+K19*K20</f>
        <v>-3499654.4644775884</v>
      </c>
      <c r="L21" s="8">
        <f t="shared" si="26"/>
        <v>2722196.6682974007</v>
      </c>
      <c r="M21" s="8">
        <f t="shared" si="26"/>
        <v>1943165.0147025005</v>
      </c>
      <c r="N21" s="8">
        <f t="shared" si="26"/>
        <v>2378305.2032538466</v>
      </c>
      <c r="O21" s="8">
        <f t="shared" si="26"/>
        <v>2907806.1576016629</v>
      </c>
      <c r="P21" s="8">
        <f t="shared" ref="P21:Q21" si="27">+P19*P20</f>
        <v>1696035.987612251</v>
      </c>
      <c r="Q21" s="8">
        <f t="shared" si="27"/>
        <v>2858685.5405374155</v>
      </c>
      <c r="S21" s="8">
        <f t="shared" ref="S21:W21" si="28">+S19*S20</f>
        <v>-3468582.7694445266</v>
      </c>
      <c r="T21" s="8">
        <f t="shared" si="28"/>
        <v>2696542.6848992319</v>
      </c>
      <c r="U21" s="8">
        <f t="shared" si="28"/>
        <v>1991276.7127019975</v>
      </c>
      <c r="V21" s="8">
        <f t="shared" si="28"/>
        <v>2338738.4088391718</v>
      </c>
      <c r="W21" s="8">
        <f t="shared" si="28"/>
        <v>2862041.8370497627</v>
      </c>
      <c r="X21" s="8">
        <f t="shared" ref="X21:Y21" si="29">+X19*X20</f>
        <v>2078334.863379926</v>
      </c>
      <c r="Y21" s="8">
        <f t="shared" si="29"/>
        <v>2604504.6128278761</v>
      </c>
      <c r="AA21" s="8">
        <f t="shared" ref="AA21:AE21" si="30">+AA19*AA20</f>
        <v>-3954525.3744773366</v>
      </c>
      <c r="AB21" s="8">
        <f t="shared" si="30"/>
        <v>2316932.6686179605</v>
      </c>
      <c r="AC21" s="8">
        <f t="shared" si="30"/>
        <v>1309820.6551192405</v>
      </c>
      <c r="AD21" s="8">
        <f t="shared" si="30"/>
        <v>1776013.498210656</v>
      </c>
      <c r="AE21" s="8">
        <f t="shared" si="30"/>
        <v>3322842.6549864919</v>
      </c>
      <c r="AF21" s="8">
        <f t="shared" ref="AF21" si="31">+AF19*AF20</f>
        <v>4044183.7755899425</v>
      </c>
      <c r="AG21" s="8">
        <f>+AG19*AG20</f>
        <v>6086723.4374602465</v>
      </c>
    </row>
    <row r="22" spans="1:33" x14ac:dyDescent="0.2"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  <c r="O22" s="8"/>
      <c r="P22" s="8"/>
      <c r="Q22" s="8"/>
      <c r="S22" s="8"/>
      <c r="T22" s="8"/>
      <c r="U22" s="8"/>
      <c r="V22" s="8"/>
      <c r="W22" s="8"/>
      <c r="X22" s="8"/>
      <c r="Y22" s="8"/>
      <c r="AA22" s="8"/>
      <c r="AB22" s="8"/>
      <c r="AC22" s="8"/>
      <c r="AD22" s="8"/>
      <c r="AE22" s="8"/>
      <c r="AF22" s="8"/>
      <c r="AG22" s="8"/>
    </row>
    <row r="23" spans="1:33" x14ac:dyDescent="0.2">
      <c r="A23" s="6" t="s">
        <v>19</v>
      </c>
      <c r="B23" s="13">
        <f>1-C20</f>
        <v>0.73499999999999999</v>
      </c>
      <c r="C23" s="8">
        <f t="shared" ref="C23:G23" si="32">C21/$B$23-C21</f>
        <v>-767658.41668128455</v>
      </c>
      <c r="D23" s="8">
        <f t="shared" si="32"/>
        <v>1296145.677773172</v>
      </c>
      <c r="E23" s="8">
        <f t="shared" si="32"/>
        <v>806396.89037396573</v>
      </c>
      <c r="F23" s="8">
        <f t="shared" si="32"/>
        <v>-43232.225780101362</v>
      </c>
      <c r="G23" s="8">
        <f t="shared" si="32"/>
        <v>764750.6829392626</v>
      </c>
      <c r="H23" s="8">
        <f t="shared" ref="H23:I23" si="33">H21/$B$23-H21</f>
        <v>925251.06621231465</v>
      </c>
      <c r="I23" s="8">
        <f t="shared" si="33"/>
        <v>1040193.4304580903</v>
      </c>
      <c r="K23" s="8">
        <f t="shared" ref="K23:O23" si="34">K21/$B$23-K21</f>
        <v>-1261780.1810701508</v>
      </c>
      <c r="L23" s="8">
        <f t="shared" si="34"/>
        <v>981472.26816164795</v>
      </c>
      <c r="M23" s="8">
        <f t="shared" si="34"/>
        <v>700596.91006280645</v>
      </c>
      <c r="N23" s="8">
        <f t="shared" si="34"/>
        <v>857484.18892825767</v>
      </c>
      <c r="O23" s="8">
        <f t="shared" si="34"/>
        <v>1048392.6962781507</v>
      </c>
      <c r="P23" s="8">
        <f>P21/$B$23-P21</f>
        <v>611495.96832278441</v>
      </c>
      <c r="Q23" s="8">
        <f t="shared" ref="Q23" si="35">Q21/$B$23-Q21</f>
        <v>1030682.5418264153</v>
      </c>
      <c r="S23" s="8">
        <f t="shared" ref="S23:W23" si="36">S21/$B$23-S21</f>
        <v>-1250577.4610922444</v>
      </c>
      <c r="T23" s="8">
        <f t="shared" si="36"/>
        <v>972222.87278679805</v>
      </c>
      <c r="U23" s="8">
        <f t="shared" si="36"/>
        <v>717943.30457963166</v>
      </c>
      <c r="V23" s="8">
        <f t="shared" si="36"/>
        <v>843218.60998963332</v>
      </c>
      <c r="W23" s="8">
        <f t="shared" si="36"/>
        <v>1031892.6351267854</v>
      </c>
      <c r="X23" s="8">
        <f t="shared" ref="X23:Y23" si="37">X21/$B$23-X21</f>
        <v>749331.61740908911</v>
      </c>
      <c r="Y23" s="8">
        <f t="shared" si="37"/>
        <v>939039.07809440419</v>
      </c>
      <c r="AA23" s="8">
        <f t="shared" ref="AA23:AE23" si="38">AA21/$B$23-AA21</f>
        <v>-1425781.257464618</v>
      </c>
      <c r="AB23" s="8">
        <f t="shared" si="38"/>
        <v>835356.67644048901</v>
      </c>
      <c r="AC23" s="8">
        <f t="shared" si="38"/>
        <v>472248.26341033843</v>
      </c>
      <c r="AD23" s="8">
        <f t="shared" si="38"/>
        <v>640331.39731404604</v>
      </c>
      <c r="AE23" s="8">
        <f t="shared" si="38"/>
        <v>1198031.7055393471</v>
      </c>
      <c r="AF23" s="8">
        <f t="shared" ref="AF23" si="39">AF21/$B$23-AF21</f>
        <v>1458107.0755528365</v>
      </c>
      <c r="AG23" s="8">
        <f>AG21/$B$23-AG21</f>
        <v>2194532.940036688</v>
      </c>
    </row>
    <row r="24" spans="1:33" x14ac:dyDescent="0.2">
      <c r="C24" s="8"/>
      <c r="D24" s="8"/>
      <c r="E24" s="8"/>
      <c r="F24" s="8"/>
      <c r="G24" s="8"/>
      <c r="H24" s="8"/>
      <c r="I24" s="8"/>
      <c r="K24" s="8"/>
      <c r="L24" s="8"/>
      <c r="M24" s="8"/>
      <c r="N24" s="8"/>
      <c r="O24" s="8"/>
      <c r="P24" s="8"/>
      <c r="Q24" s="8"/>
      <c r="S24" s="8"/>
      <c r="T24" s="8"/>
      <c r="U24" s="8"/>
      <c r="V24" s="8"/>
      <c r="W24" s="8"/>
      <c r="X24" s="8"/>
      <c r="Y24" s="8"/>
      <c r="AA24" s="8"/>
      <c r="AB24" s="8"/>
      <c r="AC24" s="8"/>
      <c r="AD24" s="8"/>
      <c r="AE24" s="8"/>
      <c r="AF24" s="8"/>
      <c r="AG24" s="8"/>
    </row>
    <row r="25" spans="1:33" x14ac:dyDescent="0.2">
      <c r="A25" s="6" t="s">
        <v>61</v>
      </c>
      <c r="C25" s="8">
        <f>+C21+C23</f>
        <v>-2896824.2138916403</v>
      </c>
      <c r="D25" s="8">
        <f t="shared" ref="D25:G25" si="40">+D21+D23</f>
        <v>4891115.7651817799</v>
      </c>
      <c r="E25" s="8">
        <f t="shared" si="40"/>
        <v>3043007.1334866635</v>
      </c>
      <c r="F25" s="8">
        <f t="shared" si="40"/>
        <v>-163140.47464189195</v>
      </c>
      <c r="G25" s="8">
        <f t="shared" si="40"/>
        <v>2885851.6337330658</v>
      </c>
      <c r="H25" s="8">
        <f t="shared" ref="H25:I25" si="41">+H21+H23</f>
        <v>3491513.4574049609</v>
      </c>
      <c r="I25" s="8">
        <f t="shared" si="41"/>
        <v>3925258.2281437363</v>
      </c>
      <c r="K25" s="8">
        <f t="shared" ref="K25:O25" si="42">+K21+K23</f>
        <v>-4761434.6455477392</v>
      </c>
      <c r="L25" s="8">
        <f t="shared" si="42"/>
        <v>3703668.9364590487</v>
      </c>
      <c r="M25" s="8">
        <f t="shared" si="42"/>
        <v>2643761.924765307</v>
      </c>
      <c r="N25" s="8">
        <f t="shared" si="42"/>
        <v>3235789.3921821043</v>
      </c>
      <c r="O25" s="8">
        <f t="shared" si="42"/>
        <v>3956198.8538798136</v>
      </c>
      <c r="P25" s="8">
        <f>+P21+P23</f>
        <v>2307531.9559350354</v>
      </c>
      <c r="Q25" s="8">
        <f t="shared" ref="Q25" si="43">+Q21+Q23</f>
        <v>3889368.0823638309</v>
      </c>
      <c r="S25" s="8">
        <f t="shared" ref="S25:W25" si="44">+S21+S23</f>
        <v>-4719160.230536771</v>
      </c>
      <c r="T25" s="8">
        <f t="shared" si="44"/>
        <v>3668765.5576860299</v>
      </c>
      <c r="U25" s="8">
        <f t="shared" si="44"/>
        <v>2709220.0172816291</v>
      </c>
      <c r="V25" s="8">
        <f t="shared" si="44"/>
        <v>3181957.0188288051</v>
      </c>
      <c r="W25" s="8">
        <f t="shared" si="44"/>
        <v>3893934.4721765481</v>
      </c>
      <c r="X25" s="8">
        <f t="shared" ref="X25:Y25" si="45">+X21+X23</f>
        <v>2827666.4807890151</v>
      </c>
      <c r="Y25" s="8">
        <f t="shared" si="45"/>
        <v>3543543.6909222803</v>
      </c>
      <c r="AA25" s="8">
        <f t="shared" ref="AA25:AE25" si="46">+AA21+AA23</f>
        <v>-5380306.6319419546</v>
      </c>
      <c r="AB25" s="8">
        <f t="shared" si="46"/>
        <v>3152289.3450584495</v>
      </c>
      <c r="AC25" s="8">
        <f t="shared" si="46"/>
        <v>1782068.918529579</v>
      </c>
      <c r="AD25" s="8">
        <f t="shared" si="46"/>
        <v>2416344.895524702</v>
      </c>
      <c r="AE25" s="8">
        <f t="shared" si="46"/>
        <v>4520874.360525839</v>
      </c>
      <c r="AF25" s="8">
        <f t="shared" ref="AF25" si="47">+AF21+AF23</f>
        <v>5502290.851142779</v>
      </c>
      <c r="AG25" s="8">
        <f>+AG21+AG23</f>
        <v>8281256.3774969345</v>
      </c>
    </row>
    <row r="26" spans="1:33" x14ac:dyDescent="0.2">
      <c r="C26" s="14"/>
      <c r="D26" s="14"/>
      <c r="E26" s="14"/>
      <c r="F26" s="14"/>
      <c r="G26" s="14"/>
      <c r="H26" s="14"/>
      <c r="I26" s="14"/>
      <c r="K26" s="14"/>
      <c r="L26" s="14"/>
      <c r="M26" s="14"/>
      <c r="N26" s="14"/>
      <c r="O26" s="14"/>
      <c r="P26" s="14"/>
      <c r="Q26" s="14"/>
      <c r="S26" s="14"/>
      <c r="T26" s="14"/>
      <c r="U26" s="14"/>
      <c r="V26" s="14"/>
      <c r="W26" s="14"/>
      <c r="X26" s="14"/>
      <c r="Y26" s="14"/>
      <c r="AA26" s="14"/>
      <c r="AB26" s="14"/>
      <c r="AC26" s="14"/>
      <c r="AD26" s="14"/>
      <c r="AE26" s="14"/>
      <c r="AF26" s="14"/>
      <c r="AG26" s="14"/>
    </row>
    <row r="27" spans="1:33" x14ac:dyDescent="0.2">
      <c r="C27" s="8"/>
      <c r="D27" s="8"/>
      <c r="E27" s="8"/>
      <c r="F27" s="8"/>
      <c r="G27" s="8"/>
      <c r="H27" s="8"/>
      <c r="I27" s="8"/>
      <c r="K27" s="8"/>
      <c r="L27" s="8"/>
      <c r="M27" s="8"/>
      <c r="N27" s="8"/>
      <c r="O27" s="8"/>
      <c r="P27" s="8"/>
      <c r="Q27" s="8"/>
      <c r="S27" s="8"/>
      <c r="T27" s="8"/>
      <c r="U27" s="8"/>
      <c r="V27" s="8"/>
      <c r="W27" s="8"/>
      <c r="X27" s="8"/>
      <c r="Y27" s="8"/>
      <c r="AA27" s="8"/>
      <c r="AB27" s="8"/>
      <c r="AC27" s="8"/>
      <c r="AD27" s="8"/>
      <c r="AE27" s="8"/>
      <c r="AF27" s="8"/>
      <c r="AG27" s="8"/>
    </row>
    <row r="28" spans="1:33" ht="15" x14ac:dyDescent="0.25">
      <c r="A28" s="5" t="s">
        <v>73</v>
      </c>
      <c r="C28" s="8"/>
      <c r="D28" s="8"/>
      <c r="E28" s="8"/>
      <c r="F28" s="8"/>
      <c r="G28" s="8"/>
      <c r="H28" s="8"/>
      <c r="I28" s="8"/>
      <c r="K28" s="8"/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AA28" s="8"/>
      <c r="AB28" s="8"/>
      <c r="AC28" s="8"/>
      <c r="AD28" s="8"/>
      <c r="AE28" s="8"/>
      <c r="AF28" s="8"/>
      <c r="AG28" s="8"/>
    </row>
    <row r="29" spans="1:33" ht="15" x14ac:dyDescent="0.25">
      <c r="A29" s="22" t="s">
        <v>70</v>
      </c>
      <c r="C29" s="7">
        <v>2027</v>
      </c>
      <c r="D29" s="7">
        <v>2028</v>
      </c>
      <c r="E29" s="7">
        <v>2029</v>
      </c>
      <c r="F29" s="7">
        <v>2030</v>
      </c>
      <c r="G29" s="7">
        <v>2031</v>
      </c>
      <c r="H29" s="7">
        <v>2032</v>
      </c>
      <c r="I29" s="7">
        <v>2033</v>
      </c>
      <c r="K29" s="7">
        <v>2027</v>
      </c>
      <c r="L29" s="7">
        <v>2028</v>
      </c>
      <c r="M29" s="7">
        <v>2029</v>
      </c>
      <c r="N29" s="7">
        <v>2030</v>
      </c>
      <c r="O29" s="7">
        <v>2031</v>
      </c>
      <c r="P29" s="7">
        <v>2032</v>
      </c>
      <c r="Q29" s="7">
        <v>2033</v>
      </c>
      <c r="S29" s="7">
        <v>2027</v>
      </c>
      <c r="T29" s="7">
        <v>2028</v>
      </c>
      <c r="U29" s="7">
        <v>2029</v>
      </c>
      <c r="V29" s="7">
        <v>2030</v>
      </c>
      <c r="W29" s="7">
        <v>2031</v>
      </c>
      <c r="X29" s="7">
        <v>2032</v>
      </c>
      <c r="Y29" s="7">
        <v>2033</v>
      </c>
      <c r="AA29" s="7">
        <v>2027</v>
      </c>
      <c r="AB29" s="7">
        <v>2028</v>
      </c>
      <c r="AC29" s="7">
        <v>2029</v>
      </c>
      <c r="AD29" s="7">
        <v>2030</v>
      </c>
      <c r="AE29" s="7">
        <v>2031</v>
      </c>
      <c r="AF29" s="7">
        <v>2032</v>
      </c>
      <c r="AG29" s="7">
        <v>2033</v>
      </c>
    </row>
    <row r="30" spans="1:33" x14ac:dyDescent="0.2">
      <c r="A30" s="6" t="s">
        <v>62</v>
      </c>
      <c r="C30" s="40">
        <v>0</v>
      </c>
      <c r="D30" s="40">
        <f>+C37</f>
        <v>0</v>
      </c>
      <c r="E30" s="40">
        <f>+D37</f>
        <v>7244032.5</v>
      </c>
      <c r="F30" s="40">
        <f>+E37</f>
        <v>7250150</v>
      </c>
      <c r="G30" s="40">
        <f>+F37</f>
        <v>0</v>
      </c>
      <c r="H30" s="40">
        <f t="shared" ref="H30:I30" si="48">+G37</f>
        <v>0</v>
      </c>
      <c r="I30" s="40">
        <f t="shared" si="48"/>
        <v>0</v>
      </c>
      <c r="J30" s="8"/>
      <c r="K30" s="40">
        <v>0</v>
      </c>
      <c r="L30" s="40">
        <f>+K37</f>
        <v>0</v>
      </c>
      <c r="M30" s="40">
        <f>+L37</f>
        <v>3938508.8993999995</v>
      </c>
      <c r="N30" s="40">
        <f>+M37</f>
        <v>3944626.6500000004</v>
      </c>
      <c r="O30" s="40">
        <f>+N37</f>
        <v>3789124.3738500001</v>
      </c>
      <c r="P30" s="40">
        <f t="shared" ref="P30:Q30" si="49">+O37</f>
        <v>2821921.7749999994</v>
      </c>
      <c r="Q30" s="40">
        <f t="shared" si="49"/>
        <v>0</v>
      </c>
      <c r="R30" s="8"/>
      <c r="S30" s="40">
        <v>0</v>
      </c>
      <c r="T30" s="40">
        <f t="shared" ref="T30:Y30" si="50">+S37</f>
        <v>0</v>
      </c>
      <c r="U30" s="40">
        <f t="shared" si="50"/>
        <v>3801469.7983000004</v>
      </c>
      <c r="V30" s="40">
        <f t="shared" si="50"/>
        <v>3778493.0523000006</v>
      </c>
      <c r="W30" s="40">
        <f t="shared" si="50"/>
        <v>3614813.2608000003</v>
      </c>
      <c r="X30" s="40">
        <f t="shared" si="50"/>
        <v>2696811.001050001</v>
      </c>
      <c r="Y30" s="40">
        <f t="shared" si="50"/>
        <v>0</v>
      </c>
      <c r="Z30" s="8"/>
      <c r="AA30" s="40">
        <v>0</v>
      </c>
      <c r="AB30" s="40">
        <f>+AA37</f>
        <v>0</v>
      </c>
      <c r="AC30" s="40">
        <f>+AB37</f>
        <v>3938508.8993999995</v>
      </c>
      <c r="AD30" s="40">
        <f>+AC37</f>
        <v>3944626.6500000004</v>
      </c>
      <c r="AE30" s="40">
        <f>+AD37</f>
        <v>3789124.3738500001</v>
      </c>
      <c r="AF30" s="40">
        <f t="shared" ref="AF30:AG30" si="51">+AE37</f>
        <v>2821921.7749999994</v>
      </c>
      <c r="AG30" s="40">
        <f t="shared" si="51"/>
        <v>0</v>
      </c>
    </row>
    <row r="31" spans="1:33" x14ac:dyDescent="0.2">
      <c r="A31" s="6" t="s">
        <v>63</v>
      </c>
      <c r="C31" s="40">
        <f>+'Deployment options'!B9</f>
        <v>22667798</v>
      </c>
      <c r="D31" s="40">
        <f>+'Deployment options'!C9</f>
        <v>14488065</v>
      </c>
      <c r="E31" s="40">
        <f>+'Deployment options'!D9</f>
        <v>14500300</v>
      </c>
      <c r="F31" s="40">
        <f>+'Deployment options'!E9</f>
        <v>0</v>
      </c>
      <c r="G31" s="40">
        <f>+'Deployment options'!F9</f>
        <v>0</v>
      </c>
      <c r="H31" s="40">
        <f>+'Deployment options'!H9</f>
        <v>0</v>
      </c>
      <c r="I31" s="40">
        <f>+'Deployment options'!I9</f>
        <v>0</v>
      </c>
      <c r="J31" s="8"/>
      <c r="K31" s="40">
        <f>+'Deployment options'!B18</f>
        <v>22667797.5013</v>
      </c>
      <c r="L31" s="40">
        <f>+'Deployment options'!C18</f>
        <v>7877017.7987999991</v>
      </c>
      <c r="M31" s="40">
        <f>+'Deployment options'!D18</f>
        <v>7889253.2999999998</v>
      </c>
      <c r="N31" s="40">
        <f>+'Deployment options'!E18</f>
        <v>7578248.7477000002</v>
      </c>
      <c r="O31" s="40">
        <f>+'Deployment options'!F18</f>
        <v>5643843.5500000007</v>
      </c>
      <c r="P31" s="40">
        <f>+'Deployment options'!H18</f>
        <v>0</v>
      </c>
      <c r="Q31" s="40">
        <f>+'Deployment options'!I18</f>
        <v>0</v>
      </c>
      <c r="R31" s="8"/>
      <c r="S31" s="8">
        <f>+'Deployment options'!B27</f>
        <v>22366746.282600004</v>
      </c>
      <c r="T31" s="8">
        <f>+'Deployment options'!C27</f>
        <v>7602939.5966000007</v>
      </c>
      <c r="U31" s="8">
        <f>+'Deployment options'!D27</f>
        <v>7556986.1046000011</v>
      </c>
      <c r="V31" s="8">
        <f>+'Deployment options'!E27</f>
        <v>7229626.5216000006</v>
      </c>
      <c r="W31" s="8">
        <f>+'Deployment options'!F27</f>
        <v>5393622.0021000011</v>
      </c>
      <c r="X31" s="14">
        <f>+'Deployment options'!H27</f>
        <v>0</v>
      </c>
      <c r="Y31" s="14">
        <f>+'Deployment options'!I27</f>
        <v>0</v>
      </c>
      <c r="Z31" s="8"/>
      <c r="AA31" s="8">
        <f>+'Deployment options'!B36</f>
        <v>22667797.5013</v>
      </c>
      <c r="AB31" s="8">
        <f>+'Deployment options'!C36</f>
        <v>7877017.7987999991</v>
      </c>
      <c r="AC31" s="8">
        <f>+'Deployment options'!D36</f>
        <v>7889253.2999999998</v>
      </c>
      <c r="AD31" s="8">
        <f>+'Deployment options'!E36</f>
        <v>7578248.7477000002</v>
      </c>
      <c r="AE31" s="8">
        <f>+'Deployment options'!F36</f>
        <v>5643843.5500000007</v>
      </c>
      <c r="AF31" s="14">
        <f>+'Deployment options'!H36</f>
        <v>0</v>
      </c>
      <c r="AG31" s="14">
        <f>+'Deployment options'!I36</f>
        <v>0</v>
      </c>
    </row>
    <row r="32" spans="1:33" x14ac:dyDescent="0.2">
      <c r="A32" s="6" t="s">
        <v>64</v>
      </c>
      <c r="C32" s="39">
        <v>1</v>
      </c>
      <c r="D32" s="39">
        <v>0.5</v>
      </c>
      <c r="E32" s="39">
        <v>0.5</v>
      </c>
      <c r="F32" s="39">
        <v>0.5</v>
      </c>
      <c r="G32" s="39">
        <v>0.5</v>
      </c>
      <c r="H32" s="39">
        <v>0.5</v>
      </c>
      <c r="I32" s="39">
        <v>0.5</v>
      </c>
      <c r="J32" s="8"/>
      <c r="K32" s="39">
        <v>1</v>
      </c>
      <c r="L32" s="39">
        <v>0.5</v>
      </c>
      <c r="M32" s="39">
        <v>0.5</v>
      </c>
      <c r="N32" s="39">
        <v>0.5</v>
      </c>
      <c r="O32" s="39">
        <v>0.5</v>
      </c>
      <c r="P32" s="39">
        <v>0.5</v>
      </c>
      <c r="Q32" s="39">
        <v>0.5</v>
      </c>
      <c r="R32" s="8"/>
      <c r="S32" s="39">
        <v>1</v>
      </c>
      <c r="T32" s="39">
        <v>0.5</v>
      </c>
      <c r="U32" s="39">
        <v>0.5</v>
      </c>
      <c r="V32" s="39">
        <v>0.5</v>
      </c>
      <c r="W32" s="39">
        <v>0.5</v>
      </c>
      <c r="X32" s="39">
        <v>0.5</v>
      </c>
      <c r="Y32" s="39">
        <v>0.5</v>
      </c>
      <c r="Z32" s="8"/>
      <c r="AA32" s="39">
        <v>1</v>
      </c>
      <c r="AB32" s="39">
        <v>0.5</v>
      </c>
      <c r="AC32" s="39">
        <v>0.5</v>
      </c>
      <c r="AD32" s="39">
        <v>0.5</v>
      </c>
      <c r="AE32" s="39">
        <v>0.5</v>
      </c>
      <c r="AF32" s="39">
        <v>0.5</v>
      </c>
      <c r="AG32" s="39">
        <v>0.5</v>
      </c>
    </row>
    <row r="33" spans="1:38" x14ac:dyDescent="0.2">
      <c r="A33" s="6" t="s">
        <v>65</v>
      </c>
      <c r="C33" s="40">
        <f>C31*C32</f>
        <v>22667798</v>
      </c>
      <c r="D33" s="40">
        <f>D31*D32</f>
        <v>7244032.5</v>
      </c>
      <c r="E33" s="40">
        <f>E31*E32</f>
        <v>7250150</v>
      </c>
      <c r="F33" s="40">
        <f>F31*F32</f>
        <v>0</v>
      </c>
      <c r="G33" s="40">
        <f>G31*G32</f>
        <v>0</v>
      </c>
      <c r="H33" s="40">
        <f t="shared" ref="H33:I33" si="52">H31*H32</f>
        <v>0</v>
      </c>
      <c r="I33" s="40">
        <f t="shared" si="52"/>
        <v>0</v>
      </c>
      <c r="J33" s="8"/>
      <c r="K33" s="40">
        <f>K31*K32</f>
        <v>22667797.5013</v>
      </c>
      <c r="L33" s="40">
        <f>L31*L32</f>
        <v>3938508.8993999995</v>
      </c>
      <c r="M33" s="40">
        <f>M31*M32</f>
        <v>3944626.65</v>
      </c>
      <c r="N33" s="40">
        <f>N31*N32</f>
        <v>3789124.3738500001</v>
      </c>
      <c r="O33" s="40">
        <f>O31*O32</f>
        <v>2821921.7750000004</v>
      </c>
      <c r="P33" s="40">
        <f t="shared" ref="P33:Q33" si="53">P31*P32</f>
        <v>0</v>
      </c>
      <c r="Q33" s="40">
        <f t="shared" si="53"/>
        <v>0</v>
      </c>
      <c r="R33" s="8"/>
      <c r="S33" s="40">
        <f t="shared" ref="S33:W33" si="54">S31*S32</f>
        <v>22366746.282600004</v>
      </c>
      <c r="T33" s="40">
        <f t="shared" si="54"/>
        <v>3801469.7983000004</v>
      </c>
      <c r="U33" s="40">
        <f t="shared" si="54"/>
        <v>3778493.0523000006</v>
      </c>
      <c r="V33" s="40">
        <f t="shared" si="54"/>
        <v>3614813.2608000003</v>
      </c>
      <c r="W33" s="40">
        <f t="shared" si="54"/>
        <v>2696811.0010500005</v>
      </c>
      <c r="X33" s="40">
        <f t="shared" ref="X33:Y33" si="55">X31*X32</f>
        <v>0</v>
      </c>
      <c r="Y33" s="40">
        <f t="shared" si="55"/>
        <v>0</v>
      </c>
      <c r="Z33" s="8"/>
      <c r="AA33" s="40">
        <f t="shared" ref="AA33:AE33" si="56">AA31*AA32</f>
        <v>22667797.5013</v>
      </c>
      <c r="AB33" s="40">
        <f t="shared" si="56"/>
        <v>3938508.8993999995</v>
      </c>
      <c r="AC33" s="40">
        <f t="shared" si="56"/>
        <v>3944626.65</v>
      </c>
      <c r="AD33" s="40">
        <f t="shared" si="56"/>
        <v>3789124.3738500001</v>
      </c>
      <c r="AE33" s="40">
        <f t="shared" si="56"/>
        <v>2821921.7750000004</v>
      </c>
      <c r="AF33" s="40">
        <f t="shared" ref="AF33:AG33" si="57">AF31*AF32</f>
        <v>0</v>
      </c>
      <c r="AG33" s="40">
        <f t="shared" si="57"/>
        <v>0</v>
      </c>
    </row>
    <row r="34" spans="1:38" x14ac:dyDescent="0.2">
      <c r="A34" s="6" t="s">
        <v>66</v>
      </c>
      <c r="C34" s="40">
        <f>+C30+C33</f>
        <v>22667798</v>
      </c>
      <c r="D34" s="40">
        <f>+D30+D33</f>
        <v>7244032.5</v>
      </c>
      <c r="E34" s="40">
        <f>+E30+E33</f>
        <v>14494182.5</v>
      </c>
      <c r="F34" s="40">
        <f>+F30+F33</f>
        <v>7250150</v>
      </c>
      <c r="G34" s="40">
        <f>+G30+G33</f>
        <v>0</v>
      </c>
      <c r="H34" s="40">
        <f t="shared" ref="H34:I34" si="58">+H30+H33</f>
        <v>0</v>
      </c>
      <c r="I34" s="40">
        <f t="shared" si="58"/>
        <v>0</v>
      </c>
      <c r="J34" s="8"/>
      <c r="K34" s="40">
        <f>+K30+K33</f>
        <v>22667797.5013</v>
      </c>
      <c r="L34" s="40">
        <f>+L30+L33</f>
        <v>3938508.8993999995</v>
      </c>
      <c r="M34" s="40">
        <f>+M30+M33</f>
        <v>7883135.5493999999</v>
      </c>
      <c r="N34" s="40">
        <f>+N30+N33</f>
        <v>7733751.0238500005</v>
      </c>
      <c r="O34" s="40">
        <f>+O30+O33</f>
        <v>6611046.1488500005</v>
      </c>
      <c r="P34" s="40">
        <f t="shared" ref="P34:Q34" si="59">+P30+P33</f>
        <v>2821921.7749999994</v>
      </c>
      <c r="Q34" s="40">
        <f t="shared" si="59"/>
        <v>0</v>
      </c>
      <c r="R34" s="8"/>
      <c r="S34" s="40">
        <f t="shared" ref="S34:Y34" si="60">+S30+S33</f>
        <v>22366746.282600004</v>
      </c>
      <c r="T34" s="40">
        <f t="shared" si="60"/>
        <v>3801469.7983000004</v>
      </c>
      <c r="U34" s="40">
        <f t="shared" si="60"/>
        <v>7579962.8506000005</v>
      </c>
      <c r="V34" s="40">
        <f t="shared" si="60"/>
        <v>7393306.3131000008</v>
      </c>
      <c r="W34" s="40">
        <f t="shared" si="60"/>
        <v>6311624.2618500013</v>
      </c>
      <c r="X34" s="40">
        <f t="shared" si="60"/>
        <v>2696811.001050001</v>
      </c>
      <c r="Y34" s="40">
        <f t="shared" si="60"/>
        <v>0</v>
      </c>
      <c r="Z34" s="8"/>
      <c r="AA34" s="40">
        <f>+AA30+AA33</f>
        <v>22667797.5013</v>
      </c>
      <c r="AB34" s="40">
        <f>+AB30+AB33</f>
        <v>3938508.8993999995</v>
      </c>
      <c r="AC34" s="40">
        <f>+AC30+AC33</f>
        <v>7883135.5493999999</v>
      </c>
      <c r="AD34" s="40">
        <f>+AD30+AD33</f>
        <v>7733751.0238500005</v>
      </c>
      <c r="AE34" s="40">
        <f>+AE30+AE33</f>
        <v>6611046.1488500005</v>
      </c>
      <c r="AF34" s="40">
        <f t="shared" ref="AF34:AG34" si="61">+AF30+AF33</f>
        <v>2821921.7749999994</v>
      </c>
      <c r="AG34" s="40">
        <f t="shared" si="61"/>
        <v>0</v>
      </c>
    </row>
    <row r="35" spans="1:38" x14ac:dyDescent="0.2">
      <c r="A35" s="6" t="s">
        <v>67</v>
      </c>
      <c r="C35" s="41">
        <v>1</v>
      </c>
      <c r="D35" s="41">
        <f>+C35</f>
        <v>1</v>
      </c>
      <c r="E35" s="41">
        <f>+D35</f>
        <v>1</v>
      </c>
      <c r="F35" s="41">
        <f>+E35</f>
        <v>1</v>
      </c>
      <c r="G35" s="41">
        <f>+F35</f>
        <v>1</v>
      </c>
      <c r="H35" s="41">
        <f t="shared" ref="H35:I35" si="62">+G35</f>
        <v>1</v>
      </c>
      <c r="I35" s="41">
        <f t="shared" si="62"/>
        <v>1</v>
      </c>
      <c r="J35" s="8"/>
      <c r="K35" s="41">
        <v>1</v>
      </c>
      <c r="L35" s="41">
        <f>+K35</f>
        <v>1</v>
      </c>
      <c r="M35" s="41">
        <f>+L35</f>
        <v>1</v>
      </c>
      <c r="N35" s="41">
        <f>+M35</f>
        <v>1</v>
      </c>
      <c r="O35" s="41">
        <f>+N35</f>
        <v>1</v>
      </c>
      <c r="P35" s="41">
        <f t="shared" ref="P35:Q35" si="63">+O35</f>
        <v>1</v>
      </c>
      <c r="Q35" s="41">
        <f t="shared" si="63"/>
        <v>1</v>
      </c>
      <c r="R35" s="8"/>
      <c r="S35" s="41">
        <v>1</v>
      </c>
      <c r="T35" s="41">
        <f t="shared" ref="T35:Y35" si="64">+S35</f>
        <v>1</v>
      </c>
      <c r="U35" s="41">
        <f t="shared" si="64"/>
        <v>1</v>
      </c>
      <c r="V35" s="41">
        <f t="shared" si="64"/>
        <v>1</v>
      </c>
      <c r="W35" s="41">
        <f t="shared" si="64"/>
        <v>1</v>
      </c>
      <c r="X35" s="41">
        <f t="shared" si="64"/>
        <v>1</v>
      </c>
      <c r="Y35" s="41">
        <f t="shared" si="64"/>
        <v>1</v>
      </c>
      <c r="Z35" s="8"/>
      <c r="AA35" s="41">
        <v>1</v>
      </c>
      <c r="AB35" s="41">
        <f>+AA35</f>
        <v>1</v>
      </c>
      <c r="AC35" s="41">
        <f>+AB35</f>
        <v>1</v>
      </c>
      <c r="AD35" s="41">
        <f>+AC35</f>
        <v>1</v>
      </c>
      <c r="AE35" s="41">
        <f>+AD35</f>
        <v>1</v>
      </c>
      <c r="AF35" s="41">
        <f t="shared" ref="AF35:AG35" si="65">+AE35</f>
        <v>1</v>
      </c>
      <c r="AG35" s="41">
        <f t="shared" si="65"/>
        <v>1</v>
      </c>
    </row>
    <row r="36" spans="1:38" x14ac:dyDescent="0.2">
      <c r="A36" s="6" t="s">
        <v>68</v>
      </c>
      <c r="C36" s="40">
        <f>-C34*C35</f>
        <v>-22667798</v>
      </c>
      <c r="D36" s="40">
        <f>-D34*D35</f>
        <v>-7244032.5</v>
      </c>
      <c r="E36" s="40">
        <f>-E34*E35</f>
        <v>-14494182.5</v>
      </c>
      <c r="F36" s="40">
        <f>-F34*F35</f>
        <v>-7250150</v>
      </c>
      <c r="G36" s="40">
        <f>-G34*G35</f>
        <v>0</v>
      </c>
      <c r="H36" s="40">
        <f t="shared" ref="H36:I36" si="66">-H34*H35</f>
        <v>0</v>
      </c>
      <c r="I36" s="40">
        <f t="shared" si="66"/>
        <v>0</v>
      </c>
      <c r="J36" s="8"/>
      <c r="K36" s="40">
        <f>-K34*K35</f>
        <v>-22667797.5013</v>
      </c>
      <c r="L36" s="40">
        <f>-L34*L35</f>
        <v>-3938508.8993999995</v>
      </c>
      <c r="M36" s="40">
        <f>-M34*M35</f>
        <v>-7883135.5493999999</v>
      </c>
      <c r="N36" s="40">
        <f>-N34*N35</f>
        <v>-7733751.0238500005</v>
      </c>
      <c r="O36" s="40">
        <f>-O34*O35</f>
        <v>-6611046.1488500005</v>
      </c>
      <c r="P36" s="40">
        <f t="shared" ref="P36:Q36" si="67">-P34*P35</f>
        <v>-2821921.7749999994</v>
      </c>
      <c r="Q36" s="40">
        <f t="shared" si="67"/>
        <v>0</v>
      </c>
      <c r="R36" s="8"/>
      <c r="S36" s="40">
        <f t="shared" ref="S36:Y36" si="68">-S34*S35</f>
        <v>-22366746.282600004</v>
      </c>
      <c r="T36" s="40">
        <f t="shared" si="68"/>
        <v>-3801469.7983000004</v>
      </c>
      <c r="U36" s="40">
        <f t="shared" si="68"/>
        <v>-7579962.8506000005</v>
      </c>
      <c r="V36" s="40">
        <f t="shared" si="68"/>
        <v>-7393306.3131000008</v>
      </c>
      <c r="W36" s="40">
        <f t="shared" si="68"/>
        <v>-6311624.2618500013</v>
      </c>
      <c r="X36" s="40">
        <f t="shared" si="68"/>
        <v>-2696811.001050001</v>
      </c>
      <c r="Y36" s="40">
        <f t="shared" si="68"/>
        <v>0</v>
      </c>
      <c r="Z36" s="8"/>
      <c r="AA36" s="40">
        <f>-AA34*AA35</f>
        <v>-22667797.5013</v>
      </c>
      <c r="AB36" s="40">
        <f>-AB34*AB35</f>
        <v>-3938508.8993999995</v>
      </c>
      <c r="AC36" s="40">
        <f>-AC34*AC35</f>
        <v>-7883135.5493999999</v>
      </c>
      <c r="AD36" s="40">
        <f>-AD34*AD35</f>
        <v>-7733751.0238500005</v>
      </c>
      <c r="AE36" s="40">
        <f>-AE34*AE35</f>
        <v>-6611046.1488500005</v>
      </c>
      <c r="AF36" s="40">
        <f t="shared" ref="AF36:AG36" si="69">-AF34*AF35</f>
        <v>-2821921.7749999994</v>
      </c>
      <c r="AG36" s="40">
        <f t="shared" si="69"/>
        <v>0</v>
      </c>
    </row>
    <row r="37" spans="1:38" x14ac:dyDescent="0.2">
      <c r="A37" s="6" t="s">
        <v>69</v>
      </c>
      <c r="C37" s="40">
        <f>+C30+C31+C36</f>
        <v>0</v>
      </c>
      <c r="D37" s="40">
        <f>+D30+D31+D36</f>
        <v>7244032.5</v>
      </c>
      <c r="E37" s="40">
        <f>+E30+E31+E36</f>
        <v>7250150</v>
      </c>
      <c r="F37" s="40">
        <f>+F30+F31+F36</f>
        <v>0</v>
      </c>
      <c r="G37" s="40">
        <f>+G30+G31+G36</f>
        <v>0</v>
      </c>
      <c r="H37" s="40">
        <f t="shared" ref="H37:I37" si="70">+H30+H31+H36</f>
        <v>0</v>
      </c>
      <c r="I37" s="40">
        <f t="shared" si="70"/>
        <v>0</v>
      </c>
      <c r="J37" s="8"/>
      <c r="K37" s="40">
        <f>+K30+K31+K36</f>
        <v>0</v>
      </c>
      <c r="L37" s="40">
        <f>+L30+L31+L36</f>
        <v>3938508.8993999995</v>
      </c>
      <c r="M37" s="40">
        <f>+M30+M31+M36</f>
        <v>3944626.6500000004</v>
      </c>
      <c r="N37" s="40">
        <f>+N30+N31+N36</f>
        <v>3789124.3738500001</v>
      </c>
      <c r="O37" s="40">
        <f>+O30+O31+O36</f>
        <v>2821921.7749999994</v>
      </c>
      <c r="P37" s="40">
        <f t="shared" ref="P37:Q37" si="71">+P30+P31+P36</f>
        <v>0</v>
      </c>
      <c r="Q37" s="40">
        <f t="shared" si="71"/>
        <v>0</v>
      </c>
      <c r="R37" s="8"/>
      <c r="S37" s="40">
        <f t="shared" ref="S37:Y37" si="72">+S30+S31+S36</f>
        <v>0</v>
      </c>
      <c r="T37" s="40">
        <f t="shared" si="72"/>
        <v>3801469.7983000004</v>
      </c>
      <c r="U37" s="40">
        <f t="shared" si="72"/>
        <v>3778493.0523000006</v>
      </c>
      <c r="V37" s="40">
        <f t="shared" si="72"/>
        <v>3614813.2608000003</v>
      </c>
      <c r="W37" s="40">
        <f t="shared" si="72"/>
        <v>2696811.001050001</v>
      </c>
      <c r="X37" s="40">
        <f t="shared" si="72"/>
        <v>0</v>
      </c>
      <c r="Y37" s="40">
        <f t="shared" si="72"/>
        <v>0</v>
      </c>
      <c r="Z37" s="8"/>
      <c r="AA37" s="40">
        <f>+AA30+AA31+AA36</f>
        <v>0</v>
      </c>
      <c r="AB37" s="40">
        <f>+AB30+AB31+AB36</f>
        <v>3938508.8993999995</v>
      </c>
      <c r="AC37" s="40">
        <f>+AC30+AC31+AC36</f>
        <v>3944626.6500000004</v>
      </c>
      <c r="AD37" s="40">
        <f>+AD30+AD31+AD36</f>
        <v>3789124.3738500001</v>
      </c>
      <c r="AE37" s="40">
        <f>+AE30+AE31+AE36</f>
        <v>2821921.7749999994</v>
      </c>
      <c r="AF37" s="40">
        <f t="shared" ref="AF37:AG37" si="73">+AF30+AF31+AF36</f>
        <v>0</v>
      </c>
      <c r="AG37" s="40">
        <f t="shared" si="73"/>
        <v>0</v>
      </c>
    </row>
    <row r="38" spans="1:38" x14ac:dyDescent="0.2">
      <c r="C38" s="40"/>
      <c r="D38" s="40"/>
      <c r="E38" s="40"/>
      <c r="F38" s="40"/>
      <c r="G38" s="40"/>
      <c r="H38" s="40"/>
      <c r="I38" s="4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8" ht="15" x14ac:dyDescent="0.25">
      <c r="A39" s="22" t="s">
        <v>71</v>
      </c>
      <c r="C39" s="40"/>
      <c r="D39" s="40"/>
      <c r="E39" s="40"/>
      <c r="F39" s="40"/>
      <c r="G39" s="40"/>
      <c r="H39" s="40"/>
      <c r="I39" s="40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8" x14ac:dyDescent="0.2">
      <c r="A40" s="6" t="s">
        <v>62</v>
      </c>
      <c r="C40" s="40">
        <v>0</v>
      </c>
      <c r="D40" s="40">
        <f>+C47</f>
        <v>23996108.472736001</v>
      </c>
      <c r="E40" s="40">
        <f>+D47</f>
        <v>117835115.33328512</v>
      </c>
      <c r="F40" s="40">
        <f>+E47</f>
        <v>200629049.12166232</v>
      </c>
      <c r="G40" s="40">
        <f>+F47</f>
        <v>186457698.99795374</v>
      </c>
      <c r="H40" s="40">
        <f t="shared" ref="H40:I40" si="74">+G47</f>
        <v>173540507.33324468</v>
      </c>
      <c r="I40" s="40">
        <f t="shared" si="74"/>
        <v>159657266.7465851</v>
      </c>
      <c r="J40" s="8"/>
      <c r="K40" s="40">
        <v>0</v>
      </c>
      <c r="L40" s="40">
        <f>+K47</f>
        <v>24140710.461643994</v>
      </c>
      <c r="M40" s="40">
        <f>+L47</f>
        <v>76662002.209576488</v>
      </c>
      <c r="N40" s="40">
        <f>+M47</f>
        <v>123854302.17869838</v>
      </c>
      <c r="O40" s="40">
        <f>+N47</f>
        <v>163429635.2490105</v>
      </c>
      <c r="P40" s="40">
        <f t="shared" ref="P40:Q40" si="75">+O47</f>
        <v>197765977.24035364</v>
      </c>
      <c r="Q40" s="40">
        <f t="shared" si="75"/>
        <v>181944699.06112534</v>
      </c>
      <c r="R40" s="8"/>
      <c r="S40" s="40">
        <v>0</v>
      </c>
      <c r="T40" s="40">
        <f t="shared" ref="T40:Y40" si="76">+S47</f>
        <v>24306240.033895999</v>
      </c>
      <c r="U40" s="40">
        <f t="shared" si="76"/>
        <v>77174364.293744311</v>
      </c>
      <c r="V40" s="85">
        <f t="shared" si="76"/>
        <v>124465788.11482076</v>
      </c>
      <c r="W40" s="85">
        <f t="shared" si="76"/>
        <v>159158752.23411509</v>
      </c>
      <c r="X40" s="85">
        <f t="shared" si="76"/>
        <v>185645603.35583389</v>
      </c>
      <c r="Y40" s="85">
        <f t="shared" si="76"/>
        <v>184591643.24243918</v>
      </c>
      <c r="Z40" s="8"/>
      <c r="AA40" s="85">
        <v>0</v>
      </c>
      <c r="AB40" s="85">
        <f>+AA47</f>
        <v>30723187.529399611</v>
      </c>
      <c r="AC40" s="85">
        <f>+AB47</f>
        <v>73550475.566900477</v>
      </c>
      <c r="AD40" s="85">
        <f>+AC47</f>
        <v>106695397.77745558</v>
      </c>
      <c r="AE40" s="85">
        <f>+AD47</f>
        <v>134780048.84998229</v>
      </c>
      <c r="AF40" s="85">
        <f>+AE47</f>
        <v>159380619.09414685</v>
      </c>
      <c r="AG40" s="85">
        <f t="shared" ref="AG40" si="77">+AF47</f>
        <v>183158166.37265441</v>
      </c>
    </row>
    <row r="41" spans="1:38" x14ac:dyDescent="0.2">
      <c r="A41" s="6" t="s">
        <v>63</v>
      </c>
      <c r="C41" s="40">
        <f>+'Deployment options'!B10</f>
        <v>26082726.6008</v>
      </c>
      <c r="D41" s="40">
        <f>+'Deployment options'!C10</f>
        <v>99748641.185800001</v>
      </c>
      <c r="E41" s="40">
        <f>+'Deployment options'!D10</f>
        <v>96063273.974000007</v>
      </c>
      <c r="F41" s="40">
        <f>+'Deployment options'!E10</f>
        <v>1957264.3812754157</v>
      </c>
      <c r="G41" s="40">
        <f>+'Deployment options'!F10</f>
        <v>2082733.5990908747</v>
      </c>
      <c r="H41" s="40">
        <f>+'Deployment options'!H10</f>
        <v>0</v>
      </c>
      <c r="I41" s="40">
        <f>+'Deployment options'!I10</f>
        <v>0</v>
      </c>
      <c r="J41" s="8"/>
      <c r="K41" s="40">
        <f>+'Deployment options'!B19</f>
        <v>26239902.675699994</v>
      </c>
      <c r="L41" s="40">
        <f>+'Deployment options'!C19</f>
        <v>56721404.775900014</v>
      </c>
      <c r="M41" s="40">
        <f>+'Deployment options'!D19</f>
        <v>55547145.985300004</v>
      </c>
      <c r="N41" s="40">
        <f>+'Deployment options'!E19</f>
        <v>51545497.129799999</v>
      </c>
      <c r="O41" s="40">
        <f>+'Deployment options'!F19</f>
        <v>49386159.178399995</v>
      </c>
      <c r="P41" s="40">
        <f>+'Deployment options'!H19</f>
        <v>0</v>
      </c>
      <c r="Q41" s="40">
        <f>+'Deployment options'!I19</f>
        <v>0</v>
      </c>
      <c r="R41" s="8"/>
      <c r="S41" s="8">
        <f>+'Deployment options'!B28</f>
        <v>26419826.123799998</v>
      </c>
      <c r="T41" s="8">
        <f>+'Deployment options'!C28</f>
        <v>57096482.773499995</v>
      </c>
      <c r="U41" s="8">
        <f>+'Deployment options'!D28</f>
        <v>55693096.838100001</v>
      </c>
      <c r="V41" s="8">
        <f>+'Deployment options'!E28</f>
        <v>46510653.300499998</v>
      </c>
      <c r="W41" s="8">
        <f>+'Deployment options'!F28</f>
        <v>40853699.271300003</v>
      </c>
      <c r="X41" s="8">
        <f>+'Deployment options'!H28</f>
        <v>14372591.828199999</v>
      </c>
      <c r="Y41" s="14">
        <f>+'Deployment options'!I28</f>
        <v>0</v>
      </c>
      <c r="Z41" s="8"/>
      <c r="AA41" s="8">
        <f>+'Deployment options'!B37</f>
        <v>33394769.053695232</v>
      </c>
      <c r="AB41" s="8">
        <f>+'Deployment options'!C37</f>
        <v>47172023.999846704</v>
      </c>
      <c r="AC41" s="8">
        <f>+'Deployment options'!D37</f>
        <v>40655166.933236621</v>
      </c>
      <c r="AD41" s="8">
        <f>+'Deployment options'!E37</f>
        <v>38146128.015336618</v>
      </c>
      <c r="AE41" s="8">
        <f>+'Deployment options'!F37</f>
        <v>36857264.741836607</v>
      </c>
      <c r="AF41" s="8">
        <f>+'Deployment options'!H37</f>
        <v>38049996.672957599</v>
      </c>
      <c r="AG41" s="8">
        <f>+'Deployment options'!I37</f>
        <v>37683244.748654105</v>
      </c>
    </row>
    <row r="42" spans="1:38" x14ac:dyDescent="0.2">
      <c r="A42" s="6" t="s">
        <v>64</v>
      </c>
      <c r="C42" s="39">
        <v>1</v>
      </c>
      <c r="D42" s="39">
        <v>0.5</v>
      </c>
      <c r="E42" s="39">
        <v>0.5</v>
      </c>
      <c r="F42" s="39">
        <v>0.5</v>
      </c>
      <c r="G42" s="39">
        <v>0.5</v>
      </c>
      <c r="H42" s="39">
        <v>0.5</v>
      </c>
      <c r="I42" s="39">
        <v>0.5</v>
      </c>
      <c r="J42" s="8"/>
      <c r="K42" s="39">
        <v>1</v>
      </c>
      <c r="L42" s="39">
        <v>0.5</v>
      </c>
      <c r="M42" s="39">
        <v>0.5</v>
      </c>
      <c r="N42" s="39">
        <v>0.5</v>
      </c>
      <c r="O42" s="39">
        <v>0.5</v>
      </c>
      <c r="P42" s="39">
        <v>0.5</v>
      </c>
      <c r="Q42" s="39">
        <v>0.5</v>
      </c>
      <c r="R42" s="8"/>
      <c r="S42" s="39">
        <v>1</v>
      </c>
      <c r="T42" s="39">
        <v>0.5</v>
      </c>
      <c r="U42" s="39">
        <v>0.5</v>
      </c>
      <c r="V42" s="39">
        <v>0.5</v>
      </c>
      <c r="W42" s="39">
        <v>0.5</v>
      </c>
      <c r="X42" s="39">
        <v>0.5</v>
      </c>
      <c r="Y42" s="39">
        <v>0.5</v>
      </c>
      <c r="Z42" s="8"/>
      <c r="AA42" s="39">
        <v>1</v>
      </c>
      <c r="AB42" s="39">
        <v>0.5</v>
      </c>
      <c r="AC42" s="39">
        <v>0.5</v>
      </c>
      <c r="AD42" s="39">
        <v>0.5</v>
      </c>
      <c r="AE42" s="39">
        <v>0.5</v>
      </c>
      <c r="AF42" s="39">
        <v>0.5</v>
      </c>
      <c r="AG42" s="39">
        <v>0.5</v>
      </c>
    </row>
    <row r="43" spans="1:38" x14ac:dyDescent="0.2">
      <c r="A43" s="6" t="s">
        <v>65</v>
      </c>
      <c r="C43" s="40">
        <f>C41*C42</f>
        <v>26082726.6008</v>
      </c>
      <c r="D43" s="40">
        <f>D41*D42</f>
        <v>49874320.592900001</v>
      </c>
      <c r="E43" s="40">
        <f>E41*E42</f>
        <v>48031636.987000003</v>
      </c>
      <c r="F43" s="40">
        <f>F41*F42</f>
        <v>978632.19063770783</v>
      </c>
      <c r="G43" s="40">
        <f>G41*G42</f>
        <v>1041366.7995454373</v>
      </c>
      <c r="H43" s="40">
        <f t="shared" ref="H43:I43" si="78">H41*H42</f>
        <v>0</v>
      </c>
      <c r="I43" s="40">
        <f t="shared" si="78"/>
        <v>0</v>
      </c>
      <c r="J43" s="8"/>
      <c r="K43" s="40">
        <f>K41*K42</f>
        <v>26239902.675699994</v>
      </c>
      <c r="L43" s="40">
        <f>L41*L42</f>
        <v>28360702.387950007</v>
      </c>
      <c r="M43" s="40">
        <f>M41*M42</f>
        <v>27773572.992650002</v>
      </c>
      <c r="N43" s="40">
        <f>N41*N42</f>
        <v>25772748.5649</v>
      </c>
      <c r="O43" s="40">
        <f>O41*O42</f>
        <v>24693079.589199997</v>
      </c>
      <c r="P43" s="40">
        <f t="shared" ref="P43:Q43" si="79">P41*P42</f>
        <v>0</v>
      </c>
      <c r="Q43" s="40">
        <f t="shared" si="79"/>
        <v>0</v>
      </c>
      <c r="R43" s="8"/>
      <c r="S43" s="40">
        <f t="shared" ref="S43:Y43" si="80">S41*S42</f>
        <v>26419826.123799998</v>
      </c>
      <c r="T43" s="40">
        <f t="shared" si="80"/>
        <v>28548241.386749998</v>
      </c>
      <c r="U43" s="40">
        <f t="shared" si="80"/>
        <v>27846548.419050001</v>
      </c>
      <c r="V43" s="40">
        <f t="shared" si="80"/>
        <v>23255326.650249999</v>
      </c>
      <c r="W43" s="40">
        <f t="shared" si="80"/>
        <v>20426849.635650001</v>
      </c>
      <c r="X43" s="40">
        <f t="shared" si="80"/>
        <v>7186295.9140999997</v>
      </c>
      <c r="Y43" s="40">
        <f t="shared" si="80"/>
        <v>0</v>
      </c>
      <c r="Z43" s="8"/>
      <c r="AA43" s="40">
        <f>AA41*AA42</f>
        <v>33394769.053695232</v>
      </c>
      <c r="AB43" s="40">
        <f>AB41*AB42</f>
        <v>23586011.999923352</v>
      </c>
      <c r="AC43" s="40">
        <f>AC41*AC42</f>
        <v>20327583.466618311</v>
      </c>
      <c r="AD43" s="40">
        <f>AD41*AD42</f>
        <v>19073064.007668309</v>
      </c>
      <c r="AE43" s="40">
        <f>AE41*AE42</f>
        <v>18428632.370918304</v>
      </c>
      <c r="AF43" s="40">
        <f t="shared" ref="AF43:AG43" si="81">AF41*AF42</f>
        <v>19024998.3364788</v>
      </c>
      <c r="AG43" s="40">
        <f t="shared" si="81"/>
        <v>18841622.374327052</v>
      </c>
    </row>
    <row r="44" spans="1:38" x14ac:dyDescent="0.2">
      <c r="A44" s="6" t="s">
        <v>66</v>
      </c>
      <c r="C44" s="40">
        <f>+C40+C43</f>
        <v>26082726.6008</v>
      </c>
      <c r="D44" s="40">
        <f>+D40+D43</f>
        <v>73870429.065636009</v>
      </c>
      <c r="E44" s="40">
        <f>+E40+E43</f>
        <v>165866752.32028514</v>
      </c>
      <c r="F44" s="40">
        <f>+F40+F43</f>
        <v>201607681.31230003</v>
      </c>
      <c r="G44" s="40">
        <f>+G40+G43</f>
        <v>187499065.79749918</v>
      </c>
      <c r="H44" s="40">
        <f t="shared" ref="H44:I44" si="82">+H40+H43</f>
        <v>173540507.33324468</v>
      </c>
      <c r="I44" s="40">
        <f t="shared" si="82"/>
        <v>159657266.7465851</v>
      </c>
      <c r="J44" s="8"/>
      <c r="K44" s="40">
        <f>+K40+K43</f>
        <v>26239902.675699994</v>
      </c>
      <c r="L44" s="40">
        <f>+L40+L43</f>
        <v>52501412.849593997</v>
      </c>
      <c r="M44" s="40">
        <f>+M40+M43</f>
        <v>104435575.20222649</v>
      </c>
      <c r="N44" s="40">
        <f>+N40+N43</f>
        <v>149627050.74359837</v>
      </c>
      <c r="O44" s="40">
        <f>+O40+O43</f>
        <v>188122714.83821049</v>
      </c>
      <c r="P44" s="40">
        <f t="shared" ref="P44:Q44" si="83">+P40+P43</f>
        <v>197765977.24035364</v>
      </c>
      <c r="Q44" s="40">
        <f t="shared" si="83"/>
        <v>181944699.06112534</v>
      </c>
      <c r="R44" s="8"/>
      <c r="S44" s="40">
        <f t="shared" ref="S44:Y44" si="84">+S40+S43</f>
        <v>26419826.123799998</v>
      </c>
      <c r="T44" s="40">
        <f t="shared" si="84"/>
        <v>52854481.420645997</v>
      </c>
      <c r="U44" s="40">
        <f t="shared" si="84"/>
        <v>105020912.7127943</v>
      </c>
      <c r="V44" s="40">
        <f t="shared" si="84"/>
        <v>147721114.76507077</v>
      </c>
      <c r="W44" s="40">
        <f t="shared" si="84"/>
        <v>179585601.8697651</v>
      </c>
      <c r="X44" s="40">
        <f t="shared" si="84"/>
        <v>192831899.26993388</v>
      </c>
      <c r="Y44" s="40">
        <f t="shared" si="84"/>
        <v>184591643.24243918</v>
      </c>
      <c r="Z44" s="8"/>
      <c r="AA44" s="40">
        <f>+AA40+AA43</f>
        <v>33394769.053695232</v>
      </c>
      <c r="AB44" s="40">
        <f>+AB40+AB43</f>
        <v>54309199.529322967</v>
      </c>
      <c r="AC44" s="40">
        <f>+AC40+AC43</f>
        <v>93878059.033518791</v>
      </c>
      <c r="AD44" s="40">
        <f>+AD40+AD43</f>
        <v>125768461.78512388</v>
      </c>
      <c r="AE44" s="40">
        <f>+AE40+AE43</f>
        <v>153208681.2209006</v>
      </c>
      <c r="AF44" s="40">
        <f t="shared" ref="AF44:AG44" si="85">+AF40+AF43</f>
        <v>178405617.43062565</v>
      </c>
      <c r="AG44" s="40">
        <f t="shared" si="85"/>
        <v>201999788.74698147</v>
      </c>
    </row>
    <row r="45" spans="1:38" x14ac:dyDescent="0.2">
      <c r="A45" s="6" t="s">
        <v>67</v>
      </c>
      <c r="C45" s="41">
        <v>0.08</v>
      </c>
      <c r="D45" s="41">
        <f>+C45</f>
        <v>0.08</v>
      </c>
      <c r="E45" s="41">
        <f>+D45</f>
        <v>0.08</v>
      </c>
      <c r="F45" s="41">
        <f>+E45</f>
        <v>0.08</v>
      </c>
      <c r="G45" s="41">
        <f>+F45</f>
        <v>0.08</v>
      </c>
      <c r="H45" s="41">
        <f t="shared" ref="H45:I45" si="86">+G45</f>
        <v>0.08</v>
      </c>
      <c r="I45" s="41">
        <f t="shared" si="86"/>
        <v>0.08</v>
      </c>
      <c r="J45" s="8"/>
      <c r="K45" s="41">
        <v>0.08</v>
      </c>
      <c r="L45" s="41">
        <f>+K45</f>
        <v>0.08</v>
      </c>
      <c r="M45" s="41">
        <f>+L45</f>
        <v>0.08</v>
      </c>
      <c r="N45" s="41">
        <f>+M45</f>
        <v>0.08</v>
      </c>
      <c r="O45" s="41">
        <f>+N45</f>
        <v>0.08</v>
      </c>
      <c r="P45" s="41">
        <f t="shared" ref="P45:Q45" si="87">+O45</f>
        <v>0.08</v>
      </c>
      <c r="Q45" s="41">
        <f t="shared" si="87"/>
        <v>0.08</v>
      </c>
      <c r="R45" s="8"/>
      <c r="S45" s="41">
        <v>0.08</v>
      </c>
      <c r="T45" s="41">
        <f t="shared" ref="T45:Y45" si="88">+S45</f>
        <v>0.08</v>
      </c>
      <c r="U45" s="41">
        <f t="shared" si="88"/>
        <v>0.08</v>
      </c>
      <c r="V45" s="41">
        <f t="shared" si="88"/>
        <v>0.08</v>
      </c>
      <c r="W45" s="41">
        <f t="shared" si="88"/>
        <v>0.08</v>
      </c>
      <c r="X45" s="41">
        <f t="shared" si="88"/>
        <v>0.08</v>
      </c>
      <c r="Y45" s="41">
        <f t="shared" si="88"/>
        <v>0.08</v>
      </c>
      <c r="Z45" s="8"/>
      <c r="AA45" s="41">
        <v>0.08</v>
      </c>
      <c r="AB45" s="41">
        <f>+AA45</f>
        <v>0.08</v>
      </c>
      <c r="AC45" s="41">
        <f>+AB45</f>
        <v>0.08</v>
      </c>
      <c r="AD45" s="41">
        <f>+AC45</f>
        <v>0.08</v>
      </c>
      <c r="AE45" s="41">
        <f>+AD45</f>
        <v>0.08</v>
      </c>
      <c r="AF45" s="41">
        <f t="shared" ref="AF45:AG45" si="89">+AE45</f>
        <v>0.08</v>
      </c>
      <c r="AG45" s="41">
        <f t="shared" si="89"/>
        <v>0.08</v>
      </c>
    </row>
    <row r="46" spans="1:38" x14ac:dyDescent="0.2">
      <c r="A46" s="6" t="s">
        <v>68</v>
      </c>
      <c r="C46" s="40">
        <f>-C44*C45</f>
        <v>-2086618.128064</v>
      </c>
      <c r="D46" s="40">
        <f>-D44*D45</f>
        <v>-5909634.3252508808</v>
      </c>
      <c r="E46" s="40">
        <f>-E44*E45</f>
        <v>-13269340.185622811</v>
      </c>
      <c r="F46" s="40">
        <f>-F44*F45</f>
        <v>-16128614.504984003</v>
      </c>
      <c r="G46" s="40">
        <f>-G44*G45</f>
        <v>-14999925.263799936</v>
      </c>
      <c r="H46" s="40">
        <f t="shared" ref="H46:I46" si="90">-H44*H45</f>
        <v>-13883240.586659575</v>
      </c>
      <c r="I46" s="40">
        <f t="shared" si="90"/>
        <v>-12772581.339726808</v>
      </c>
      <c r="J46" s="8"/>
      <c r="K46" s="40">
        <f>-K44*K45</f>
        <v>-2099192.2140559996</v>
      </c>
      <c r="L46" s="40">
        <f>-L44*L45</f>
        <v>-4200113.0279675201</v>
      </c>
      <c r="M46" s="40">
        <f>-M44*M45</f>
        <v>-8354846.016178119</v>
      </c>
      <c r="N46" s="40">
        <f>-N44*N45</f>
        <v>-11970164.05948787</v>
      </c>
      <c r="O46" s="40">
        <f>-O44*O45</f>
        <v>-15049817.187056839</v>
      </c>
      <c r="P46" s="40">
        <f t="shared" ref="P46:Q46" si="91">-P44*P45</f>
        <v>-15821278.179228291</v>
      </c>
      <c r="Q46" s="40">
        <f t="shared" si="91"/>
        <v>-14555575.924890026</v>
      </c>
      <c r="R46" s="8"/>
      <c r="S46" s="40">
        <f t="shared" ref="S46:Y46" si="92">-S44*S45</f>
        <v>-2113586.0899040001</v>
      </c>
      <c r="T46" s="40">
        <f t="shared" si="92"/>
        <v>-4228358.5136516802</v>
      </c>
      <c r="U46" s="40">
        <f t="shared" si="92"/>
        <v>-8401673.0170235448</v>
      </c>
      <c r="V46" s="40">
        <f t="shared" si="92"/>
        <v>-11817689.181205662</v>
      </c>
      <c r="W46" s="40">
        <f t="shared" si="92"/>
        <v>-14366848.149581209</v>
      </c>
      <c r="X46" s="40">
        <f t="shared" si="92"/>
        <v>-15426551.941594711</v>
      </c>
      <c r="Y46" s="40">
        <f t="shared" si="92"/>
        <v>-14767331.459395135</v>
      </c>
      <c r="Z46" s="8"/>
      <c r="AA46" s="40">
        <f>-AA44*AA45</f>
        <v>-2671581.5242956188</v>
      </c>
      <c r="AB46" s="40">
        <f>-AB44*AB45</f>
        <v>-4344735.9623458376</v>
      </c>
      <c r="AC46" s="40">
        <f>-AC44*AC45</f>
        <v>-7510244.7226815037</v>
      </c>
      <c r="AD46" s="40">
        <f>-AD44*AD45</f>
        <v>-10061476.942809911</v>
      </c>
      <c r="AE46" s="40">
        <f>-AE44*AE45</f>
        <v>-12256694.497672047</v>
      </c>
      <c r="AF46" s="40">
        <f t="shared" ref="AF46:AG46" si="93">-AF44*AF45</f>
        <v>-14272449.394450052</v>
      </c>
      <c r="AG46" s="40">
        <f t="shared" si="93"/>
        <v>-16159983.099758519</v>
      </c>
    </row>
    <row r="47" spans="1:38" x14ac:dyDescent="0.2">
      <c r="A47" s="6" t="s">
        <v>69</v>
      </c>
      <c r="C47" s="40">
        <f>+C40+C41+C46</f>
        <v>23996108.472736001</v>
      </c>
      <c r="D47" s="40">
        <f>+D40+D41+D46</f>
        <v>117835115.33328512</v>
      </c>
      <c r="E47" s="40">
        <f>+E40+E41+E46</f>
        <v>200629049.12166232</v>
      </c>
      <c r="F47" s="40">
        <f>+F40+F41+F46</f>
        <v>186457698.99795374</v>
      </c>
      <c r="G47" s="40">
        <f>+G40+G41+G46</f>
        <v>173540507.33324468</v>
      </c>
      <c r="H47" s="40">
        <f t="shared" ref="H47:I47" si="94">+H40+H41+H46</f>
        <v>159657266.7465851</v>
      </c>
      <c r="I47" s="40">
        <f t="shared" si="94"/>
        <v>146884685.4068583</v>
      </c>
      <c r="J47" s="8"/>
      <c r="K47" s="40">
        <f>+K40+K41+K46</f>
        <v>24140710.461643994</v>
      </c>
      <c r="L47" s="40">
        <f>+L40+L41+L46</f>
        <v>76662002.209576488</v>
      </c>
      <c r="M47" s="40">
        <f>+M40+M41+M46</f>
        <v>123854302.17869838</v>
      </c>
      <c r="N47" s="40">
        <f>+N40+N41+N46</f>
        <v>163429635.2490105</v>
      </c>
      <c r="O47" s="40">
        <f>+O40+O41+O46</f>
        <v>197765977.24035364</v>
      </c>
      <c r="P47" s="40">
        <f t="shared" ref="P47:Q47" si="95">+P40+P41+P46</f>
        <v>181944699.06112534</v>
      </c>
      <c r="Q47" s="40">
        <f t="shared" si="95"/>
        <v>167389123.1362353</v>
      </c>
      <c r="R47" s="8"/>
      <c r="S47" s="40">
        <f t="shared" ref="S47:Y47" si="96">+S40+S41+S46</f>
        <v>24306240.033895999</v>
      </c>
      <c r="T47" s="40">
        <f t="shared" si="96"/>
        <v>77174364.293744311</v>
      </c>
      <c r="U47" s="40">
        <f t="shared" si="96"/>
        <v>124465788.11482076</v>
      </c>
      <c r="V47" s="40">
        <f t="shared" si="96"/>
        <v>159158752.23411509</v>
      </c>
      <c r="W47" s="40">
        <f t="shared" si="96"/>
        <v>185645603.35583389</v>
      </c>
      <c r="X47" s="40">
        <f t="shared" si="96"/>
        <v>184591643.24243918</v>
      </c>
      <c r="Y47" s="40">
        <f t="shared" si="96"/>
        <v>169824311.78304404</v>
      </c>
      <c r="Z47" s="8"/>
      <c r="AA47" s="40">
        <f>+AA40+AA41+AA46</f>
        <v>30723187.529399611</v>
      </c>
      <c r="AB47" s="40">
        <f>+AB40+AB41+AB46</f>
        <v>73550475.566900477</v>
      </c>
      <c r="AC47" s="40">
        <f>+AC40+AC41+AC46</f>
        <v>106695397.77745558</v>
      </c>
      <c r="AD47" s="40">
        <f>+AD40+AD41+AD46</f>
        <v>134780048.84998229</v>
      </c>
      <c r="AE47" s="40">
        <f>+AE40+AE41+AE46</f>
        <v>159380619.09414685</v>
      </c>
      <c r="AF47" s="40">
        <f t="shared" ref="AF47:AG47" si="97">+AF40+AF41+AF46</f>
        <v>183158166.37265441</v>
      </c>
      <c r="AG47" s="40">
        <f t="shared" si="97"/>
        <v>204681428.02155</v>
      </c>
    </row>
    <row r="48" spans="1:38" x14ac:dyDescent="0.2">
      <c r="C48" s="40"/>
      <c r="D48" s="40"/>
      <c r="E48" s="40"/>
      <c r="F48" s="40"/>
      <c r="G48" s="40"/>
      <c r="H48" s="40"/>
      <c r="I48" s="40"/>
      <c r="J48" s="8"/>
      <c r="K48" s="40"/>
      <c r="L48" s="40"/>
      <c r="M48" s="40"/>
      <c r="N48" s="40"/>
      <c r="O48" s="40"/>
      <c r="P48" s="40"/>
      <c r="Q48" s="40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2">
      <c r="A49" s="6" t="s">
        <v>72</v>
      </c>
      <c r="C49" s="42">
        <f>+C36+C46</f>
        <v>-24754416.128063999</v>
      </c>
      <c r="D49" s="42">
        <f t="shared" ref="D49:G49" si="98">+D36+D46</f>
        <v>-13153666.825250881</v>
      </c>
      <c r="E49" s="42">
        <f t="shared" si="98"/>
        <v>-27763522.685622811</v>
      </c>
      <c r="F49" s="42">
        <f t="shared" si="98"/>
        <v>-23378764.504984003</v>
      </c>
      <c r="G49" s="42">
        <f t="shared" si="98"/>
        <v>-14999925.263799936</v>
      </c>
      <c r="H49" s="42">
        <f t="shared" ref="H49:I49" si="99">+H36+H46</f>
        <v>-13883240.586659575</v>
      </c>
      <c r="I49" s="42">
        <f t="shared" si="99"/>
        <v>-12772581.339726808</v>
      </c>
      <c r="J49" s="8"/>
      <c r="K49" s="42">
        <f>+K36+K46</f>
        <v>-24766989.715356</v>
      </c>
      <c r="L49" s="42">
        <f t="shared" ref="L49:O49" si="100">+L36+L46</f>
        <v>-8138621.9273675196</v>
      </c>
      <c r="M49" s="42">
        <f t="shared" si="100"/>
        <v>-16237981.565578118</v>
      </c>
      <c r="N49" s="42">
        <f t="shared" si="100"/>
        <v>-19703915.083337869</v>
      </c>
      <c r="O49" s="42">
        <f t="shared" si="100"/>
        <v>-21660863.335906841</v>
      </c>
      <c r="P49" s="42">
        <f t="shared" ref="P49:Q49" si="101">+P36+P46</f>
        <v>-18643199.954228289</v>
      </c>
      <c r="Q49" s="42">
        <f t="shared" si="101"/>
        <v>-14555575.924890026</v>
      </c>
      <c r="R49" s="8"/>
      <c r="S49" s="42">
        <f>+S36+S46</f>
        <v>-24480332.372504003</v>
      </c>
      <c r="T49" s="42">
        <f t="shared" ref="T49:W49" si="102">+T36+T46</f>
        <v>-8029828.3119516801</v>
      </c>
      <c r="U49" s="42">
        <f t="shared" si="102"/>
        <v>-15981635.867623545</v>
      </c>
      <c r="V49" s="42">
        <f t="shared" si="102"/>
        <v>-19210995.494305663</v>
      </c>
      <c r="W49" s="42">
        <f t="shared" si="102"/>
        <v>-20678472.411431208</v>
      </c>
      <c r="X49" s="42">
        <f t="shared" ref="X49:Y49" si="103">+X36+X46</f>
        <v>-18123362.942644712</v>
      </c>
      <c r="Y49" s="42">
        <f t="shared" si="103"/>
        <v>-14767331.459395135</v>
      </c>
      <c r="Z49" s="8"/>
      <c r="AA49" s="42">
        <f>+AA36+AA46</f>
        <v>-25339379.02559562</v>
      </c>
      <c r="AB49" s="42">
        <f t="shared" ref="AB49:AE49" si="104">+AB36+AB46</f>
        <v>-8283244.8617458371</v>
      </c>
      <c r="AC49" s="42">
        <f t="shared" si="104"/>
        <v>-15393380.272081504</v>
      </c>
      <c r="AD49" s="42">
        <f t="shared" si="104"/>
        <v>-17795227.966659911</v>
      </c>
      <c r="AE49" s="42">
        <f t="shared" si="104"/>
        <v>-18867740.646522049</v>
      </c>
      <c r="AF49" s="42">
        <f t="shared" ref="AF49:AG49" si="105">+AF36+AF46</f>
        <v>-17094371.169450052</v>
      </c>
      <c r="AG49" s="42">
        <f t="shared" si="105"/>
        <v>-16159983.099758519</v>
      </c>
      <c r="AH49" s="8"/>
      <c r="AI49" s="8"/>
      <c r="AJ49" s="8"/>
      <c r="AK49" s="8"/>
      <c r="AL49" s="8"/>
    </row>
    <row r="50" spans="1:38" x14ac:dyDescent="0.2">
      <c r="C50" s="40"/>
      <c r="D50" s="40"/>
      <c r="E50" s="40"/>
      <c r="F50" s="40"/>
      <c r="G50" s="40"/>
      <c r="H50" s="40"/>
      <c r="I50" s="40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2">
      <c r="C51" s="40"/>
      <c r="D51" s="40"/>
      <c r="E51" s="40"/>
      <c r="F51" s="40"/>
      <c r="G51" s="40"/>
      <c r="H51" s="40"/>
      <c r="I51" s="40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2">
      <c r="C52" s="40"/>
      <c r="D52" s="40"/>
      <c r="E52" s="40"/>
      <c r="F52" s="40"/>
      <c r="G52" s="40"/>
      <c r="H52" s="40"/>
      <c r="I52" s="40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2">
      <c r="C53" s="40"/>
      <c r="D53" s="40"/>
      <c r="E53" s="40"/>
      <c r="F53" s="40"/>
      <c r="G53" s="40"/>
      <c r="H53" s="40"/>
      <c r="I53" s="40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2">
      <c r="C54" s="40"/>
      <c r="D54" s="40"/>
      <c r="E54" s="40"/>
      <c r="F54" s="40"/>
      <c r="G54" s="40"/>
      <c r="H54" s="40"/>
      <c r="I54" s="40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2">
      <c r="C55" s="40"/>
      <c r="D55" s="40"/>
      <c r="E55" s="40"/>
      <c r="F55" s="40"/>
      <c r="G55" s="40"/>
      <c r="H55" s="40"/>
      <c r="I55" s="40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2">
      <c r="C56" s="40"/>
      <c r="D56" s="40"/>
      <c r="E56" s="40"/>
      <c r="F56" s="40"/>
      <c r="G56" s="40"/>
      <c r="H56" s="40"/>
      <c r="I56" s="40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2">
      <c r="C57" s="40"/>
      <c r="D57" s="40"/>
      <c r="E57" s="40"/>
      <c r="F57" s="40"/>
      <c r="G57" s="40"/>
      <c r="H57" s="40"/>
      <c r="I57" s="40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">
      <c r="C58" s="40"/>
      <c r="D58" s="40"/>
      <c r="E58" s="40"/>
      <c r="F58" s="40"/>
      <c r="G58" s="40"/>
      <c r="H58" s="40"/>
      <c r="I58" s="40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2">
      <c r="C59" s="40"/>
      <c r="D59" s="40"/>
      <c r="E59" s="40"/>
      <c r="F59" s="40"/>
      <c r="G59" s="40"/>
      <c r="H59" s="40"/>
      <c r="I59" s="40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2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2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2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2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3:38" x14ac:dyDescent="0.2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3:38" x14ac:dyDescent="0.2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3:38" x14ac:dyDescent="0.2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FB08-67FF-4E78-9BD9-298F78D5D37E}">
  <dimension ref="A1:K65"/>
  <sheetViews>
    <sheetView topLeftCell="A40" workbookViewId="0">
      <selection activeCell="E71" sqref="E71"/>
    </sheetView>
  </sheetViews>
  <sheetFormatPr defaultRowHeight="15" x14ac:dyDescent="0.25"/>
  <cols>
    <col min="1" max="1" width="34.42578125" customWidth="1"/>
    <col min="2" max="8" width="14.85546875" bestFit="1" customWidth="1"/>
  </cols>
  <sheetData>
    <row r="1" spans="1:8" x14ac:dyDescent="0.25">
      <c r="A1" s="5" t="s">
        <v>13</v>
      </c>
      <c r="B1" s="6"/>
      <c r="C1" s="6"/>
      <c r="D1" s="6"/>
      <c r="E1" s="6"/>
    </row>
    <row r="2" spans="1:8" x14ac:dyDescent="0.25">
      <c r="A2" s="5" t="s">
        <v>0</v>
      </c>
      <c r="B2" s="6"/>
      <c r="C2" s="6"/>
      <c r="D2" s="6"/>
      <c r="E2" s="6"/>
    </row>
    <row r="3" spans="1:8" x14ac:dyDescent="0.25">
      <c r="A3" s="5" t="s">
        <v>14</v>
      </c>
      <c r="B3" s="6"/>
      <c r="C3" s="6"/>
      <c r="D3" s="6"/>
      <c r="E3" s="6"/>
    </row>
    <row r="4" spans="1:8" x14ac:dyDescent="0.25">
      <c r="A4" s="5" t="s">
        <v>33</v>
      </c>
      <c r="B4" s="6"/>
      <c r="C4" s="6"/>
      <c r="D4" s="6"/>
      <c r="E4" s="6"/>
    </row>
    <row r="5" spans="1:8" x14ac:dyDescent="0.25">
      <c r="A5" s="5" t="s">
        <v>21</v>
      </c>
      <c r="B5" s="6"/>
      <c r="C5" s="6"/>
      <c r="D5" s="6"/>
      <c r="E5" s="6"/>
    </row>
    <row r="6" spans="1:8" x14ac:dyDescent="0.25">
      <c r="A6" s="6"/>
      <c r="B6" s="6"/>
      <c r="C6" s="6"/>
      <c r="D6" s="6"/>
      <c r="E6" s="6"/>
    </row>
    <row r="7" spans="1:8" ht="21.75" thickBot="1" x14ac:dyDescent="0.4">
      <c r="A7" s="22"/>
      <c r="B7" s="37"/>
    </row>
    <row r="8" spans="1:8" x14ac:dyDescent="0.25">
      <c r="A8" s="91" t="s">
        <v>44</v>
      </c>
      <c r="B8" s="93" t="s">
        <v>1</v>
      </c>
      <c r="C8" s="93"/>
      <c r="D8" s="93"/>
      <c r="E8" s="93"/>
      <c r="F8" s="94"/>
    </row>
    <row r="9" spans="1:8" x14ac:dyDescent="0.25">
      <c r="A9" s="92"/>
      <c r="B9" s="21">
        <v>2027</v>
      </c>
      <c r="C9" s="21">
        <v>2028</v>
      </c>
      <c r="D9" s="21">
        <v>2029</v>
      </c>
      <c r="E9" s="21">
        <v>2030</v>
      </c>
      <c r="F9" s="30">
        <v>2031</v>
      </c>
      <c r="G9" s="30">
        <v>2032</v>
      </c>
      <c r="H9" s="30">
        <v>2033</v>
      </c>
    </row>
    <row r="10" spans="1:8" x14ac:dyDescent="0.25">
      <c r="A10" s="31" t="s">
        <v>2</v>
      </c>
      <c r="B10" s="2">
        <v>0</v>
      </c>
      <c r="C10" s="2">
        <f t="shared" ref="C10" si="0">B11</f>
        <v>48750524.6008</v>
      </c>
      <c r="D10" s="2">
        <f t="shared" ref="D10" si="1">C11</f>
        <v>162987230.78659999</v>
      </c>
      <c r="E10" s="2">
        <f t="shared" ref="E10" si="2">D11</f>
        <v>273550804.76059997</v>
      </c>
      <c r="F10" s="32">
        <f t="shared" ref="F10" si="3">E11</f>
        <v>275508069.14187539</v>
      </c>
      <c r="G10" s="32">
        <f t="shared" ref="G10" si="4">F11</f>
        <v>277590802.74096626</v>
      </c>
      <c r="H10" s="32">
        <f t="shared" ref="H10" si="5">G11</f>
        <v>277590802.74096626</v>
      </c>
    </row>
    <row r="11" spans="1:8" x14ac:dyDescent="0.25">
      <c r="A11" s="31" t="s">
        <v>3</v>
      </c>
      <c r="B11" s="2">
        <f>B10+'Deployment options'!B11</f>
        <v>48750524.6008</v>
      </c>
      <c r="C11" s="2">
        <f>C10+'Deployment options'!C11</f>
        <v>162987230.78659999</v>
      </c>
      <c r="D11" s="2">
        <f>D10+'Deployment options'!D11</f>
        <v>273550804.76059997</v>
      </c>
      <c r="E11" s="2">
        <f>E10+'Deployment options'!E11</f>
        <v>275508069.14187539</v>
      </c>
      <c r="F11" s="2">
        <f>F10+'Deployment options'!F11</f>
        <v>277590802.74096626</v>
      </c>
      <c r="G11" s="2">
        <f>G10+'Deployment options'!H11</f>
        <v>277590802.74096626</v>
      </c>
      <c r="H11" s="2">
        <f>H10+'Deployment options'!I11</f>
        <v>277590802.74096626</v>
      </c>
    </row>
    <row r="12" spans="1:8" x14ac:dyDescent="0.25">
      <c r="A12" s="29" t="s">
        <v>4</v>
      </c>
      <c r="B12" s="3">
        <f t="shared" ref="B12:F12" si="6">AVERAGE(B10:B11)</f>
        <v>24375262.3004</v>
      </c>
      <c r="C12" s="3">
        <f t="shared" si="6"/>
        <v>105868877.6937</v>
      </c>
      <c r="D12" s="3">
        <f t="shared" si="6"/>
        <v>218269017.77359998</v>
      </c>
      <c r="E12" s="3">
        <f t="shared" si="6"/>
        <v>274529436.95123768</v>
      </c>
      <c r="F12" s="33">
        <f t="shared" si="6"/>
        <v>276549435.94142079</v>
      </c>
      <c r="G12" s="33">
        <f t="shared" ref="G12:H12" si="7">AVERAGE(G10:G11)</f>
        <v>277590802.74096626</v>
      </c>
      <c r="H12" s="33">
        <f t="shared" si="7"/>
        <v>277590802.74096626</v>
      </c>
    </row>
    <row r="13" spans="1:8" x14ac:dyDescent="0.25">
      <c r="A13" s="31" t="s">
        <v>5</v>
      </c>
      <c r="B13" s="2">
        <v>0</v>
      </c>
      <c r="C13" s="2">
        <f t="shared" ref="C13" si="8">B14</f>
        <v>-16132707.506362787</v>
      </c>
      <c r="D13" s="2">
        <f t="shared" ref="D13" si="9">C14</f>
        <v>-40052350.639410071</v>
      </c>
      <c r="E13" s="2">
        <f t="shared" ref="E13" si="10">D14</f>
        <v>-70386119.806464493</v>
      </c>
      <c r="F13" s="32">
        <f t="shared" ref="F13" si="11">E14</f>
        <v>-86248768.614818007</v>
      </c>
      <c r="G13" s="32">
        <f t="shared" ref="G13" si="12">F14</f>
        <v>-102698112.57748562</v>
      </c>
      <c r="H13" s="32">
        <f t="shared" ref="H13" si="13">G14</f>
        <v>-120285803.78333363</v>
      </c>
    </row>
    <row r="14" spans="1:8" x14ac:dyDescent="0.25">
      <c r="A14" s="31" t="s">
        <v>6</v>
      </c>
      <c r="B14" s="2">
        <f>B13-'Deployment options'!B14</f>
        <v>-16132707.506362787</v>
      </c>
      <c r="C14" s="2">
        <f>C13-'Deployment options'!C14</f>
        <v>-40052350.639410071</v>
      </c>
      <c r="D14" s="2">
        <f>D13-'Deployment options'!D14</f>
        <v>-70386119.806464493</v>
      </c>
      <c r="E14" s="2">
        <f>E13-'Deployment options'!E14</f>
        <v>-86248768.614818007</v>
      </c>
      <c r="F14" s="2">
        <f>F13-'Deployment options'!F14</f>
        <v>-102698112.57748562</v>
      </c>
      <c r="G14" s="2">
        <f>G13-'Deployment options'!H14</f>
        <v>-120285803.78333363</v>
      </c>
      <c r="H14" s="2">
        <f>H13-'Deployment options'!I14</f>
        <v>-138612319.41434249</v>
      </c>
    </row>
    <row r="15" spans="1:8" x14ac:dyDescent="0.25">
      <c r="A15" s="29" t="s">
        <v>7</v>
      </c>
      <c r="B15" s="3">
        <f t="shared" ref="B15:F15" si="14">AVERAGE(B13:B14)</f>
        <v>-8066353.7531813933</v>
      </c>
      <c r="C15" s="3">
        <f t="shared" si="14"/>
        <v>-28092529.07288643</v>
      </c>
      <c r="D15" s="3">
        <f t="shared" si="14"/>
        <v>-55219235.222937286</v>
      </c>
      <c r="E15" s="3">
        <f t="shared" si="14"/>
        <v>-78317444.21064125</v>
      </c>
      <c r="F15" s="33">
        <f t="shared" si="14"/>
        <v>-94473440.596151814</v>
      </c>
      <c r="G15" s="33">
        <f t="shared" ref="G15:H15" si="15">AVERAGE(G13:G14)</f>
        <v>-111491958.18040963</v>
      </c>
      <c r="H15" s="33">
        <f t="shared" si="15"/>
        <v>-129449061.59883806</v>
      </c>
    </row>
    <row r="16" spans="1:8" x14ac:dyDescent="0.25">
      <c r="A16" s="31" t="s">
        <v>8</v>
      </c>
      <c r="B16" s="2">
        <f t="shared" ref="B16:F16" si="16">B10+B13</f>
        <v>0</v>
      </c>
      <c r="C16" s="2">
        <f t="shared" si="16"/>
        <v>32617817.094437212</v>
      </c>
      <c r="D16" s="2">
        <f t="shared" si="16"/>
        <v>122934880.14718992</v>
      </c>
      <c r="E16" s="2">
        <f t="shared" si="16"/>
        <v>203164684.95413548</v>
      </c>
      <c r="F16" s="32">
        <f t="shared" si="16"/>
        <v>189259300.52705738</v>
      </c>
      <c r="G16" s="32">
        <f t="shared" ref="G16:H16" si="17">G10+G13</f>
        <v>174892690.16348064</v>
      </c>
      <c r="H16" s="32">
        <f t="shared" si="17"/>
        <v>157304998.95763263</v>
      </c>
    </row>
    <row r="17" spans="1:11" x14ac:dyDescent="0.25">
      <c r="A17" s="31" t="s">
        <v>9</v>
      </c>
      <c r="B17" s="2">
        <f t="shared" ref="B17:F17" si="18">B11+B14</f>
        <v>32617817.094437212</v>
      </c>
      <c r="C17" s="2">
        <f t="shared" si="18"/>
        <v>122934880.14718992</v>
      </c>
      <c r="D17" s="2">
        <f t="shared" si="18"/>
        <v>203164684.95413548</v>
      </c>
      <c r="E17" s="2">
        <f t="shared" si="18"/>
        <v>189259300.52705738</v>
      </c>
      <c r="F17" s="32">
        <f t="shared" si="18"/>
        <v>174892690.16348064</v>
      </c>
      <c r="G17" s="32">
        <f t="shared" ref="G17:H17" si="19">G11+G14</f>
        <v>157304998.95763263</v>
      </c>
      <c r="H17" s="32">
        <f t="shared" si="19"/>
        <v>138978483.32662377</v>
      </c>
    </row>
    <row r="18" spans="1:11" x14ac:dyDescent="0.25">
      <c r="A18" s="29" t="s">
        <v>10</v>
      </c>
      <c r="B18" s="3">
        <f t="shared" ref="B18:F18" si="20">AVERAGE(B16:B17)</f>
        <v>16308908.547218606</v>
      </c>
      <c r="C18" s="3">
        <f t="shared" si="20"/>
        <v>77776348.620813563</v>
      </c>
      <c r="D18" s="3">
        <f t="shared" si="20"/>
        <v>163049782.5506627</v>
      </c>
      <c r="E18" s="3">
        <f t="shared" si="20"/>
        <v>196211992.74059641</v>
      </c>
      <c r="F18" s="33">
        <f t="shared" si="20"/>
        <v>182075995.34526902</v>
      </c>
      <c r="G18" s="33">
        <f t="shared" ref="G18:H18" si="21">AVERAGE(G16:G17)</f>
        <v>166098844.56055665</v>
      </c>
      <c r="H18" s="33">
        <f t="shared" si="21"/>
        <v>148141741.1421282</v>
      </c>
    </row>
    <row r="19" spans="1:11" x14ac:dyDescent="0.25">
      <c r="A19" s="31" t="s">
        <v>11</v>
      </c>
      <c r="B19" s="2"/>
      <c r="C19" s="2"/>
      <c r="D19" s="2"/>
      <c r="E19" s="2"/>
      <c r="F19" s="32"/>
      <c r="G19" s="32"/>
      <c r="H19" s="32"/>
      <c r="I19" s="17"/>
      <c r="J19" s="18"/>
      <c r="K19" s="18"/>
    </row>
    <row r="20" spans="1:11" ht="15.75" thickBot="1" x14ac:dyDescent="0.3">
      <c r="A20" s="34" t="s">
        <v>12</v>
      </c>
      <c r="B20" s="35">
        <f t="shared" ref="B20:F20" si="22">SUM(B18:B19)</f>
        <v>16308908.547218606</v>
      </c>
      <c r="C20" s="35">
        <f t="shared" si="22"/>
        <v>77776348.620813563</v>
      </c>
      <c r="D20" s="35">
        <f t="shared" si="22"/>
        <v>163049782.5506627</v>
      </c>
      <c r="E20" s="35">
        <f t="shared" si="22"/>
        <v>196211992.74059641</v>
      </c>
      <c r="F20" s="36">
        <f t="shared" si="22"/>
        <v>182075995.34526902</v>
      </c>
      <c r="G20" s="36">
        <f t="shared" ref="G20:H20" si="23">SUM(G18:G19)</f>
        <v>166098844.56055665</v>
      </c>
      <c r="H20" s="36">
        <f t="shared" si="23"/>
        <v>148141741.1421282</v>
      </c>
      <c r="I20" s="17"/>
      <c r="J20" s="17"/>
      <c r="K20" s="17"/>
    </row>
    <row r="21" spans="1:11" x14ac:dyDescent="0.25">
      <c r="A21" s="4"/>
      <c r="B21" s="4"/>
      <c r="C21" s="4"/>
      <c r="D21" s="4"/>
      <c r="E21" s="4"/>
      <c r="F21" s="4"/>
      <c r="I21" s="17"/>
      <c r="J21" s="17"/>
      <c r="K21" s="17"/>
    </row>
    <row r="22" spans="1:11" ht="15.75" thickBot="1" x14ac:dyDescent="0.3"/>
    <row r="23" spans="1:11" x14ac:dyDescent="0.25">
      <c r="A23" s="91" t="s">
        <v>47</v>
      </c>
      <c r="B23" s="93" t="s">
        <v>1</v>
      </c>
      <c r="C23" s="93"/>
      <c r="D23" s="93"/>
      <c r="E23" s="93"/>
      <c r="F23" s="94"/>
    </row>
    <row r="24" spans="1:11" x14ac:dyDescent="0.25">
      <c r="A24" s="92"/>
      <c r="B24" s="21">
        <v>2027</v>
      </c>
      <c r="C24" s="21">
        <v>2028</v>
      </c>
      <c r="D24" s="21">
        <v>2029</v>
      </c>
      <c r="E24" s="21">
        <v>2030</v>
      </c>
      <c r="F24" s="30">
        <v>2031</v>
      </c>
      <c r="G24" s="30">
        <v>2032</v>
      </c>
      <c r="H24" s="30">
        <v>2033</v>
      </c>
    </row>
    <row r="25" spans="1:11" x14ac:dyDescent="0.25">
      <c r="A25" s="31" t="s">
        <v>2</v>
      </c>
      <c r="B25" s="2">
        <v>0</v>
      </c>
      <c r="C25" s="2">
        <f t="shared" ref="C25" si="24">B26</f>
        <v>48907700.176999994</v>
      </c>
      <c r="D25" s="2">
        <f t="shared" ref="D25" si="25">C26</f>
        <v>113506122.75170001</v>
      </c>
      <c r="E25" s="2">
        <f t="shared" ref="E25" si="26">D26</f>
        <v>176942522.037</v>
      </c>
      <c r="F25" s="32">
        <f t="shared" ref="F25" si="27">E26</f>
        <v>236066267.9145</v>
      </c>
      <c r="G25" s="32">
        <f t="shared" ref="G25" si="28">F26</f>
        <v>291096270.64289999</v>
      </c>
      <c r="H25" s="32">
        <f t="shared" ref="H25" si="29">G26</f>
        <v>291096270.64289999</v>
      </c>
    </row>
    <row r="26" spans="1:11" x14ac:dyDescent="0.25">
      <c r="A26" s="31" t="s">
        <v>3</v>
      </c>
      <c r="B26" s="2">
        <f>B25+'Deployment options'!B20</f>
        <v>48907700.176999994</v>
      </c>
      <c r="C26" s="2">
        <f>C25+'Deployment options'!C20</f>
        <v>113506122.75170001</v>
      </c>
      <c r="D26" s="2">
        <f>D25+'Deployment options'!D20</f>
        <v>176942522.037</v>
      </c>
      <c r="E26" s="2">
        <f>E25+'Deployment options'!E20</f>
        <v>236066267.9145</v>
      </c>
      <c r="F26" s="2">
        <f>F25+'Deployment options'!F20</f>
        <v>291096270.64289999</v>
      </c>
      <c r="G26" s="2">
        <f>G25+'Deployment options'!H20</f>
        <v>291096270.64289999</v>
      </c>
      <c r="H26" s="2">
        <f>H25+'Deployment options'!I20</f>
        <v>291096270.64289999</v>
      </c>
    </row>
    <row r="27" spans="1:11" x14ac:dyDescent="0.25">
      <c r="A27" s="29" t="s">
        <v>4</v>
      </c>
      <c r="B27" s="3">
        <f t="shared" ref="B27:F27" si="30">AVERAGE(B25:B26)</f>
        <v>24453850.088499997</v>
      </c>
      <c r="C27" s="3">
        <f t="shared" si="30"/>
        <v>81206911.46435</v>
      </c>
      <c r="D27" s="3">
        <f t="shared" si="30"/>
        <v>145224322.39434999</v>
      </c>
      <c r="E27" s="3">
        <f t="shared" si="30"/>
        <v>206504394.97575</v>
      </c>
      <c r="F27" s="33">
        <f t="shared" si="30"/>
        <v>263581269.27869999</v>
      </c>
      <c r="G27" s="33">
        <f t="shared" ref="G27:H27" si="31">AVERAGE(G25:G26)</f>
        <v>291096270.64289999</v>
      </c>
      <c r="H27" s="33">
        <f t="shared" si="31"/>
        <v>291096270.64289999</v>
      </c>
    </row>
    <row r="28" spans="1:11" x14ac:dyDescent="0.25">
      <c r="A28" s="31" t="s">
        <v>5</v>
      </c>
      <c r="B28" s="2">
        <v>0</v>
      </c>
      <c r="C28" s="2">
        <f t="shared" ref="C28" si="32">B29</f>
        <v>-10876179.073310003</v>
      </c>
      <c r="D28" s="2">
        <f t="shared" ref="D28" si="33">C29</f>
        <v>-27046398.848275501</v>
      </c>
      <c r="E28" s="2">
        <f t="shared" ref="E28" si="34">D29</f>
        <v>-46716739.466002703</v>
      </c>
      <c r="F28" s="32">
        <f t="shared" ref="F28" si="35">E29</f>
        <v>-70063273.173781946</v>
      </c>
      <c r="G28" s="32">
        <f t="shared" ref="G28" si="36">F29</f>
        <v>-96200817.879527092</v>
      </c>
      <c r="H28" s="32">
        <f t="shared" ref="H28" si="37">G29</f>
        <v>-114558352.96818009</v>
      </c>
    </row>
    <row r="29" spans="1:11" x14ac:dyDescent="0.25">
      <c r="A29" s="31" t="s">
        <v>6</v>
      </c>
      <c r="B29" s="2">
        <f>B28-'Deployment options'!B23</f>
        <v>-10876179.073310003</v>
      </c>
      <c r="C29" s="2">
        <f>C28-'Deployment options'!C23</f>
        <v>-27046398.848275501</v>
      </c>
      <c r="D29" s="2">
        <f>D28-'Deployment options'!D23</f>
        <v>-46716739.466002703</v>
      </c>
      <c r="E29" s="2">
        <f>E28-'Deployment options'!E23</f>
        <v>-70063273.173781946</v>
      </c>
      <c r="F29" s="2">
        <f>F28-'Deployment options'!F23</f>
        <v>-96200817.879527092</v>
      </c>
      <c r="G29" s="2">
        <f>G28-'Deployment options'!H23</f>
        <v>-114558352.96818009</v>
      </c>
      <c r="H29" s="2">
        <f>H28-'Deployment options'!I23</f>
        <v>-133894099.90748933</v>
      </c>
    </row>
    <row r="30" spans="1:11" x14ac:dyDescent="0.25">
      <c r="A30" s="29" t="s">
        <v>7</v>
      </c>
      <c r="B30" s="3">
        <f t="shared" ref="B30:F30" si="38">AVERAGE(B28:B29)</f>
        <v>-5438089.5366550013</v>
      </c>
      <c r="C30" s="3">
        <f t="shared" si="38"/>
        <v>-18961288.96079275</v>
      </c>
      <c r="D30" s="3">
        <f t="shared" si="38"/>
        <v>-36881569.1571391</v>
      </c>
      <c r="E30" s="3">
        <f t="shared" si="38"/>
        <v>-58390006.319892325</v>
      </c>
      <c r="F30" s="33">
        <f t="shared" si="38"/>
        <v>-83132045.526654512</v>
      </c>
      <c r="G30" s="33">
        <f t="shared" ref="G30:H30" si="39">AVERAGE(G28:G29)</f>
        <v>-105379585.42385359</v>
      </c>
      <c r="H30" s="33">
        <f t="shared" si="39"/>
        <v>-124226226.43783471</v>
      </c>
    </row>
    <row r="31" spans="1:11" x14ac:dyDescent="0.25">
      <c r="A31" s="31" t="s">
        <v>8</v>
      </c>
      <c r="B31" s="2">
        <f t="shared" ref="B31:F31" si="40">B25+B28</f>
        <v>0</v>
      </c>
      <c r="C31" s="2">
        <f t="shared" si="40"/>
        <v>38031521.103689991</v>
      </c>
      <c r="D31" s="2">
        <f t="shared" si="40"/>
        <v>86459723.903424516</v>
      </c>
      <c r="E31" s="2">
        <f t="shared" si="40"/>
        <v>130225782.5709973</v>
      </c>
      <c r="F31" s="32">
        <f t="shared" si="40"/>
        <v>166002994.74071807</v>
      </c>
      <c r="G31" s="32">
        <f t="shared" ref="G31:H31" si="41">G25+G28</f>
        <v>194895452.7633729</v>
      </c>
      <c r="H31" s="32">
        <f t="shared" si="41"/>
        <v>176537917.6747199</v>
      </c>
    </row>
    <row r="32" spans="1:11" x14ac:dyDescent="0.25">
      <c r="A32" s="31" t="s">
        <v>9</v>
      </c>
      <c r="B32" s="2">
        <f t="shared" ref="B32:F32" si="42">B26+B29</f>
        <v>38031521.103689991</v>
      </c>
      <c r="C32" s="2">
        <f t="shared" si="42"/>
        <v>86459723.903424516</v>
      </c>
      <c r="D32" s="2">
        <f t="shared" si="42"/>
        <v>130225782.5709973</v>
      </c>
      <c r="E32" s="2">
        <f t="shared" si="42"/>
        <v>166002994.74071807</v>
      </c>
      <c r="F32" s="32">
        <f t="shared" si="42"/>
        <v>194895452.7633729</v>
      </c>
      <c r="G32" s="32">
        <f t="shared" ref="G32:H32" si="43">G26+G29</f>
        <v>176537917.6747199</v>
      </c>
      <c r="H32" s="32">
        <f t="shared" si="43"/>
        <v>157202170.73541066</v>
      </c>
    </row>
    <row r="33" spans="1:11" x14ac:dyDescent="0.25">
      <c r="A33" s="29" t="s">
        <v>10</v>
      </c>
      <c r="B33" s="3">
        <f t="shared" ref="B33:F33" si="44">AVERAGE(B31:B32)</f>
        <v>19015760.551844995</v>
      </c>
      <c r="C33" s="3">
        <f t="shared" si="44"/>
        <v>62245622.50355725</v>
      </c>
      <c r="D33" s="3">
        <f t="shared" si="44"/>
        <v>108342753.2372109</v>
      </c>
      <c r="E33" s="3">
        <f t="shared" si="44"/>
        <v>148114388.65585768</v>
      </c>
      <c r="F33" s="33">
        <f t="shared" si="44"/>
        <v>180449223.75204548</v>
      </c>
      <c r="G33" s="33">
        <f t="shared" ref="G33:H33" si="45">AVERAGE(G31:G32)</f>
        <v>185716685.21904641</v>
      </c>
      <c r="H33" s="33">
        <f t="shared" si="45"/>
        <v>166870044.20506528</v>
      </c>
    </row>
    <row r="34" spans="1:11" x14ac:dyDescent="0.25">
      <c r="A34" s="31" t="s">
        <v>11</v>
      </c>
      <c r="B34" s="2"/>
      <c r="C34" s="2"/>
      <c r="D34" s="2"/>
      <c r="E34" s="2"/>
      <c r="F34" s="32"/>
      <c r="G34" s="32"/>
      <c r="H34" s="32"/>
      <c r="I34" s="17"/>
      <c r="J34" s="18"/>
      <c r="K34" s="18"/>
    </row>
    <row r="35" spans="1:11" ht="15.75" thickBot="1" x14ac:dyDescent="0.3">
      <c r="A35" s="34" t="s">
        <v>12</v>
      </c>
      <c r="B35" s="35">
        <f t="shared" ref="B35:F35" si="46">SUM(B33:B34)</f>
        <v>19015760.551844995</v>
      </c>
      <c r="C35" s="35">
        <f t="shared" si="46"/>
        <v>62245622.50355725</v>
      </c>
      <c r="D35" s="35">
        <f t="shared" si="46"/>
        <v>108342753.2372109</v>
      </c>
      <c r="E35" s="35">
        <f t="shared" si="46"/>
        <v>148114388.65585768</v>
      </c>
      <c r="F35" s="36">
        <f t="shared" si="46"/>
        <v>180449223.75204548</v>
      </c>
      <c r="G35" s="36">
        <f t="shared" ref="G35:H35" si="47">SUM(G33:G34)</f>
        <v>185716685.21904641</v>
      </c>
      <c r="H35" s="36">
        <f t="shared" si="47"/>
        <v>166870044.20506528</v>
      </c>
      <c r="I35" s="17"/>
      <c r="J35" s="17"/>
      <c r="K35" s="17"/>
    </row>
    <row r="36" spans="1:11" x14ac:dyDescent="0.25">
      <c r="B36" s="4"/>
      <c r="C36" s="4"/>
      <c r="D36" s="4"/>
      <c r="E36" s="4"/>
      <c r="F36" s="4"/>
      <c r="I36" s="18"/>
      <c r="J36" s="18"/>
      <c r="K36" s="18"/>
    </row>
    <row r="37" spans="1:11" ht="15.75" thickBot="1" x14ac:dyDescent="0.3"/>
    <row r="38" spans="1:11" x14ac:dyDescent="0.25">
      <c r="A38" s="91" t="s">
        <v>46</v>
      </c>
      <c r="B38" s="93" t="s">
        <v>1</v>
      </c>
      <c r="C38" s="93"/>
      <c r="D38" s="93"/>
      <c r="E38" s="93"/>
      <c r="F38" s="94"/>
    </row>
    <row r="39" spans="1:11" x14ac:dyDescent="0.25">
      <c r="A39" s="92"/>
      <c r="B39" s="21">
        <v>2027</v>
      </c>
      <c r="C39" s="21">
        <v>2028</v>
      </c>
      <c r="D39" s="21">
        <v>2029</v>
      </c>
      <c r="E39" s="21">
        <v>2030</v>
      </c>
      <c r="F39" s="30">
        <v>2031</v>
      </c>
      <c r="G39" s="30">
        <v>2032</v>
      </c>
      <c r="H39" s="30">
        <v>2033</v>
      </c>
    </row>
    <row r="40" spans="1:11" x14ac:dyDescent="0.25">
      <c r="A40" s="31" t="s">
        <v>2</v>
      </c>
      <c r="B40" s="2">
        <v>0</v>
      </c>
      <c r="C40" s="2">
        <f t="shared" ref="C40" si="48">B41</f>
        <v>48786572.406400003</v>
      </c>
      <c r="D40" s="2">
        <f t="shared" ref="D40" si="49">C41</f>
        <v>113485994.7765</v>
      </c>
      <c r="E40" s="2">
        <f t="shared" ref="E40" si="50">D41</f>
        <v>176736077.71920002</v>
      </c>
      <c r="F40" s="32">
        <f t="shared" ref="F40" si="51">E41</f>
        <v>230476357.5413</v>
      </c>
      <c r="G40" s="32">
        <f t="shared" ref="G40:H40" si="52">F41</f>
        <v>276723678.81470001</v>
      </c>
      <c r="H40" s="32">
        <f t="shared" si="52"/>
        <v>291096270.64289999</v>
      </c>
    </row>
    <row r="41" spans="1:11" x14ac:dyDescent="0.25">
      <c r="A41" s="31" t="s">
        <v>3</v>
      </c>
      <c r="B41" s="2">
        <f>B40+'Deployment options'!B29</f>
        <v>48786572.406400003</v>
      </c>
      <c r="C41" s="2">
        <f>C40+'Deployment options'!C29</f>
        <v>113485994.7765</v>
      </c>
      <c r="D41" s="2">
        <f>D40+'Deployment options'!D29</f>
        <v>176736077.71920002</v>
      </c>
      <c r="E41" s="2">
        <f>E40+'Deployment options'!E29</f>
        <v>230476357.5413</v>
      </c>
      <c r="F41" s="2">
        <f>F40+'Deployment options'!F29</f>
        <v>276723678.81470001</v>
      </c>
      <c r="G41" s="2">
        <f>G40+'Deployment options'!H29</f>
        <v>291096270.64289999</v>
      </c>
      <c r="H41" s="2">
        <f>H40+'Deployment options'!I29</f>
        <v>291096270.64289999</v>
      </c>
    </row>
    <row r="42" spans="1:11" x14ac:dyDescent="0.25">
      <c r="A42" s="29" t="s">
        <v>4</v>
      </c>
      <c r="B42" s="3">
        <f t="shared" ref="B42:F42" si="53">AVERAGE(B40:B41)</f>
        <v>24393286.203200001</v>
      </c>
      <c r="C42" s="3">
        <f t="shared" si="53"/>
        <v>81136283.591450006</v>
      </c>
      <c r="D42" s="3">
        <f t="shared" si="53"/>
        <v>145111036.24785</v>
      </c>
      <c r="E42" s="3">
        <f t="shared" si="53"/>
        <v>203606217.63025001</v>
      </c>
      <c r="F42" s="33">
        <f t="shared" si="53"/>
        <v>253600018.178</v>
      </c>
      <c r="G42" s="33">
        <f t="shared" ref="G42" si="54">AVERAGE(G40:G41)</f>
        <v>283909974.7288</v>
      </c>
      <c r="H42" s="33">
        <f t="shared" ref="H42" si="55">AVERAGE(H40:H41)</f>
        <v>291096270.64289999</v>
      </c>
    </row>
    <row r="43" spans="1:11" x14ac:dyDescent="0.25">
      <c r="A43" s="31" t="s">
        <v>5</v>
      </c>
      <c r="B43" s="2">
        <v>0</v>
      </c>
      <c r="C43" s="2">
        <f t="shared" ref="C43" si="56">B44</f>
        <v>-10705888.479001293</v>
      </c>
      <c r="D43" s="2">
        <f t="shared" ref="D43" si="57">C44</f>
        <v>-26663084.875241801</v>
      </c>
      <c r="E43" s="2">
        <f t="shared" ref="E43" si="58">D44</f>
        <v>-46247363.250246815</v>
      </c>
      <c r="F43" s="32">
        <f t="shared" ref="F43" si="59">E44</f>
        <v>-69028936.258911997</v>
      </c>
      <c r="G43" s="32">
        <f t="shared" ref="G43:H43" si="60">F44</f>
        <v>-94318214.607184425</v>
      </c>
      <c r="H43" s="32">
        <f t="shared" si="60"/>
        <v>-113809897.54773918</v>
      </c>
    </row>
    <row r="44" spans="1:11" x14ac:dyDescent="0.25">
      <c r="A44" s="31" t="s">
        <v>6</v>
      </c>
      <c r="B44" s="2">
        <f>B43-'Deployment options'!B32</f>
        <v>-10705888.479001293</v>
      </c>
      <c r="C44" s="2">
        <f>C43-'Deployment options'!C32</f>
        <v>-26663084.875241801</v>
      </c>
      <c r="D44" s="2">
        <f>D43-'Deployment options'!D32</f>
        <v>-46247363.250246815</v>
      </c>
      <c r="E44" s="2">
        <f>E43-'Deployment options'!E32</f>
        <v>-69028936.258911997</v>
      </c>
      <c r="F44" s="2">
        <f>F43-'Deployment options'!F32</f>
        <v>-94318214.607184425</v>
      </c>
      <c r="G44" s="2">
        <f>G43-'Deployment options'!H32</f>
        <v>-113809897.54773918</v>
      </c>
      <c r="H44" s="2">
        <f>H43-'Deployment options'!I32</f>
        <v>-132357088.30299319</v>
      </c>
    </row>
    <row r="45" spans="1:11" x14ac:dyDescent="0.25">
      <c r="A45" s="29" t="s">
        <v>7</v>
      </c>
      <c r="B45" s="3">
        <f t="shared" ref="B45:F45" si="61">AVERAGE(B43:B44)</f>
        <v>-5352944.2395006465</v>
      </c>
      <c r="C45" s="3">
        <f t="shared" si="61"/>
        <v>-18684486.677121546</v>
      </c>
      <c r="D45" s="3">
        <f t="shared" si="61"/>
        <v>-36455224.062744305</v>
      </c>
      <c r="E45" s="3">
        <f t="shared" si="61"/>
        <v>-57638149.75457941</v>
      </c>
      <c r="F45" s="33">
        <f t="shared" si="61"/>
        <v>-81673575.433048218</v>
      </c>
      <c r="G45" s="33">
        <f t="shared" ref="G45" si="62">AVERAGE(G43:G44)</f>
        <v>-104064056.07746181</v>
      </c>
      <c r="H45" s="33">
        <f t="shared" ref="H45" si="63">AVERAGE(H43:H44)</f>
        <v>-123083492.92536619</v>
      </c>
    </row>
    <row r="46" spans="1:11" x14ac:dyDescent="0.25">
      <c r="A46" s="31" t="s">
        <v>8</v>
      </c>
      <c r="B46" s="2">
        <f t="shared" ref="B46:F46" si="64">B40+B43</f>
        <v>0</v>
      </c>
      <c r="C46" s="2">
        <f t="shared" si="64"/>
        <v>38080683.927398711</v>
      </c>
      <c r="D46" s="2">
        <f t="shared" si="64"/>
        <v>86822909.9012582</v>
      </c>
      <c r="E46" s="2">
        <f t="shared" si="64"/>
        <v>130488714.46895319</v>
      </c>
      <c r="F46" s="32">
        <f t="shared" si="64"/>
        <v>161447421.282388</v>
      </c>
      <c r="G46" s="32">
        <f t="shared" ref="G46" si="65">G40+G43</f>
        <v>182405464.2075156</v>
      </c>
      <c r="H46" s="32">
        <f t="shared" ref="H46" si="66">H40+H43</f>
        <v>177286373.09516081</v>
      </c>
    </row>
    <row r="47" spans="1:11" x14ac:dyDescent="0.25">
      <c r="A47" s="31" t="s">
        <v>9</v>
      </c>
      <c r="B47" s="2">
        <f t="shared" ref="B47:F47" si="67">B41+B44</f>
        <v>38080683.927398711</v>
      </c>
      <c r="C47" s="2">
        <f t="shared" si="67"/>
        <v>86822909.9012582</v>
      </c>
      <c r="D47" s="2">
        <f t="shared" si="67"/>
        <v>130488714.46895319</v>
      </c>
      <c r="E47" s="2">
        <f t="shared" si="67"/>
        <v>161447421.282388</v>
      </c>
      <c r="F47" s="32">
        <f t="shared" si="67"/>
        <v>182405464.2075156</v>
      </c>
      <c r="G47" s="32">
        <f t="shared" ref="G47" si="68">G41+G44</f>
        <v>177286373.09516081</v>
      </c>
      <c r="H47" s="32">
        <f t="shared" ref="H47" si="69">H41+H44</f>
        <v>158739182.33990681</v>
      </c>
    </row>
    <row r="48" spans="1:11" x14ac:dyDescent="0.25">
      <c r="A48" s="29" t="s">
        <v>10</v>
      </c>
      <c r="B48" s="3">
        <f t="shared" ref="B48:F48" si="70">AVERAGE(B46:B47)</f>
        <v>19040341.963699356</v>
      </c>
      <c r="C48" s="3">
        <f t="shared" si="70"/>
        <v>62451796.914328456</v>
      </c>
      <c r="D48" s="3">
        <f t="shared" si="70"/>
        <v>108655812.1851057</v>
      </c>
      <c r="E48" s="3">
        <f t="shared" si="70"/>
        <v>145968067.87567061</v>
      </c>
      <c r="F48" s="33">
        <f t="shared" si="70"/>
        <v>171926442.74495178</v>
      </c>
      <c r="G48" s="33">
        <f t="shared" ref="G48" si="71">AVERAGE(G46:G47)</f>
        <v>179845918.65133822</v>
      </c>
      <c r="H48" s="33">
        <f t="shared" ref="H48" si="72">AVERAGE(H46:H47)</f>
        <v>168012777.71753383</v>
      </c>
    </row>
    <row r="49" spans="1:11" x14ac:dyDescent="0.25">
      <c r="A49" s="31" t="s">
        <v>11</v>
      </c>
      <c r="B49" s="2"/>
      <c r="C49" s="2"/>
      <c r="D49" s="2"/>
      <c r="E49" s="2"/>
      <c r="F49" s="32"/>
      <c r="G49" s="32"/>
      <c r="H49" s="32"/>
      <c r="I49" s="17"/>
      <c r="J49" s="18"/>
      <c r="K49" s="18"/>
    </row>
    <row r="50" spans="1:11" ht="15.75" thickBot="1" x14ac:dyDescent="0.3">
      <c r="A50" s="34" t="s">
        <v>12</v>
      </c>
      <c r="B50" s="35">
        <f t="shared" ref="B50:F50" si="73">SUM(B48:B49)</f>
        <v>19040341.963699356</v>
      </c>
      <c r="C50" s="35">
        <f t="shared" si="73"/>
        <v>62451796.914328456</v>
      </c>
      <c r="D50" s="35">
        <f t="shared" si="73"/>
        <v>108655812.1851057</v>
      </c>
      <c r="E50" s="35">
        <f t="shared" si="73"/>
        <v>145968067.87567061</v>
      </c>
      <c r="F50" s="36">
        <f t="shared" si="73"/>
        <v>171926442.74495178</v>
      </c>
      <c r="G50" s="36">
        <f t="shared" ref="G50" si="74">SUM(G48:G49)</f>
        <v>179845918.65133822</v>
      </c>
      <c r="H50" s="36">
        <f t="shared" ref="H50" si="75">SUM(H48:H49)</f>
        <v>168012777.71753383</v>
      </c>
      <c r="I50" s="17"/>
      <c r="J50" s="17"/>
      <c r="K50" s="17"/>
    </row>
    <row r="52" spans="1:11" ht="15.75" thickBot="1" x14ac:dyDescent="0.3"/>
    <row r="53" spans="1:11" x14ac:dyDescent="0.25">
      <c r="A53" s="91" t="s">
        <v>45</v>
      </c>
      <c r="B53" s="93" t="s">
        <v>1</v>
      </c>
      <c r="C53" s="93"/>
      <c r="D53" s="93"/>
      <c r="E53" s="93"/>
      <c r="F53" s="94"/>
    </row>
    <row r="54" spans="1:11" x14ac:dyDescent="0.25">
      <c r="A54" s="92"/>
      <c r="B54" s="21">
        <v>2027</v>
      </c>
      <c r="C54" s="21">
        <v>2028</v>
      </c>
      <c r="D54" s="21">
        <v>2029</v>
      </c>
      <c r="E54" s="21">
        <v>2030</v>
      </c>
      <c r="F54" s="30">
        <v>2031</v>
      </c>
      <c r="G54" s="30">
        <v>2032</v>
      </c>
      <c r="H54" s="30">
        <v>2033</v>
      </c>
    </row>
    <row r="55" spans="1:11" x14ac:dyDescent="0.25">
      <c r="A55" s="31" t="s">
        <v>2</v>
      </c>
      <c r="B55" s="2">
        <v>0</v>
      </c>
      <c r="C55" s="2">
        <f t="shared" ref="C55" si="76">B56</f>
        <v>56062566.554995231</v>
      </c>
      <c r="D55" s="2">
        <f t="shared" ref="D55" si="77">C56</f>
        <v>111111608.35364193</v>
      </c>
      <c r="E55" s="2">
        <f t="shared" ref="E55" si="78">D56</f>
        <v>159656028.58687854</v>
      </c>
      <c r="F55" s="32">
        <f t="shared" ref="F55" si="79">E56</f>
        <v>205380405.34991515</v>
      </c>
      <c r="G55" s="32">
        <f t="shared" ref="G55" si="80">F56</f>
        <v>247881513.64175177</v>
      </c>
      <c r="H55" s="32">
        <f t="shared" ref="H55" si="81">G56</f>
        <v>285931510.31470937</v>
      </c>
    </row>
    <row r="56" spans="1:11" x14ac:dyDescent="0.25">
      <c r="A56" s="31" t="s">
        <v>3</v>
      </c>
      <c r="B56" s="2">
        <f>B55+'Deployment options'!B38</f>
        <v>56062566.554995231</v>
      </c>
      <c r="C56" s="2">
        <f>C55+'Deployment options'!C38</f>
        <v>111111608.35364193</v>
      </c>
      <c r="D56" s="2">
        <f>D55+'Deployment options'!D38</f>
        <v>159656028.58687854</v>
      </c>
      <c r="E56" s="2">
        <f>E55+'Deployment options'!E38</f>
        <v>205380405.34991515</v>
      </c>
      <c r="F56" s="2">
        <f>F55+'Deployment options'!F38</f>
        <v>247881513.64175177</v>
      </c>
      <c r="G56" s="2">
        <f>G55+'Deployment options'!H38</f>
        <v>285931510.31470937</v>
      </c>
      <c r="H56" s="2">
        <f>H55+'Deployment options'!I38</f>
        <v>323614755.06336349</v>
      </c>
    </row>
    <row r="57" spans="1:11" x14ac:dyDescent="0.25">
      <c r="A57" s="29" t="s">
        <v>4</v>
      </c>
      <c r="B57" s="3">
        <f t="shared" ref="B57:F57" si="82">AVERAGE(B55:B56)</f>
        <v>28031283.277497616</v>
      </c>
      <c r="C57" s="3">
        <f t="shared" si="82"/>
        <v>83587087.454318583</v>
      </c>
      <c r="D57" s="3">
        <f t="shared" si="82"/>
        <v>135383818.47026023</v>
      </c>
      <c r="E57" s="3">
        <f t="shared" si="82"/>
        <v>182518216.96839684</v>
      </c>
      <c r="F57" s="33">
        <f t="shared" si="82"/>
        <v>226630959.49583346</v>
      </c>
      <c r="G57" s="33">
        <f t="shared" ref="G57:H57" si="83">AVERAGE(G55:G56)</f>
        <v>266906511.97823057</v>
      </c>
      <c r="H57" s="33">
        <f t="shared" si="83"/>
        <v>304773132.68903643</v>
      </c>
    </row>
    <row r="58" spans="1:11" x14ac:dyDescent="0.25">
      <c r="A58" s="31" t="s">
        <v>5</v>
      </c>
      <c r="B58" s="2">
        <v>0</v>
      </c>
      <c r="C58" s="2">
        <f t="shared" ref="C58" si="84">B59</f>
        <v>-9579954.7509440724</v>
      </c>
      <c r="D58" s="2">
        <f t="shared" ref="D58" si="85">C59</f>
        <v>-24205341.950692043</v>
      </c>
      <c r="E58" s="2">
        <f t="shared" ref="E58" si="86">D59</f>
        <v>-40838411.778245203</v>
      </c>
      <c r="F58" s="32">
        <f t="shared" ref="F58" si="87">E59</f>
        <v>-60590644.679376841</v>
      </c>
      <c r="G58" s="32">
        <f t="shared" ref="G58" si="88">F59</f>
        <v>-86486080.728125408</v>
      </c>
      <c r="H58" s="32">
        <f t="shared" ref="H58" si="89">G59</f>
        <v>-112820405.06186172</v>
      </c>
    </row>
    <row r="59" spans="1:11" x14ac:dyDescent="0.25">
      <c r="A59" s="31" t="s">
        <v>6</v>
      </c>
      <c r="B59" s="2">
        <f>B58-'Deployment options'!B41</f>
        <v>-9579954.7509440724</v>
      </c>
      <c r="C59" s="2">
        <f>C58-'Deployment options'!C41</f>
        <v>-24205341.950692043</v>
      </c>
      <c r="D59" s="2">
        <f>D58-'Deployment options'!D41</f>
        <v>-40838411.778245203</v>
      </c>
      <c r="E59" s="2">
        <f>E58-'Deployment options'!E41</f>
        <v>-60590644.679376841</v>
      </c>
      <c r="F59" s="2">
        <f>F58-'Deployment options'!F41</f>
        <v>-86486080.728125408</v>
      </c>
      <c r="G59" s="2">
        <f>G58-'Deployment options'!H41</f>
        <v>-112820405.06186172</v>
      </c>
      <c r="H59" s="2">
        <f>H58-'Deployment options'!I41</f>
        <v>-145629419.92307299</v>
      </c>
    </row>
    <row r="60" spans="1:11" x14ac:dyDescent="0.25">
      <c r="A60" s="29" t="s">
        <v>7</v>
      </c>
      <c r="B60" s="3">
        <f t="shared" ref="B60:F60" si="90">AVERAGE(B58:B59)</f>
        <v>-4789977.3754720362</v>
      </c>
      <c r="C60" s="3">
        <f t="shared" si="90"/>
        <v>-16892648.350818057</v>
      </c>
      <c r="D60" s="3">
        <f t="shared" si="90"/>
        <v>-32521876.864468623</v>
      </c>
      <c r="E60" s="3">
        <f t="shared" si="90"/>
        <v>-50714528.228811026</v>
      </c>
      <c r="F60" s="33">
        <f t="shared" si="90"/>
        <v>-73538362.703751117</v>
      </c>
      <c r="G60" s="33">
        <f t="shared" ref="G60:H60" si="91">AVERAGE(G58:G59)</f>
        <v>-99653242.894993573</v>
      </c>
      <c r="H60" s="33">
        <f t="shared" si="91"/>
        <v>-129224912.49246736</v>
      </c>
    </row>
    <row r="61" spans="1:11" x14ac:dyDescent="0.25">
      <c r="A61" s="31" t="s">
        <v>8</v>
      </c>
      <c r="B61" s="2">
        <f t="shared" ref="B61:F61" si="92">B55+B58</f>
        <v>0</v>
      </c>
      <c r="C61" s="2">
        <f t="shared" si="92"/>
        <v>46482611.804051161</v>
      </c>
      <c r="D61" s="2">
        <f t="shared" si="92"/>
        <v>86906266.402949885</v>
      </c>
      <c r="E61" s="2">
        <f t="shared" si="92"/>
        <v>118817616.80863333</v>
      </c>
      <c r="F61" s="32">
        <f t="shared" si="92"/>
        <v>144789760.67053831</v>
      </c>
      <c r="G61" s="32">
        <f t="shared" ref="G61:H61" si="93">G55+G58</f>
        <v>161395432.91362637</v>
      </c>
      <c r="H61" s="32">
        <f t="shared" si="93"/>
        <v>173111105.25284764</v>
      </c>
    </row>
    <row r="62" spans="1:11" x14ac:dyDescent="0.25">
      <c r="A62" s="31" t="s">
        <v>9</v>
      </c>
      <c r="B62" s="2">
        <f t="shared" ref="B62:F62" si="94">B56+B59</f>
        <v>46482611.804051161</v>
      </c>
      <c r="C62" s="2">
        <f t="shared" si="94"/>
        <v>86906266.402949885</v>
      </c>
      <c r="D62" s="2">
        <f t="shared" si="94"/>
        <v>118817616.80863333</v>
      </c>
      <c r="E62" s="2">
        <f t="shared" si="94"/>
        <v>144789760.67053831</v>
      </c>
      <c r="F62" s="32">
        <f t="shared" si="94"/>
        <v>161395432.91362637</v>
      </c>
      <c r="G62" s="32">
        <f t="shared" ref="G62:H62" si="95">G56+G59</f>
        <v>173111105.25284764</v>
      </c>
      <c r="H62" s="32">
        <f t="shared" si="95"/>
        <v>177985335.1402905</v>
      </c>
    </row>
    <row r="63" spans="1:11" x14ac:dyDescent="0.25">
      <c r="A63" s="29" t="s">
        <v>10</v>
      </c>
      <c r="B63" s="3">
        <f t="shared" ref="B63:F63" si="96">AVERAGE(B61:B62)</f>
        <v>23241305.90202558</v>
      </c>
      <c r="C63" s="3">
        <f t="shared" si="96"/>
        <v>66694439.103500523</v>
      </c>
      <c r="D63" s="3">
        <f t="shared" si="96"/>
        <v>102861941.6057916</v>
      </c>
      <c r="E63" s="3">
        <f t="shared" si="96"/>
        <v>131803688.73958582</v>
      </c>
      <c r="F63" s="33">
        <f t="shared" si="96"/>
        <v>153092596.79208234</v>
      </c>
      <c r="G63" s="33">
        <f t="shared" ref="G63:H63" si="97">AVERAGE(G61:G62)</f>
        <v>167253269.08323699</v>
      </c>
      <c r="H63" s="33">
        <f t="shared" si="97"/>
        <v>175548220.19656909</v>
      </c>
    </row>
    <row r="64" spans="1:11" x14ac:dyDescent="0.25">
      <c r="A64" s="31" t="s">
        <v>11</v>
      </c>
      <c r="B64" s="2"/>
      <c r="C64" s="2"/>
      <c r="D64" s="2"/>
      <c r="E64" s="2"/>
      <c r="F64" s="32"/>
      <c r="G64" s="32"/>
      <c r="H64" s="32"/>
      <c r="I64" s="17"/>
      <c r="J64" s="18"/>
      <c r="K64" s="18"/>
    </row>
    <row r="65" spans="1:11" ht="15.75" thickBot="1" x14ac:dyDescent="0.3">
      <c r="A65" s="34" t="s">
        <v>12</v>
      </c>
      <c r="B65" s="35">
        <f t="shared" ref="B65:F65" si="98">SUM(B63:B64)</f>
        <v>23241305.90202558</v>
      </c>
      <c r="C65" s="35">
        <f t="shared" si="98"/>
        <v>66694439.103500523</v>
      </c>
      <c r="D65" s="35">
        <f t="shared" si="98"/>
        <v>102861941.6057916</v>
      </c>
      <c r="E65" s="35">
        <f t="shared" si="98"/>
        <v>131803688.73958582</v>
      </c>
      <c r="F65" s="36">
        <f t="shared" si="98"/>
        <v>153092596.79208234</v>
      </c>
      <c r="G65" s="36">
        <f t="shared" ref="G65:H65" si="99">SUM(G63:G64)</f>
        <v>167253269.08323699</v>
      </c>
      <c r="H65" s="36">
        <f t="shared" si="99"/>
        <v>175548220.19656909</v>
      </c>
      <c r="I65" s="17"/>
      <c r="J65" s="17"/>
      <c r="K65" s="17"/>
    </row>
  </sheetData>
  <mergeCells count="8">
    <mergeCell ref="A38:A39"/>
    <mergeCell ref="A53:A54"/>
    <mergeCell ref="B8:F8"/>
    <mergeCell ref="B23:F23"/>
    <mergeCell ref="B38:F38"/>
    <mergeCell ref="B53:F53"/>
    <mergeCell ref="A8:A9"/>
    <mergeCell ref="A23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A603-C9B5-48A1-BB6F-3CB0DD43ED19}">
  <dimension ref="A1:K42"/>
  <sheetViews>
    <sheetView topLeftCell="A18" workbookViewId="0">
      <selection activeCell="N26" sqref="N26"/>
    </sheetView>
  </sheetViews>
  <sheetFormatPr defaultRowHeight="15" x14ac:dyDescent="0.25"/>
  <cols>
    <col min="1" max="1" width="27.85546875" customWidth="1"/>
    <col min="2" max="6" width="12.42578125" customWidth="1"/>
    <col min="7" max="7" width="14" bestFit="1" customWidth="1"/>
    <col min="8" max="9" width="12.42578125" customWidth="1"/>
    <col min="10" max="10" width="14" bestFit="1" customWidth="1"/>
    <col min="11" max="11" width="10.5703125" customWidth="1"/>
    <col min="12" max="12" width="14.140625" customWidth="1"/>
  </cols>
  <sheetData>
    <row r="1" spans="1:11" s="6" customFormat="1" x14ac:dyDescent="0.25">
      <c r="A1" s="5" t="s">
        <v>13</v>
      </c>
    </row>
    <row r="2" spans="1:11" s="6" customFormat="1" x14ac:dyDescent="0.25">
      <c r="A2" s="5" t="s">
        <v>0</v>
      </c>
    </row>
    <row r="3" spans="1:11" s="6" customFormat="1" x14ac:dyDescent="0.25">
      <c r="A3" s="5" t="s">
        <v>14</v>
      </c>
    </row>
    <row r="4" spans="1:11" s="6" customFormat="1" x14ac:dyDescent="0.25">
      <c r="A4" s="5" t="s">
        <v>55</v>
      </c>
    </row>
    <row r="5" spans="1:11" s="6" customFormat="1" ht="14.45" customHeight="1" x14ac:dyDescent="0.25">
      <c r="A5" s="5" t="s">
        <v>56</v>
      </c>
    </row>
    <row r="6" spans="1:11" s="6" customFormat="1" ht="14.45" customHeight="1" x14ac:dyDescent="0.25">
      <c r="A6" s="5"/>
    </row>
    <row r="7" spans="1:11" ht="21.75" thickBot="1" x14ac:dyDescent="0.4">
      <c r="A7" s="37"/>
    </row>
    <row r="8" spans="1:11" x14ac:dyDescent="0.25">
      <c r="A8" s="38" t="s">
        <v>34</v>
      </c>
      <c r="B8" s="43">
        <v>2027</v>
      </c>
      <c r="C8" s="43">
        <v>2028</v>
      </c>
      <c r="D8" s="43">
        <v>2029</v>
      </c>
      <c r="E8" s="43">
        <v>2030</v>
      </c>
      <c r="F8" s="43">
        <v>2031</v>
      </c>
      <c r="G8" s="44" t="s">
        <v>89</v>
      </c>
      <c r="H8" s="43">
        <v>2032</v>
      </c>
      <c r="I8" s="43">
        <v>2033</v>
      </c>
      <c r="J8" s="44" t="s">
        <v>90</v>
      </c>
    </row>
    <row r="9" spans="1:11" x14ac:dyDescent="0.25">
      <c r="A9" s="23" t="s">
        <v>87</v>
      </c>
      <c r="B9" s="45">
        <v>22667798</v>
      </c>
      <c r="C9" s="45">
        <v>14488065</v>
      </c>
      <c r="D9" s="45">
        <v>14500300</v>
      </c>
      <c r="E9" s="45">
        <v>0</v>
      </c>
      <c r="F9" s="45">
        <v>0</v>
      </c>
      <c r="G9" s="46">
        <f>SUM(B9:F9)</f>
        <v>51656163</v>
      </c>
      <c r="H9" s="45"/>
      <c r="I9" s="45"/>
      <c r="J9" s="46">
        <f>SUM(G9:I9)</f>
        <v>51656163</v>
      </c>
    </row>
    <row r="10" spans="1:11" x14ac:dyDescent="0.25">
      <c r="A10" s="23" t="s">
        <v>88</v>
      </c>
      <c r="B10" s="45">
        <v>26082726.6008</v>
      </c>
      <c r="C10" s="45">
        <v>99748641.185800001</v>
      </c>
      <c r="D10" s="45">
        <v>96063273.974000007</v>
      </c>
      <c r="E10" s="45">
        <v>1957264.3812754157</v>
      </c>
      <c r="F10" s="45">
        <v>2082733.5990908747</v>
      </c>
      <c r="G10" s="46">
        <f>SUM(B10:F10)</f>
        <v>225934639.74096629</v>
      </c>
      <c r="H10" s="45"/>
      <c r="I10" s="45"/>
      <c r="J10" s="46">
        <f>SUM(G10:I10)</f>
        <v>225934639.74096629</v>
      </c>
    </row>
    <row r="11" spans="1:11" x14ac:dyDescent="0.25">
      <c r="A11" s="28" t="s">
        <v>43</v>
      </c>
      <c r="B11" s="47">
        <f>SUM(B9:B10)</f>
        <v>48750524.6008</v>
      </c>
      <c r="C11" s="47">
        <f t="shared" ref="C11:F11" si="0">SUM(C9:C10)</f>
        <v>114236706.1858</v>
      </c>
      <c r="D11" s="47">
        <f t="shared" si="0"/>
        <v>110563573.97400001</v>
      </c>
      <c r="E11" s="47">
        <f t="shared" si="0"/>
        <v>1957264.3812754157</v>
      </c>
      <c r="F11" s="47">
        <f t="shared" si="0"/>
        <v>2082733.5990908747</v>
      </c>
      <c r="G11" s="48">
        <f>SUM(G9:G10)</f>
        <v>277590802.74096632</v>
      </c>
      <c r="H11" s="47">
        <f>SUM(H9:H10)</f>
        <v>0</v>
      </c>
      <c r="I11" s="47">
        <f t="shared" ref="I11" si="1">SUM(I9:I10)</f>
        <v>0</v>
      </c>
      <c r="J11" s="48">
        <f>SUM(J9:J10)</f>
        <v>277590802.74096632</v>
      </c>
    </row>
    <row r="12" spans="1:11" x14ac:dyDescent="0.25">
      <c r="A12" s="27" t="s">
        <v>42</v>
      </c>
      <c r="B12" s="45">
        <v>2529421.3625488859</v>
      </c>
      <c r="C12" s="45">
        <v>10613434.474700483</v>
      </c>
      <c r="D12" s="45">
        <v>20653415.124880813</v>
      </c>
      <c r="E12" s="45">
        <v>21565751.23427311</v>
      </c>
      <c r="F12" s="45">
        <v>21719890.530381728</v>
      </c>
      <c r="G12" s="26">
        <f>SUM(B12:F12)</f>
        <v>77081912.726785019</v>
      </c>
      <c r="H12" s="45">
        <v>22566543.978529654</v>
      </c>
      <c r="I12" s="45">
        <v>22566543.978529654</v>
      </c>
      <c r="J12" s="46">
        <f>SUM(G12:I12)</f>
        <v>122215000.68384433</v>
      </c>
    </row>
    <row r="13" spans="1:11" x14ac:dyDescent="0.25">
      <c r="A13" s="27" t="s">
        <v>39</v>
      </c>
      <c r="B13" s="45">
        <v>13603286.143813901</v>
      </c>
      <c r="C13" s="45">
        <v>13306208.6583468</v>
      </c>
      <c r="D13" s="45">
        <v>9680354.0421735998</v>
      </c>
      <c r="E13" s="45">
        <f>-5704343.4259196+1241</f>
        <v>-5703102.4259195998</v>
      </c>
      <c r="F13" s="45">
        <v>-5270546.5677141072</v>
      </c>
      <c r="G13" s="26">
        <f>SUM(B13:F13)</f>
        <v>25616199.850700598</v>
      </c>
      <c r="H13" s="45">
        <v>-4978852.7726816414</v>
      </c>
      <c r="I13" s="45">
        <v>-4240028.3475207994</v>
      </c>
      <c r="J13" s="46">
        <f>SUM(G13:I13)</f>
        <v>16397318.730498157</v>
      </c>
      <c r="K13" t="s">
        <v>92</v>
      </c>
    </row>
    <row r="14" spans="1:11" ht="15.75" thickBot="1" x14ac:dyDescent="0.3">
      <c r="A14" s="25" t="s">
        <v>40</v>
      </c>
      <c r="B14" s="49">
        <f>SUM(B12:B13)</f>
        <v>16132707.506362787</v>
      </c>
      <c r="C14" s="49">
        <f t="shared" ref="C14" si="2">SUM(C12:C13)</f>
        <v>23919643.133047283</v>
      </c>
      <c r="D14" s="49">
        <f t="shared" ref="D14" si="3">SUM(D12:D13)</f>
        <v>30333769.167054415</v>
      </c>
      <c r="E14" s="49">
        <f t="shared" ref="E14" si="4">SUM(E12:E13)</f>
        <v>15862648.80835351</v>
      </c>
      <c r="F14" s="49">
        <f t="shared" ref="F14" si="5">SUM(F12:F13)</f>
        <v>16449343.962667622</v>
      </c>
      <c r="G14" s="50">
        <f t="shared" ref="G14" si="6">SUM(G12:G13)</f>
        <v>102698112.57748562</v>
      </c>
      <c r="H14" s="49">
        <f>SUM(H12:H13)</f>
        <v>17587691.205848012</v>
      </c>
      <c r="I14" s="49">
        <f t="shared" ref="I14:J14" si="7">SUM(I12:I13)</f>
        <v>18326515.631008856</v>
      </c>
      <c r="J14" s="50">
        <f t="shared" si="7"/>
        <v>138612319.41434249</v>
      </c>
    </row>
    <row r="15" spans="1:11" x14ac:dyDescent="0.25">
      <c r="A15" s="27"/>
      <c r="B15" s="45"/>
      <c r="C15" s="45"/>
      <c r="D15" s="45"/>
      <c r="H15" s="45"/>
      <c r="I15" s="45"/>
    </row>
    <row r="16" spans="1:11" ht="15.75" thickBot="1" x14ac:dyDescent="0.3">
      <c r="A16" s="27"/>
      <c r="B16" s="45"/>
      <c r="C16" s="45"/>
      <c r="D16" s="45"/>
      <c r="E16" s="45"/>
      <c r="F16" s="45"/>
      <c r="H16" s="45"/>
      <c r="I16" s="45"/>
    </row>
    <row r="17" spans="1:11" x14ac:dyDescent="0.25">
      <c r="A17" s="24" t="s">
        <v>35</v>
      </c>
      <c r="B17" s="43">
        <v>2027</v>
      </c>
      <c r="C17" s="43">
        <v>2028</v>
      </c>
      <c r="D17" s="43">
        <v>2029</v>
      </c>
      <c r="E17" s="43">
        <v>2030</v>
      </c>
      <c r="F17" s="43">
        <v>2031</v>
      </c>
      <c r="G17" s="44" t="s">
        <v>89</v>
      </c>
      <c r="H17" s="43">
        <v>2032</v>
      </c>
      <c r="I17" s="43">
        <v>2033</v>
      </c>
      <c r="J17" s="44" t="s">
        <v>90</v>
      </c>
    </row>
    <row r="18" spans="1:11" x14ac:dyDescent="0.25">
      <c r="A18" s="23" t="s">
        <v>87</v>
      </c>
      <c r="B18" s="45">
        <v>22667797.5013</v>
      </c>
      <c r="C18" s="45">
        <v>7877017.7987999991</v>
      </c>
      <c r="D18" s="45">
        <v>7889253.2999999998</v>
      </c>
      <c r="E18" s="45">
        <v>7578248.7477000002</v>
      </c>
      <c r="F18" s="45">
        <v>5643843.5500000007</v>
      </c>
      <c r="G18" s="26">
        <f t="shared" ref="G18:G19" si="8">SUM(B18:F18)</f>
        <v>51656160.897799999</v>
      </c>
      <c r="H18" s="79"/>
      <c r="I18" s="45"/>
      <c r="J18" s="46">
        <f>SUM(G18:I18)</f>
        <v>51656160.897799999</v>
      </c>
    </row>
    <row r="19" spans="1:11" x14ac:dyDescent="0.25">
      <c r="A19" s="23" t="s">
        <v>88</v>
      </c>
      <c r="B19" s="45">
        <v>26239902.675699994</v>
      </c>
      <c r="C19" s="45">
        <v>56721404.775900014</v>
      </c>
      <c r="D19" s="45">
        <v>55547145.985300004</v>
      </c>
      <c r="E19" s="45">
        <v>51545497.129799999</v>
      </c>
      <c r="F19" s="45">
        <v>49386159.178399995</v>
      </c>
      <c r="G19" s="26">
        <f t="shared" si="8"/>
        <v>239440109.74510002</v>
      </c>
      <c r="H19" s="79"/>
      <c r="I19" s="45"/>
      <c r="J19" s="46">
        <f>SUM(G19:I19)</f>
        <v>239440109.74510002</v>
      </c>
    </row>
    <row r="20" spans="1:11" x14ac:dyDescent="0.25">
      <c r="A20" s="28" t="s">
        <v>43</v>
      </c>
      <c r="B20" s="47">
        <f>SUM(B18:B19)</f>
        <v>48907700.176999994</v>
      </c>
      <c r="C20" s="47">
        <f t="shared" ref="C20:G20" si="9">SUM(C18:C19)</f>
        <v>64598422.574700013</v>
      </c>
      <c r="D20" s="47">
        <f t="shared" si="9"/>
        <v>63436399.285300002</v>
      </c>
      <c r="E20" s="47">
        <f t="shared" si="9"/>
        <v>59123745.877499998</v>
      </c>
      <c r="F20" s="47">
        <f t="shared" si="9"/>
        <v>55030002.728399992</v>
      </c>
      <c r="G20" s="48">
        <f t="shared" si="9"/>
        <v>291096270.64289999</v>
      </c>
      <c r="H20" s="80">
        <f>SUM(H18:H19)</f>
        <v>0</v>
      </c>
      <c r="I20" s="47">
        <f t="shared" ref="I20" si="10">SUM(I18:I19)</f>
        <v>0</v>
      </c>
      <c r="J20" s="48">
        <f>SUM(J18:J19)</f>
        <v>291096270.64289999</v>
      </c>
    </row>
    <row r="21" spans="1:11" x14ac:dyDescent="0.25">
      <c r="A21" s="27" t="s">
        <v>42</v>
      </c>
      <c r="B21" s="45">
        <v>2125552.5266691819</v>
      </c>
      <c r="C21" s="45">
        <v>8479053.4248966239</v>
      </c>
      <c r="D21" s="45">
        <v>15221179.266643699</v>
      </c>
      <c r="E21" s="45">
        <v>20548589.017029416</v>
      </c>
      <c r="F21" s="45">
        <v>24210243.877307467</v>
      </c>
      <c r="G21" s="26">
        <f>SUM(B21:F21)</f>
        <v>70584618.112546384</v>
      </c>
      <c r="H21" s="79">
        <v>23336387.861334641</v>
      </c>
      <c r="I21" s="45">
        <v>23575775.286830042</v>
      </c>
      <c r="J21" s="46">
        <f>SUM(G21:I21)</f>
        <v>117496781.26071106</v>
      </c>
    </row>
    <row r="22" spans="1:11" x14ac:dyDescent="0.25">
      <c r="A22" s="27" t="s">
        <v>39</v>
      </c>
      <c r="B22" s="45">
        <v>8750626.5466408208</v>
      </c>
      <c r="C22" s="45">
        <v>7691166.3500688737</v>
      </c>
      <c r="D22" s="45">
        <v>4449161.3510835068</v>
      </c>
      <c r="E22" s="45">
        <v>2797944.6907498268</v>
      </c>
      <c r="F22" s="45">
        <v>1927300.8284376701</v>
      </c>
      <c r="G22" s="26">
        <f>SUM(B22:F22)</f>
        <v>25616199.7669807</v>
      </c>
      <c r="H22" s="45">
        <v>-4978852.7726816414</v>
      </c>
      <c r="I22" s="45">
        <v>-4240028.3475207994</v>
      </c>
      <c r="J22" s="46">
        <f>SUM(G22:I22)</f>
        <v>16397318.646778259</v>
      </c>
      <c r="K22" t="s">
        <v>93</v>
      </c>
    </row>
    <row r="23" spans="1:11" ht="15.75" thickBot="1" x14ac:dyDescent="0.3">
      <c r="A23" s="25" t="s">
        <v>40</v>
      </c>
      <c r="B23" s="51">
        <f>SUM(B21:B22)</f>
        <v>10876179.073310003</v>
      </c>
      <c r="C23" s="51">
        <f t="shared" ref="C23" si="11">SUM(C21:C22)</f>
        <v>16170219.774965499</v>
      </c>
      <c r="D23" s="51">
        <f t="shared" ref="D23" si="12">SUM(D21:D22)</f>
        <v>19670340.617727205</v>
      </c>
      <c r="E23" s="51">
        <f t="shared" ref="E23" si="13">SUM(E21:E22)</f>
        <v>23346533.707779244</v>
      </c>
      <c r="F23" s="51">
        <f t="shared" ref="F23" si="14">SUM(F21:F22)</f>
        <v>26137544.705745138</v>
      </c>
      <c r="G23" s="52">
        <f t="shared" ref="G23" si="15">SUM(G21:G22)</f>
        <v>96200817.879527092</v>
      </c>
      <c r="H23" s="81">
        <f>SUM(H21:H22)</f>
        <v>18357535.088652998</v>
      </c>
      <c r="I23" s="51">
        <f t="shared" ref="I23:J23" si="16">SUM(I21:I22)</f>
        <v>19335746.939309243</v>
      </c>
      <c r="J23" s="50">
        <f t="shared" si="16"/>
        <v>133894099.90748931</v>
      </c>
    </row>
    <row r="24" spans="1:11" x14ac:dyDescent="0.25">
      <c r="B24" s="53"/>
      <c r="C24" s="53"/>
      <c r="D24" s="53"/>
      <c r="H24" s="53"/>
      <c r="I24" s="53"/>
    </row>
    <row r="25" spans="1:11" ht="15.75" thickBot="1" x14ac:dyDescent="0.3"/>
    <row r="26" spans="1:11" x14ac:dyDescent="0.25">
      <c r="A26" s="24" t="s">
        <v>36</v>
      </c>
      <c r="B26" s="43">
        <v>2027</v>
      </c>
      <c r="C26" s="43">
        <v>2028</v>
      </c>
      <c r="D26" s="43">
        <v>2029</v>
      </c>
      <c r="E26" s="43">
        <v>2030</v>
      </c>
      <c r="F26" s="43">
        <v>2031</v>
      </c>
      <c r="G26" s="44" t="s">
        <v>89</v>
      </c>
      <c r="H26" s="43">
        <v>2032</v>
      </c>
      <c r="I26" s="43">
        <v>2033</v>
      </c>
      <c r="J26" s="44" t="s">
        <v>90</v>
      </c>
    </row>
    <row r="27" spans="1:11" x14ac:dyDescent="0.25">
      <c r="A27" s="23" t="s">
        <v>87</v>
      </c>
      <c r="B27" s="45">
        <v>22366746.282600004</v>
      </c>
      <c r="C27" s="45">
        <v>7602939.5966000007</v>
      </c>
      <c r="D27" s="45">
        <v>7556986.1046000011</v>
      </c>
      <c r="E27" s="45">
        <v>7229626.5216000006</v>
      </c>
      <c r="F27" s="45">
        <v>5393622.0021000011</v>
      </c>
      <c r="G27" s="26">
        <f>SUM(B27:F27)</f>
        <v>50149920.507500008</v>
      </c>
      <c r="H27" s="45"/>
      <c r="I27" s="45"/>
      <c r="J27" s="46">
        <f>SUM(G27:I27)</f>
        <v>50149920.507500008</v>
      </c>
    </row>
    <row r="28" spans="1:11" x14ac:dyDescent="0.25">
      <c r="A28" s="23" t="s">
        <v>88</v>
      </c>
      <c r="B28" s="45">
        <v>26419826.123799998</v>
      </c>
      <c r="C28" s="45">
        <v>57096482.773499995</v>
      </c>
      <c r="D28" s="45">
        <v>55693096.838100001</v>
      </c>
      <c r="E28" s="45">
        <v>46510653.300499998</v>
      </c>
      <c r="F28" s="45">
        <v>40853699.271300003</v>
      </c>
      <c r="G28" s="26">
        <f>SUM(B28:F28)</f>
        <v>226573758.30720001</v>
      </c>
      <c r="H28" s="45">
        <v>14372591.828199999</v>
      </c>
      <c r="I28" s="45"/>
      <c r="J28" s="46">
        <f>SUM(G28:I28)</f>
        <v>240946350.13540003</v>
      </c>
    </row>
    <row r="29" spans="1:11" x14ac:dyDescent="0.25">
      <c r="A29" s="28" t="s">
        <v>43</v>
      </c>
      <c r="B29" s="47">
        <f>SUM(B27:B28)</f>
        <v>48786572.406400003</v>
      </c>
      <c r="C29" s="47">
        <f t="shared" ref="C29:G29" si="17">SUM(C27:C28)</f>
        <v>64699422.370099999</v>
      </c>
      <c r="D29" s="47">
        <f t="shared" si="17"/>
        <v>63250082.942699999</v>
      </c>
      <c r="E29" s="47">
        <f t="shared" si="17"/>
        <v>53740279.822099999</v>
      </c>
      <c r="F29" s="47">
        <f t="shared" si="17"/>
        <v>46247321.273400001</v>
      </c>
      <c r="G29" s="48">
        <f t="shared" si="17"/>
        <v>276723678.81470001</v>
      </c>
      <c r="H29" s="47">
        <f>SUM(H27:H28)</f>
        <v>14372591.828199999</v>
      </c>
      <c r="I29" s="47">
        <f t="shared" ref="I29" si="18">SUM(I27:I28)</f>
        <v>0</v>
      </c>
      <c r="J29" s="48">
        <f>SUM(J27:J28)</f>
        <v>291096270.64290005</v>
      </c>
    </row>
    <row r="30" spans="1:11" x14ac:dyDescent="0.25">
      <c r="A30" s="27" t="s">
        <v>42</v>
      </c>
      <c r="B30" s="45">
        <v>2097067.1581166771</v>
      </c>
      <c r="C30" s="45">
        <v>8364293.0577679882</v>
      </c>
      <c r="D30" s="45">
        <v>15174494.288961105</v>
      </c>
      <c r="E30" s="45">
        <v>20043870.175128806</v>
      </c>
      <c r="F30" s="45">
        <v>23433249.303236328</v>
      </c>
      <c r="G30" s="26">
        <f>SUM(B30:F30)</f>
        <v>69112973.983210891</v>
      </c>
      <c r="H30" s="45">
        <v>24059576.570229229</v>
      </c>
      <c r="I30" s="45">
        <v>22787219.102774814</v>
      </c>
      <c r="J30" s="46">
        <f>SUM(G30:I30)</f>
        <v>115959769.65621494</v>
      </c>
    </row>
    <row r="31" spans="1:11" x14ac:dyDescent="0.25">
      <c r="A31" s="23" t="s">
        <v>39</v>
      </c>
      <c r="B31" s="45">
        <v>8608821.3208846152</v>
      </c>
      <c r="C31" s="45">
        <v>7592903.3384725181</v>
      </c>
      <c r="D31" s="45">
        <v>4409784.0860439101</v>
      </c>
      <c r="E31" s="45">
        <v>2737702.8335363837</v>
      </c>
      <c r="F31" s="45">
        <v>1856029.0450360971</v>
      </c>
      <c r="G31" s="26">
        <f>SUM(B31:F31)</f>
        <v>25205240.623973522</v>
      </c>
      <c r="H31" s="45">
        <v>-4567893.6296744831</v>
      </c>
      <c r="I31" s="45">
        <v>-4240028.3475207994</v>
      </c>
      <c r="J31" s="46">
        <f>SUM(G31:I31)</f>
        <v>16397318.646778241</v>
      </c>
      <c r="K31" t="s">
        <v>93</v>
      </c>
    </row>
    <row r="32" spans="1:11" ht="15.75" thickBot="1" x14ac:dyDescent="0.3">
      <c r="A32" s="25" t="s">
        <v>40</v>
      </c>
      <c r="B32" s="51">
        <f>SUM(B30:B31)</f>
        <v>10705888.479001293</v>
      </c>
      <c r="C32" s="51">
        <f t="shared" ref="C32" si="19">SUM(C30:C31)</f>
        <v>15957196.396240506</v>
      </c>
      <c r="D32" s="51">
        <f t="shared" ref="D32" si="20">SUM(D30:D31)</f>
        <v>19584278.375005014</v>
      </c>
      <c r="E32" s="51">
        <f t="shared" ref="E32" si="21">SUM(E30:E31)</f>
        <v>22781573.008665189</v>
      </c>
      <c r="F32" s="51">
        <f t="shared" ref="F32" si="22">SUM(F30:F31)</f>
        <v>25289278.348272424</v>
      </c>
      <c r="G32" s="52">
        <f t="shared" ref="G32" si="23">SUM(G30:G31)</f>
        <v>94318214.60718441</v>
      </c>
      <c r="H32" s="51">
        <f>SUM(H30:H31)</f>
        <v>19491682.940554745</v>
      </c>
      <c r="I32" s="51">
        <f t="shared" ref="I32:J32" si="24">SUM(I30:I31)</f>
        <v>18547190.755254015</v>
      </c>
      <c r="J32" s="50">
        <f t="shared" si="24"/>
        <v>132357088.30299318</v>
      </c>
    </row>
    <row r="33" spans="1:10" ht="27.6" customHeight="1" x14ac:dyDescent="0.25">
      <c r="B33" s="53"/>
      <c r="C33" s="53"/>
      <c r="D33" s="53"/>
      <c r="H33" s="53"/>
      <c r="I33" s="53"/>
    </row>
    <row r="34" spans="1:10" ht="15.75" thickBot="1" x14ac:dyDescent="0.3">
      <c r="B34" s="4"/>
      <c r="C34" s="4"/>
      <c r="D34" s="4"/>
      <c r="E34" s="4"/>
      <c r="F34" s="4"/>
      <c r="H34" s="4"/>
      <c r="I34" s="4"/>
    </row>
    <row r="35" spans="1:10" x14ac:dyDescent="0.25">
      <c r="A35" s="24" t="s">
        <v>37</v>
      </c>
      <c r="B35" s="43">
        <v>2027</v>
      </c>
      <c r="C35" s="43">
        <v>2028</v>
      </c>
      <c r="D35" s="43">
        <v>2029</v>
      </c>
      <c r="E35" s="43">
        <v>2030</v>
      </c>
      <c r="F35" s="43">
        <v>2031</v>
      </c>
      <c r="G35" s="44" t="s">
        <v>89</v>
      </c>
      <c r="H35" s="43">
        <v>2032</v>
      </c>
      <c r="I35" s="43">
        <v>2033</v>
      </c>
      <c r="J35" s="44" t="s">
        <v>90</v>
      </c>
    </row>
    <row r="36" spans="1:10" x14ac:dyDescent="0.25">
      <c r="A36" s="23" t="s">
        <v>87</v>
      </c>
      <c r="B36" s="45">
        <v>22667797.5013</v>
      </c>
      <c r="C36" s="45">
        <v>7877017.7987999991</v>
      </c>
      <c r="D36" s="45">
        <v>7889253.2999999998</v>
      </c>
      <c r="E36" s="45">
        <v>7578248.7477000002</v>
      </c>
      <c r="F36" s="45">
        <v>5643843.5500000007</v>
      </c>
      <c r="G36" s="26">
        <f t="shared" ref="G36:G37" si="25">SUM(B36:F36)</f>
        <v>51656160.897799999</v>
      </c>
      <c r="H36" s="79"/>
      <c r="I36" s="45"/>
      <c r="J36" s="46">
        <f>SUM(G36:I36)</f>
        <v>51656160.897799999</v>
      </c>
    </row>
    <row r="37" spans="1:10" ht="19.5" customHeight="1" x14ac:dyDescent="0.25">
      <c r="A37" s="23" t="s">
        <v>88</v>
      </c>
      <c r="B37" s="45">
        <v>33394769.053695232</v>
      </c>
      <c r="C37" s="45">
        <v>47172023.999846704</v>
      </c>
      <c r="D37" s="45">
        <v>40655166.933236621</v>
      </c>
      <c r="E37" s="45">
        <v>38146128.015336618</v>
      </c>
      <c r="F37" s="45">
        <v>36857264.741836607</v>
      </c>
      <c r="G37" s="26">
        <f t="shared" si="25"/>
        <v>196225352.7439518</v>
      </c>
      <c r="H37" s="79">
        <v>38049996.672957599</v>
      </c>
      <c r="I37" s="45">
        <v>37683244.748654105</v>
      </c>
      <c r="J37" s="46">
        <f>SUM(G37:I37)</f>
        <v>271958594.16556352</v>
      </c>
    </row>
    <row r="38" spans="1:10" x14ac:dyDescent="0.25">
      <c r="A38" s="28" t="s">
        <v>43</v>
      </c>
      <c r="B38" s="47">
        <f>SUM(B36:B37)</f>
        <v>56062566.554995231</v>
      </c>
      <c r="C38" s="47">
        <f t="shared" ref="C38:F38" si="26">SUM(C36:C37)</f>
        <v>55049041.798646703</v>
      </c>
      <c r="D38" s="47">
        <f t="shared" si="26"/>
        <v>48544420.233236618</v>
      </c>
      <c r="E38" s="47">
        <f t="shared" si="26"/>
        <v>45724376.763036616</v>
      </c>
      <c r="F38" s="47">
        <f t="shared" si="26"/>
        <v>42501108.291836604</v>
      </c>
      <c r="G38" s="48">
        <f>SUM(G36:G37)</f>
        <v>247881513.6417518</v>
      </c>
      <c r="H38" s="80">
        <f>SUM(H36:H37)</f>
        <v>38049996.672957599</v>
      </c>
      <c r="I38" s="47">
        <f t="shared" ref="I38" si="27">SUM(I36:I37)</f>
        <v>37683244.748654105</v>
      </c>
      <c r="J38" s="48">
        <f>SUM(J36:J37)</f>
        <v>323614755.06336355</v>
      </c>
    </row>
    <row r="39" spans="1:10" x14ac:dyDescent="0.25">
      <c r="A39" s="23" t="s">
        <v>42</v>
      </c>
      <c r="B39" s="45">
        <v>2398226.0585713177</v>
      </c>
      <c r="C39" s="54">
        <v>9041864.8261270728</v>
      </c>
      <c r="D39" s="54">
        <v>15323980.216829736</v>
      </c>
      <c r="E39" s="54">
        <v>18936457.502281308</v>
      </c>
      <c r="F39" s="54">
        <v>25121922.796793949</v>
      </c>
      <c r="G39" s="26">
        <f>SUM(B39:F39)</f>
        <v>70822451.400603384</v>
      </c>
      <c r="H39" s="45">
        <v>26224926.581072822</v>
      </c>
      <c r="I39" s="45">
        <v>32184723.294618517</v>
      </c>
      <c r="J39" s="46">
        <f>SUM(G39:I39)</f>
        <v>129232101.27629472</v>
      </c>
    </row>
    <row r="40" spans="1:10" x14ac:dyDescent="0.25">
      <c r="A40" s="23" t="s">
        <v>39</v>
      </c>
      <c r="B40" s="45">
        <v>7181728.6923727551</v>
      </c>
      <c r="C40" s="45">
        <v>5583522.3736208985</v>
      </c>
      <c r="D40" s="45">
        <v>1309089.6107234247</v>
      </c>
      <c r="E40" s="45">
        <v>815775.39885033108</v>
      </c>
      <c r="F40" s="45">
        <v>773513.25195461512</v>
      </c>
      <c r="G40" s="26">
        <f>SUM(B40:F40)</f>
        <v>15663629.327522025</v>
      </c>
      <c r="H40" s="79">
        <v>109397.75266350061</v>
      </c>
      <c r="I40" s="45">
        <v>624291.56659274362</v>
      </c>
      <c r="J40" s="46">
        <f>SUM(G40:I40)</f>
        <v>16397318.646778269</v>
      </c>
    </row>
    <row r="41" spans="1:10" ht="15.75" thickBot="1" x14ac:dyDescent="0.3">
      <c r="A41" s="25" t="s">
        <v>40</v>
      </c>
      <c r="B41" s="51">
        <f>SUM(B39:B40)</f>
        <v>9579954.7509440724</v>
      </c>
      <c r="C41" s="51">
        <f t="shared" ref="C41" si="28">SUM(C39:C40)</f>
        <v>14625387.199747972</v>
      </c>
      <c r="D41" s="51">
        <f t="shared" ref="D41" si="29">SUM(D39:D40)</f>
        <v>16633069.82755316</v>
      </c>
      <c r="E41" s="51">
        <f t="shared" ref="E41" si="30">SUM(E39:E40)</f>
        <v>19752232.901131637</v>
      </c>
      <c r="F41" s="51">
        <f t="shared" ref="F41" si="31">SUM(F39:F40)</f>
        <v>25895436.048748564</v>
      </c>
      <c r="G41" s="52">
        <f t="shared" ref="G41" si="32">SUM(G39:G40)</f>
        <v>86486080.728125408</v>
      </c>
      <c r="H41" s="81">
        <f>SUM(H39:H40)</f>
        <v>26334324.333736323</v>
      </c>
      <c r="I41" s="51">
        <f t="shared" ref="I41:J41" si="33">SUM(I39:I40)</f>
        <v>32809014.861211263</v>
      </c>
      <c r="J41" s="50">
        <f t="shared" si="33"/>
        <v>145629419.92307299</v>
      </c>
    </row>
    <row r="42" spans="1:10" x14ac:dyDescent="0.25">
      <c r="B42" s="53"/>
      <c r="C42" s="53"/>
      <c r="D42" s="53"/>
      <c r="H42" s="53"/>
      <c r="I42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C286AD-DB69-4F4B-B5A1-DC3FD2C6C85C}"/>
</file>

<file path=customXml/itemProps2.xml><?xml version="1.0" encoding="utf-8"?>
<ds:datastoreItem xmlns:ds="http://schemas.openxmlformats.org/officeDocument/2006/customXml" ds:itemID="{13E6B330-CFFD-4642-B63A-473AAE8EBB94}">
  <ds:schemaRefs>
    <ds:schemaRef ds:uri="c4ac414c-25a2-4ad1-8aac-59589dae9f3b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5907537-7FA3-4E70-816E-3F406B468F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Revenue Requirements</vt:lpstr>
      <vt:lpstr>PILs Impact</vt:lpstr>
      <vt:lpstr>Rate Base</vt:lpstr>
      <vt:lpstr>Deployment options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JT-3.57</dc:title>
  <dc:creator>Edlira Gjevori</dc:creator>
  <cp:lastModifiedBy>Edlira Gjevori</cp:lastModifiedBy>
  <dcterms:created xsi:type="dcterms:W3CDTF">2026-01-23T21:31:18Z</dcterms:created>
  <dcterms:modified xsi:type="dcterms:W3CDTF">2026-03-25T14:11:53Z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