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lexiconenergy.sharepoint.com/sites/EarlyRebasingApplication-ExhibitsWorkingDrafts/Shared Documents/ERA/Exhibit 9 (DVAs)/0.3 Evidence Update/Drafts/"/>
    </mc:Choice>
  </mc:AlternateContent>
  <xr:revisionPtr revIDLastSave="11" documentId="13_ncr:1_{B07B9E36-EF81-4447-B740-65B228423DC9}" xr6:coauthVersionLast="47" xr6:coauthVersionMax="47" xr10:uidLastSave="{23215601-D883-4533-9F5C-4452B769EC89}"/>
  <bookViews>
    <workbookView xWindow="-120" yWindow="-120" windowWidth="29040" windowHeight="15720" tabRatio="939" xr2:uid="{00000000-000D-0000-FFFF-FFFF00000000}"/>
  </bookViews>
  <sheets>
    <sheet name="Summary" sheetId="15" r:id="rId1"/>
    <sheet name="CCA - w accelerated" sheetId="17" r:id="rId2"/>
    <sheet name="CCA - wo accelerated" sheetId="2" r:id="rId3"/>
    <sheet name="cap add 16 Q3 proj" sheetId="1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5" l="1"/>
  <c r="I232" i="17"/>
  <c r="D279" i="2"/>
  <c r="H279" i="2" s="1"/>
  <c r="H282" i="2"/>
  <c r="D284" i="2"/>
  <c r="H284" i="2" s="1"/>
  <c r="L299" i="2"/>
  <c r="K299" i="2"/>
  <c r="G299" i="2"/>
  <c r="F299" i="2"/>
  <c r="E299" i="2"/>
  <c r="H298" i="2"/>
  <c r="J297" i="2"/>
  <c r="I297" i="2"/>
  <c r="M297" i="2" s="1"/>
  <c r="H297" i="2"/>
  <c r="N297" i="2" s="1"/>
  <c r="J295" i="2"/>
  <c r="I295" i="2"/>
  <c r="M295" i="2" s="1"/>
  <c r="H295" i="2"/>
  <c r="H293" i="2"/>
  <c r="J292" i="2"/>
  <c r="I292" i="2"/>
  <c r="H292" i="2"/>
  <c r="H291" i="2"/>
  <c r="H290" i="2"/>
  <c r="H289" i="2"/>
  <c r="J288" i="2"/>
  <c r="I288" i="2"/>
  <c r="H288" i="2"/>
  <c r="H287" i="2"/>
  <c r="H286" i="2"/>
  <c r="J285" i="2"/>
  <c r="I285" i="2"/>
  <c r="J282" i="2"/>
  <c r="I282" i="2"/>
  <c r="H280" i="2"/>
  <c r="J279" i="2"/>
  <c r="I279" i="2"/>
  <c r="M279" i="2" s="1"/>
  <c r="M285" i="2" l="1"/>
  <c r="N279" i="2"/>
  <c r="M282" i="2"/>
  <c r="N282" i="2" s="1"/>
  <c r="M288" i="2"/>
  <c r="N295" i="2"/>
  <c r="M292" i="2"/>
  <c r="N292" i="2" s="1"/>
  <c r="N288" i="2"/>
  <c r="J266" i="2" l="1"/>
  <c r="I266" i="2"/>
  <c r="M266" i="2" s="1"/>
  <c r="H266" i="2"/>
  <c r="H265" i="2"/>
  <c r="J240" i="2"/>
  <c r="I240" i="2"/>
  <c r="M240" i="2" s="1"/>
  <c r="H240" i="2"/>
  <c r="H239" i="2"/>
  <c r="J214" i="2"/>
  <c r="I214" i="2"/>
  <c r="M214" i="2" s="1"/>
  <c r="H214" i="2"/>
  <c r="N214" i="2" s="1"/>
  <c r="C240" i="2" s="1"/>
  <c r="J188" i="2"/>
  <c r="I188" i="2"/>
  <c r="M188" i="2" s="1"/>
  <c r="H188" i="2"/>
  <c r="H187" i="2"/>
  <c r="I162" i="2"/>
  <c r="H162" i="2"/>
  <c r="J247" i="17"/>
  <c r="J220" i="17"/>
  <c r="J193" i="17"/>
  <c r="J5" i="2"/>
  <c r="J162" i="2"/>
  <c r="M162" i="2" l="1"/>
  <c r="N240" i="2"/>
  <c r="N162" i="2"/>
  <c r="C188" i="2" s="1"/>
  <c r="N188" i="2"/>
  <c r="C214" i="2" s="1"/>
  <c r="N266" i="2"/>
  <c r="C292" i="2" s="1"/>
  <c r="C266" i="2"/>
  <c r="I247" i="17" l="1"/>
  <c r="M247" i="17" l="1"/>
  <c r="N247" i="17" s="1"/>
  <c r="I165" i="17"/>
  <c r="J166" i="17"/>
  <c r="M165" i="17" l="1"/>
  <c r="N165" i="17" s="1"/>
  <c r="L273" i="2" l="1"/>
  <c r="K273" i="2"/>
  <c r="G273" i="2"/>
  <c r="F273" i="2"/>
  <c r="E273" i="2"/>
  <c r="H272" i="2"/>
  <c r="J271" i="2"/>
  <c r="I271" i="2"/>
  <c r="M271" i="2" s="1"/>
  <c r="H271" i="2"/>
  <c r="J269" i="2"/>
  <c r="I269" i="2"/>
  <c r="M269" i="2" s="1"/>
  <c r="H269" i="2"/>
  <c r="H267" i="2"/>
  <c r="H264" i="2"/>
  <c r="H263" i="2"/>
  <c r="J262" i="2"/>
  <c r="I262" i="2"/>
  <c r="M262" i="2" s="1"/>
  <c r="H262" i="2"/>
  <c r="H261" i="2"/>
  <c r="H260" i="2"/>
  <c r="J259" i="2"/>
  <c r="I259" i="2"/>
  <c r="M259" i="2" s="1"/>
  <c r="H258" i="2"/>
  <c r="J256" i="2"/>
  <c r="I256" i="2"/>
  <c r="M256" i="2" s="1"/>
  <c r="H256" i="2"/>
  <c r="N256" i="2" s="1"/>
  <c r="C282" i="2" s="1"/>
  <c r="H254" i="2"/>
  <c r="J253" i="2"/>
  <c r="I253" i="2"/>
  <c r="M253" i="2" s="1"/>
  <c r="H253" i="2"/>
  <c r="N269" i="2" l="1"/>
  <c r="C295" i="2" s="1"/>
  <c r="N271" i="2"/>
  <c r="C297" i="2" s="1"/>
  <c r="N253" i="2"/>
  <c r="C279" i="2" s="1"/>
  <c r="N262" i="2"/>
  <c r="C288" i="2" s="1"/>
  <c r="I80" i="17" l="1"/>
  <c r="E95" i="17" l="1"/>
  <c r="I86" i="17"/>
  <c r="J62" i="17"/>
  <c r="M80" i="17"/>
  <c r="J136" i="17"/>
  <c r="J80" i="17"/>
  <c r="I29" i="17"/>
  <c r="I101" i="17"/>
  <c r="C269" i="2" l="1"/>
  <c r="C256" i="2"/>
  <c r="C262" i="2"/>
  <c r="C271" i="2"/>
  <c r="C253" i="2"/>
  <c r="L247" i="2" l="1"/>
  <c r="K247" i="2"/>
  <c r="G247" i="2"/>
  <c r="F247" i="2"/>
  <c r="E247" i="2"/>
  <c r="H246" i="2"/>
  <c r="J245" i="2"/>
  <c r="I245" i="2"/>
  <c r="H245" i="2"/>
  <c r="J243" i="2"/>
  <c r="I243" i="2"/>
  <c r="M243" i="2" s="1"/>
  <c r="H243" i="2"/>
  <c r="N243" i="2" s="1"/>
  <c r="H241" i="2"/>
  <c r="H238" i="2"/>
  <c r="H237" i="2"/>
  <c r="J236" i="2"/>
  <c r="I236" i="2"/>
  <c r="H236" i="2"/>
  <c r="H235" i="2"/>
  <c r="H234" i="2"/>
  <c r="J233" i="2"/>
  <c r="I233" i="2"/>
  <c r="H233" i="2"/>
  <c r="J230" i="2"/>
  <c r="I230" i="2"/>
  <c r="H230" i="2"/>
  <c r="H228" i="2"/>
  <c r="J227" i="2"/>
  <c r="I227" i="2"/>
  <c r="M227" i="2" s="1"/>
  <c r="H227" i="2"/>
  <c r="L221" i="2"/>
  <c r="K221" i="2"/>
  <c r="G221" i="2"/>
  <c r="F221" i="2"/>
  <c r="E221" i="2"/>
  <c r="H220" i="2"/>
  <c r="J219" i="2"/>
  <c r="I219" i="2"/>
  <c r="H219" i="2"/>
  <c r="J217" i="2"/>
  <c r="I217" i="2"/>
  <c r="H217" i="2"/>
  <c r="H215" i="2"/>
  <c r="H212" i="2"/>
  <c r="H211" i="2"/>
  <c r="J210" i="2"/>
  <c r="I210" i="2"/>
  <c r="H210" i="2"/>
  <c r="H209" i="2"/>
  <c r="H208" i="2"/>
  <c r="J207" i="2"/>
  <c r="I207" i="2"/>
  <c r="H207" i="2"/>
  <c r="J204" i="2"/>
  <c r="I204" i="2"/>
  <c r="M204" i="2" s="1"/>
  <c r="H204" i="2"/>
  <c r="H202" i="2"/>
  <c r="J201" i="2"/>
  <c r="I201" i="2"/>
  <c r="H201" i="2"/>
  <c r="L195" i="2"/>
  <c r="K195" i="2"/>
  <c r="G195" i="2"/>
  <c r="F195" i="2"/>
  <c r="E195" i="2"/>
  <c r="H194" i="2"/>
  <c r="J193" i="2"/>
  <c r="I193" i="2"/>
  <c r="H193" i="2"/>
  <c r="J191" i="2"/>
  <c r="I191" i="2"/>
  <c r="H191" i="2"/>
  <c r="H189" i="2"/>
  <c r="H186" i="2"/>
  <c r="H185" i="2"/>
  <c r="J184" i="2"/>
  <c r="I184" i="2"/>
  <c r="H184" i="2"/>
  <c r="H183" i="2"/>
  <c r="H182" i="2"/>
  <c r="J181" i="2"/>
  <c r="I181" i="2"/>
  <c r="M181" i="2" s="1"/>
  <c r="H181" i="2"/>
  <c r="J178" i="2"/>
  <c r="I178" i="2"/>
  <c r="H178" i="2"/>
  <c r="H176" i="2"/>
  <c r="J175" i="2"/>
  <c r="I175" i="2"/>
  <c r="H175" i="2"/>
  <c r="J251" i="17"/>
  <c r="J249" i="17"/>
  <c r="J242" i="17"/>
  <c r="J237" i="17"/>
  <c r="J235" i="17"/>
  <c r="J232" i="17"/>
  <c r="J224" i="17"/>
  <c r="J222" i="17"/>
  <c r="J215" i="17"/>
  <c r="J210" i="17"/>
  <c r="J208" i="17"/>
  <c r="J205" i="17"/>
  <c r="J197" i="17"/>
  <c r="J195" i="17"/>
  <c r="J188" i="17"/>
  <c r="J183" i="17"/>
  <c r="J181" i="17"/>
  <c r="J178" i="17"/>
  <c r="M178" i="2" l="1"/>
  <c r="N178" i="2" s="1"/>
  <c r="C204" i="2" s="1"/>
  <c r="M217" i="2"/>
  <c r="N217" i="2" s="1"/>
  <c r="C243" i="2" s="1"/>
  <c r="M236" i="2"/>
  <c r="N236" i="2" s="1"/>
  <c r="N227" i="2"/>
  <c r="M201" i="2"/>
  <c r="N201" i="2" s="1"/>
  <c r="C227" i="2" s="1"/>
  <c r="N204" i="2"/>
  <c r="C230" i="2" s="1"/>
  <c r="M175" i="2"/>
  <c r="N175" i="2" s="1"/>
  <c r="C201" i="2" s="1"/>
  <c r="M184" i="2"/>
  <c r="N184" i="2" s="1"/>
  <c r="C210" i="2" s="1"/>
  <c r="M219" i="2"/>
  <c r="N219" i="2" s="1"/>
  <c r="C245" i="2" s="1"/>
  <c r="M233" i="2"/>
  <c r="N233" i="2" s="1"/>
  <c r="M230" i="2"/>
  <c r="N230" i="2" s="1"/>
  <c r="M193" i="2"/>
  <c r="N193" i="2" s="1"/>
  <c r="C219" i="2" s="1"/>
  <c r="M191" i="2"/>
  <c r="N191" i="2" s="1"/>
  <c r="C217" i="2" s="1"/>
  <c r="M210" i="2"/>
  <c r="N210" i="2" s="1"/>
  <c r="C236" i="2" s="1"/>
  <c r="M245" i="2"/>
  <c r="N245" i="2" s="1"/>
  <c r="M207" i="2"/>
  <c r="N207" i="2" s="1"/>
  <c r="C233" i="2" s="1"/>
  <c r="N181" i="2"/>
  <c r="C207" i="2" s="1"/>
  <c r="L253" i="17" l="1"/>
  <c r="K253" i="17"/>
  <c r="G253" i="17"/>
  <c r="F253" i="17"/>
  <c r="D253" i="17"/>
  <c r="H252" i="17"/>
  <c r="H248" i="17"/>
  <c r="H243" i="17"/>
  <c r="I242" i="17"/>
  <c r="M242" i="17" s="1"/>
  <c r="H242" i="17"/>
  <c r="H241" i="17"/>
  <c r="H240" i="17"/>
  <c r="J239" i="17"/>
  <c r="H239" i="17"/>
  <c r="H236" i="17"/>
  <c r="H234" i="17"/>
  <c r="H233" i="17"/>
  <c r="H231" i="17"/>
  <c r="L226" i="17" l="1"/>
  <c r="K226" i="17"/>
  <c r="G226" i="17"/>
  <c r="F226" i="17"/>
  <c r="D226" i="17"/>
  <c r="H225" i="17"/>
  <c r="H221" i="17"/>
  <c r="H216" i="17"/>
  <c r="I215" i="17"/>
  <c r="M215" i="17" s="1"/>
  <c r="H215" i="17"/>
  <c r="H214" i="17"/>
  <c r="H213" i="17"/>
  <c r="J212" i="17"/>
  <c r="H212" i="17"/>
  <c r="H209" i="17"/>
  <c r="H207" i="17"/>
  <c r="H206" i="17"/>
  <c r="H204" i="17"/>
  <c r="L199" i="17"/>
  <c r="K199" i="17"/>
  <c r="G199" i="17"/>
  <c r="F199" i="17"/>
  <c r="D199" i="17"/>
  <c r="H198" i="17"/>
  <c r="H194" i="17"/>
  <c r="H189" i="17"/>
  <c r="I188" i="17"/>
  <c r="M188" i="17" s="1"/>
  <c r="H188" i="17"/>
  <c r="H187" i="17"/>
  <c r="H186" i="17"/>
  <c r="J185" i="17"/>
  <c r="H185" i="17"/>
  <c r="H182" i="17"/>
  <c r="H180" i="17"/>
  <c r="H179" i="17"/>
  <c r="H177" i="17"/>
  <c r="L172" i="17" l="1"/>
  <c r="K172" i="17"/>
  <c r="G172" i="17"/>
  <c r="F172" i="17"/>
  <c r="D172" i="17"/>
  <c r="H171" i="17"/>
  <c r="J170" i="17"/>
  <c r="J168" i="17"/>
  <c r="H167" i="17"/>
  <c r="H162" i="17"/>
  <c r="J161" i="17"/>
  <c r="I161" i="17"/>
  <c r="M161" i="17" s="1"/>
  <c r="H161" i="17"/>
  <c r="H160" i="17"/>
  <c r="H159" i="17"/>
  <c r="J158" i="17"/>
  <c r="H158" i="17"/>
  <c r="J156" i="17"/>
  <c r="H155" i="17"/>
  <c r="J154" i="17"/>
  <c r="H153" i="17"/>
  <c r="H152" i="17"/>
  <c r="J151" i="17"/>
  <c r="H150" i="17"/>
  <c r="L169" i="2"/>
  <c r="K169" i="2"/>
  <c r="G169" i="2"/>
  <c r="F169" i="2"/>
  <c r="E169" i="2"/>
  <c r="H168" i="2"/>
  <c r="J167" i="2"/>
  <c r="I167" i="2"/>
  <c r="M167" i="2" s="1"/>
  <c r="H167" i="2"/>
  <c r="J165" i="2"/>
  <c r="I165" i="2"/>
  <c r="M165" i="2" s="1"/>
  <c r="H165" i="2"/>
  <c r="N165" i="2" s="1"/>
  <c r="C191" i="2" s="1"/>
  <c r="H163" i="2"/>
  <c r="H160" i="2"/>
  <c r="H159" i="2"/>
  <c r="J158" i="2"/>
  <c r="I158" i="2"/>
  <c r="M158" i="2" s="1"/>
  <c r="H158" i="2"/>
  <c r="H157" i="2"/>
  <c r="H156" i="2"/>
  <c r="J155" i="2"/>
  <c r="I155" i="2"/>
  <c r="M155" i="2" s="1"/>
  <c r="H155" i="2"/>
  <c r="J152" i="2"/>
  <c r="I152" i="2"/>
  <c r="H152" i="2"/>
  <c r="H150" i="2"/>
  <c r="J149" i="2"/>
  <c r="I149" i="2"/>
  <c r="H149" i="2"/>
  <c r="L143" i="2"/>
  <c r="K143" i="2"/>
  <c r="G143" i="2"/>
  <c r="F143" i="2"/>
  <c r="E143" i="2"/>
  <c r="H142" i="2"/>
  <c r="J141" i="2"/>
  <c r="I141" i="2"/>
  <c r="H141" i="2"/>
  <c r="J139" i="2"/>
  <c r="I139" i="2"/>
  <c r="M139" i="2" s="1"/>
  <c r="H139" i="2"/>
  <c r="H137" i="2"/>
  <c r="H136" i="2"/>
  <c r="H135" i="2"/>
  <c r="J134" i="2"/>
  <c r="I134" i="2"/>
  <c r="H134" i="2"/>
  <c r="H133" i="2"/>
  <c r="H132" i="2"/>
  <c r="J131" i="2"/>
  <c r="I131" i="2"/>
  <c r="H131" i="2"/>
  <c r="J128" i="2"/>
  <c r="I128" i="2"/>
  <c r="M128" i="2" s="1"/>
  <c r="H128" i="2"/>
  <c r="H126" i="2"/>
  <c r="J125" i="2"/>
  <c r="I125" i="2"/>
  <c r="M125" i="2" s="1"/>
  <c r="H125" i="2"/>
  <c r="L145" i="17"/>
  <c r="K145" i="17"/>
  <c r="G145" i="17"/>
  <c r="F145" i="17"/>
  <c r="D145" i="17"/>
  <c r="H144" i="17"/>
  <c r="J143" i="17"/>
  <c r="J141" i="17"/>
  <c r="H140" i="17"/>
  <c r="H137" i="17"/>
  <c r="I136" i="17"/>
  <c r="M136" i="17" s="1"/>
  <c r="H136" i="17"/>
  <c r="H135" i="17"/>
  <c r="H134" i="17"/>
  <c r="J133" i="17"/>
  <c r="H133" i="17"/>
  <c r="J131" i="17"/>
  <c r="H130" i="17"/>
  <c r="J129" i="17"/>
  <c r="H128" i="17"/>
  <c r="H127" i="17"/>
  <c r="J126" i="17"/>
  <c r="H125" i="17"/>
  <c r="M134" i="2" l="1"/>
  <c r="M141" i="2"/>
  <c r="M149" i="2"/>
  <c r="M131" i="2"/>
  <c r="N131" i="2" s="1"/>
  <c r="C155" i="2" s="1"/>
  <c r="M152" i="2"/>
  <c r="N152" i="2" s="1"/>
  <c r="C178" i="2" s="1"/>
  <c r="N155" i="2"/>
  <c r="C181" i="2" s="1"/>
  <c r="N125" i="2"/>
  <c r="C149" i="2" s="1"/>
  <c r="N139" i="2"/>
  <c r="C165" i="2" s="1"/>
  <c r="N141" i="2"/>
  <c r="C167" i="2" s="1"/>
  <c r="N149" i="2"/>
  <c r="C175" i="2" s="1"/>
  <c r="N134" i="2"/>
  <c r="C158" i="2" s="1"/>
  <c r="N158" i="2"/>
  <c r="C184" i="2" s="1"/>
  <c r="N128" i="2"/>
  <c r="C152" i="2" s="1"/>
  <c r="N167" i="2"/>
  <c r="C193" i="2" s="1"/>
  <c r="I101" i="2"/>
  <c r="H101" i="2"/>
  <c r="J106" i="17"/>
  <c r="L119" i="2" l="1"/>
  <c r="K119" i="2"/>
  <c r="G119" i="2"/>
  <c r="F119" i="2"/>
  <c r="E119" i="2"/>
  <c r="H118" i="2"/>
  <c r="J117" i="2"/>
  <c r="I117" i="2"/>
  <c r="H117" i="2"/>
  <c r="H116" i="2"/>
  <c r="J115" i="2"/>
  <c r="I115" i="2"/>
  <c r="H115" i="2"/>
  <c r="H113" i="2"/>
  <c r="H112" i="2"/>
  <c r="H111" i="2"/>
  <c r="J110" i="2"/>
  <c r="I110" i="2"/>
  <c r="M110" i="2" s="1"/>
  <c r="H110" i="2"/>
  <c r="N110" i="2" s="1"/>
  <c r="C134" i="2" s="1"/>
  <c r="H109" i="2"/>
  <c r="H108" i="2"/>
  <c r="J107" i="2"/>
  <c r="I107" i="2"/>
  <c r="H107" i="2"/>
  <c r="H106" i="2"/>
  <c r="J104" i="2"/>
  <c r="I104" i="2"/>
  <c r="M104" i="2" s="1"/>
  <c r="H104" i="2"/>
  <c r="H102" i="2"/>
  <c r="J101" i="2"/>
  <c r="M101" i="2"/>
  <c r="L120" i="17"/>
  <c r="K120" i="17"/>
  <c r="G120" i="17"/>
  <c r="F120" i="17"/>
  <c r="D120" i="17"/>
  <c r="H119" i="17"/>
  <c r="J118" i="17"/>
  <c r="I118" i="17"/>
  <c r="M118" i="17" s="1"/>
  <c r="N118" i="17" s="1"/>
  <c r="H118" i="17"/>
  <c r="J116" i="17"/>
  <c r="H115" i="17"/>
  <c r="H112" i="17"/>
  <c r="J111" i="17"/>
  <c r="I111" i="17"/>
  <c r="H111" i="17"/>
  <c r="H110" i="17"/>
  <c r="H109" i="17"/>
  <c r="J108" i="17"/>
  <c r="I108" i="17"/>
  <c r="H108" i="17"/>
  <c r="H105" i="17"/>
  <c r="J104" i="17"/>
  <c r="H103" i="17"/>
  <c r="H102" i="17"/>
  <c r="J101" i="17"/>
  <c r="M101" i="17" s="1"/>
  <c r="H100" i="17"/>
  <c r="H80" i="17"/>
  <c r="H53" i="17"/>
  <c r="M117" i="2" l="1"/>
  <c r="N117" i="2" s="1"/>
  <c r="C141" i="2" s="1"/>
  <c r="M108" i="17"/>
  <c r="M111" i="17"/>
  <c r="M107" i="2"/>
  <c r="N107" i="2" s="1"/>
  <c r="C131" i="2" s="1"/>
  <c r="M115" i="2"/>
  <c r="N115" i="2" s="1"/>
  <c r="C139" i="2" s="1"/>
  <c r="N104" i="2"/>
  <c r="C128" i="2" s="1"/>
  <c r="N101" i="2"/>
  <c r="C125" i="2" s="1"/>
  <c r="L95" i="2" l="1"/>
  <c r="K95" i="2"/>
  <c r="G95" i="2"/>
  <c r="F95" i="2"/>
  <c r="E95" i="2"/>
  <c r="H94" i="2"/>
  <c r="J93" i="2"/>
  <c r="I93" i="2"/>
  <c r="M93" i="2" s="1"/>
  <c r="H93" i="2"/>
  <c r="H92" i="2"/>
  <c r="J91" i="2"/>
  <c r="I91" i="2"/>
  <c r="M91" i="2" s="1"/>
  <c r="H91" i="2"/>
  <c r="N91" i="2" s="1"/>
  <c r="C115" i="2" s="1"/>
  <c r="H90" i="2"/>
  <c r="H89" i="2"/>
  <c r="H88" i="2"/>
  <c r="H87" i="2"/>
  <c r="J86" i="2"/>
  <c r="I86" i="2"/>
  <c r="M86" i="2" s="1"/>
  <c r="H86" i="2"/>
  <c r="H85" i="2"/>
  <c r="H84" i="2"/>
  <c r="J83" i="2"/>
  <c r="I83" i="2"/>
  <c r="M83" i="2" s="1"/>
  <c r="H83" i="2"/>
  <c r="H82" i="2"/>
  <c r="H81" i="2"/>
  <c r="J80" i="2"/>
  <c r="I80" i="2"/>
  <c r="M80" i="2" s="1"/>
  <c r="H80" i="2"/>
  <c r="D95" i="2"/>
  <c r="H78" i="2"/>
  <c r="J77" i="2"/>
  <c r="I77" i="2"/>
  <c r="M77" i="2" s="1"/>
  <c r="H77" i="2"/>
  <c r="H76" i="2"/>
  <c r="N80" i="2" l="1"/>
  <c r="C104" i="2" s="1"/>
  <c r="N86" i="2"/>
  <c r="C110" i="2" s="1"/>
  <c r="N77" i="2"/>
  <c r="C101" i="2" s="1"/>
  <c r="N83" i="2"/>
  <c r="C107" i="2" s="1"/>
  <c r="N93" i="2"/>
  <c r="C117" i="2" s="1"/>
  <c r="H79" i="2"/>
  <c r="H95" i="2" s="1"/>
  <c r="L95" i="17" l="1"/>
  <c r="K95" i="17"/>
  <c r="G95" i="17"/>
  <c r="F95" i="17"/>
  <c r="D95" i="17"/>
  <c r="H94" i="17"/>
  <c r="J93" i="17"/>
  <c r="I93" i="17"/>
  <c r="M93" i="17" s="1"/>
  <c r="N93" i="17" s="1"/>
  <c r="H93" i="17"/>
  <c r="J91" i="17"/>
  <c r="I91" i="17"/>
  <c r="M91" i="17" s="1"/>
  <c r="H90" i="17"/>
  <c r="H87" i="17"/>
  <c r="J86" i="17"/>
  <c r="M86" i="17" s="1"/>
  <c r="N86" i="17" s="1"/>
  <c r="H86" i="17"/>
  <c r="H85" i="17"/>
  <c r="H84" i="17"/>
  <c r="J83" i="17"/>
  <c r="H83" i="17"/>
  <c r="H81" i="17"/>
  <c r="H79" i="17"/>
  <c r="H78" i="17"/>
  <c r="J77" i="17"/>
  <c r="I77" i="17"/>
  <c r="M77" i="17" s="1"/>
  <c r="H77" i="17"/>
  <c r="H76" i="17"/>
  <c r="H91" i="17" l="1"/>
  <c r="H95" i="17" l="1"/>
  <c r="L71" i="17" l="1"/>
  <c r="K71" i="17"/>
  <c r="G71" i="17"/>
  <c r="F71" i="17"/>
  <c r="D71" i="17"/>
  <c r="H70" i="17"/>
  <c r="J69" i="17"/>
  <c r="H69" i="17"/>
  <c r="J67" i="17"/>
  <c r="I67" i="17"/>
  <c r="M67" i="17" s="1"/>
  <c r="H66" i="17"/>
  <c r="H63" i="17"/>
  <c r="I62" i="17"/>
  <c r="M62" i="17" s="1"/>
  <c r="H62" i="17"/>
  <c r="H61" i="17"/>
  <c r="H60" i="17"/>
  <c r="J59" i="17"/>
  <c r="H59" i="17"/>
  <c r="I59" i="17"/>
  <c r="M59" i="17" s="1"/>
  <c r="H57" i="17"/>
  <c r="J56" i="17"/>
  <c r="H56" i="17"/>
  <c r="H55" i="17"/>
  <c r="H54" i="17"/>
  <c r="J53" i="17"/>
  <c r="H52" i="17"/>
  <c r="L47" i="17"/>
  <c r="K47" i="17"/>
  <c r="G47" i="17"/>
  <c r="F47" i="17"/>
  <c r="E47" i="17"/>
  <c r="D47" i="17"/>
  <c r="H46" i="17"/>
  <c r="J45" i="17"/>
  <c r="I45" i="17"/>
  <c r="M45" i="17" s="1"/>
  <c r="H45" i="17"/>
  <c r="J43" i="17"/>
  <c r="I43" i="17"/>
  <c r="M43" i="17" s="1"/>
  <c r="H43" i="17"/>
  <c r="H42" i="17"/>
  <c r="H39" i="17"/>
  <c r="J38" i="17"/>
  <c r="I38" i="17"/>
  <c r="M38" i="17" s="1"/>
  <c r="H38" i="17"/>
  <c r="H37" i="17"/>
  <c r="H36" i="17"/>
  <c r="J35" i="17"/>
  <c r="I35" i="17"/>
  <c r="M35" i="17" s="1"/>
  <c r="H35" i="17"/>
  <c r="H33" i="17"/>
  <c r="J32" i="17"/>
  <c r="I32" i="17"/>
  <c r="M32" i="17" s="1"/>
  <c r="H32" i="17"/>
  <c r="H31" i="17"/>
  <c r="H30" i="17"/>
  <c r="J29" i="17"/>
  <c r="M29" i="17" s="1"/>
  <c r="H29" i="17"/>
  <c r="H28" i="17"/>
  <c r="L23" i="17"/>
  <c r="K23" i="17"/>
  <c r="G23" i="17"/>
  <c r="F23" i="17"/>
  <c r="E23" i="17"/>
  <c r="D23" i="17"/>
  <c r="C23" i="17"/>
  <c r="I22" i="17"/>
  <c r="H22" i="17"/>
  <c r="J21" i="17"/>
  <c r="I21" i="17"/>
  <c r="M21" i="17" s="1"/>
  <c r="H20" i="17"/>
  <c r="J19" i="17"/>
  <c r="I19" i="17"/>
  <c r="H18" i="17"/>
  <c r="H17" i="17"/>
  <c r="H16" i="17"/>
  <c r="I15" i="17"/>
  <c r="M15" i="17" s="1"/>
  <c r="J14" i="17"/>
  <c r="I14" i="17"/>
  <c r="H13" i="17"/>
  <c r="I12" i="17"/>
  <c r="J11" i="17"/>
  <c r="I11" i="17"/>
  <c r="M11" i="17" s="1"/>
  <c r="H10" i="17"/>
  <c r="I10" i="17" s="1"/>
  <c r="M10" i="17" s="1"/>
  <c r="H9" i="17"/>
  <c r="I9" i="17" s="1"/>
  <c r="M9" i="17" s="1"/>
  <c r="J8" i="17"/>
  <c r="I8" i="17"/>
  <c r="M8" i="17" s="1"/>
  <c r="H7" i="17"/>
  <c r="I7" i="17" s="1"/>
  <c r="M7" i="17" s="1"/>
  <c r="H6" i="17"/>
  <c r="I6" i="17" s="1"/>
  <c r="M6" i="17" s="1"/>
  <c r="J5" i="17"/>
  <c r="I5" i="17"/>
  <c r="M5" i="17" s="1"/>
  <c r="H4" i="17"/>
  <c r="I4" i="17" s="1"/>
  <c r="M4" i="17" s="1"/>
  <c r="L71" i="2"/>
  <c r="K71" i="2"/>
  <c r="G71" i="2"/>
  <c r="F71" i="2"/>
  <c r="E71" i="2"/>
  <c r="H70" i="2"/>
  <c r="J69" i="2"/>
  <c r="I69" i="2"/>
  <c r="M69" i="2" s="1"/>
  <c r="H69" i="2"/>
  <c r="H68" i="2"/>
  <c r="J67" i="2"/>
  <c r="I67" i="2"/>
  <c r="M67" i="2" s="1"/>
  <c r="H67" i="2"/>
  <c r="H66" i="2"/>
  <c r="H65" i="2"/>
  <c r="H64" i="2"/>
  <c r="H63" i="2"/>
  <c r="J62" i="2"/>
  <c r="I62" i="2"/>
  <c r="H62" i="2"/>
  <c r="H61" i="2"/>
  <c r="H60" i="2"/>
  <c r="J59" i="2"/>
  <c r="I59" i="2"/>
  <c r="M59" i="2" s="1"/>
  <c r="H59" i="2"/>
  <c r="H58" i="2"/>
  <c r="H57" i="2"/>
  <c r="J56" i="2"/>
  <c r="I56" i="2"/>
  <c r="M56" i="2" s="1"/>
  <c r="H56" i="2"/>
  <c r="H55" i="2"/>
  <c r="H54" i="2"/>
  <c r="J53" i="2"/>
  <c r="I53" i="2"/>
  <c r="M53" i="2" s="1"/>
  <c r="H53" i="2"/>
  <c r="H52" i="2"/>
  <c r="L47" i="2"/>
  <c r="K47" i="2"/>
  <c r="G47" i="2"/>
  <c r="F47" i="2"/>
  <c r="E47" i="2"/>
  <c r="D47" i="2"/>
  <c r="H46" i="2"/>
  <c r="J45" i="2"/>
  <c r="I45" i="2"/>
  <c r="M45" i="2" s="1"/>
  <c r="H45" i="2"/>
  <c r="H44" i="2"/>
  <c r="J43" i="2"/>
  <c r="I43" i="2"/>
  <c r="H43" i="2"/>
  <c r="H42" i="2"/>
  <c r="H41" i="2"/>
  <c r="H40" i="2"/>
  <c r="H39" i="2"/>
  <c r="J38" i="2"/>
  <c r="I38" i="2"/>
  <c r="M38" i="2" s="1"/>
  <c r="H38" i="2"/>
  <c r="H37" i="2"/>
  <c r="H36" i="2"/>
  <c r="J35" i="2"/>
  <c r="I35" i="2"/>
  <c r="H35" i="2"/>
  <c r="H34" i="2"/>
  <c r="H33" i="2"/>
  <c r="J32" i="2"/>
  <c r="I32" i="2"/>
  <c r="M32" i="2" s="1"/>
  <c r="H32" i="2"/>
  <c r="H31" i="2"/>
  <c r="H30" i="2"/>
  <c r="J29" i="2"/>
  <c r="I29" i="2"/>
  <c r="M29" i="2" s="1"/>
  <c r="H29" i="2"/>
  <c r="H28" i="2"/>
  <c r="L23" i="2"/>
  <c r="K23" i="2"/>
  <c r="G23" i="2"/>
  <c r="F23" i="2"/>
  <c r="E23" i="2"/>
  <c r="C23" i="2"/>
  <c r="I22" i="2"/>
  <c r="M22" i="2" s="1"/>
  <c r="J21" i="2"/>
  <c r="I21" i="2"/>
  <c r="H21" i="2"/>
  <c r="D20" i="2"/>
  <c r="H20" i="2" s="1"/>
  <c r="I20" i="2" s="1"/>
  <c r="M20" i="2" s="1"/>
  <c r="J19" i="2"/>
  <c r="I19" i="2"/>
  <c r="H19" i="2"/>
  <c r="D18" i="2"/>
  <c r="H18" i="2" s="1"/>
  <c r="H17" i="2"/>
  <c r="I17" i="2" s="1"/>
  <c r="M17" i="2" s="1"/>
  <c r="H16" i="2"/>
  <c r="I16" i="2" s="1"/>
  <c r="M16" i="2" s="1"/>
  <c r="H15" i="2"/>
  <c r="J14" i="2"/>
  <c r="I14" i="2"/>
  <c r="M14" i="2" s="1"/>
  <c r="H14" i="2"/>
  <c r="D13" i="2"/>
  <c r="H13" i="2" s="1"/>
  <c r="I13" i="2" s="1"/>
  <c r="M13" i="2" s="1"/>
  <c r="H12" i="2"/>
  <c r="I12" i="2" s="1"/>
  <c r="M12" i="2" s="1"/>
  <c r="N12" i="2" s="1"/>
  <c r="C36" i="2" s="1"/>
  <c r="J11" i="2"/>
  <c r="I11" i="2"/>
  <c r="H11" i="2"/>
  <c r="D10" i="2"/>
  <c r="H10" i="2" s="1"/>
  <c r="H9" i="2"/>
  <c r="J8" i="2"/>
  <c r="I8" i="2"/>
  <c r="H8" i="2"/>
  <c r="D7" i="2"/>
  <c r="H7" i="2" s="1"/>
  <c r="I7" i="2" s="1"/>
  <c r="M7" i="2" s="1"/>
  <c r="H6" i="2"/>
  <c r="I6" i="2" s="1"/>
  <c r="M6" i="2" s="1"/>
  <c r="N6" i="2" s="1"/>
  <c r="C30" i="2" s="1"/>
  <c r="I5" i="2"/>
  <c r="M5" i="2" s="1"/>
  <c r="H5" i="2"/>
  <c r="D4" i="2"/>
  <c r="H4" i="2" s="1"/>
  <c r="N53" i="2" l="1"/>
  <c r="C77" i="2" s="1"/>
  <c r="M11" i="2"/>
  <c r="N67" i="2"/>
  <c r="C91" i="2" s="1"/>
  <c r="N11" i="17"/>
  <c r="C35" i="17" s="1"/>
  <c r="N35" i="17" s="1"/>
  <c r="C59" i="17" s="1"/>
  <c r="N59" i="17" s="1"/>
  <c r="I30" i="2"/>
  <c r="M30" i="2" s="1"/>
  <c r="M19" i="17"/>
  <c r="N19" i="17" s="1"/>
  <c r="C43" i="17" s="1"/>
  <c r="N43" i="17" s="1"/>
  <c r="C67" i="17" s="1"/>
  <c r="N67" i="17" s="1"/>
  <c r="N8" i="17"/>
  <c r="C32" i="17" s="1"/>
  <c r="N32" i="17" s="1"/>
  <c r="C56" i="17" s="1"/>
  <c r="M12" i="17"/>
  <c r="N12" i="17" s="1"/>
  <c r="C36" i="17" s="1"/>
  <c r="I36" i="17" s="1"/>
  <c r="M14" i="17"/>
  <c r="N14" i="17" s="1"/>
  <c r="C38" i="17" s="1"/>
  <c r="N38" i="17" s="1"/>
  <c r="C62" i="17" s="1"/>
  <c r="N62" i="17" s="1"/>
  <c r="N5" i="17"/>
  <c r="C29" i="17" s="1"/>
  <c r="N29" i="17" s="1"/>
  <c r="C53" i="17" s="1"/>
  <c r="M35" i="2"/>
  <c r="N35" i="2" s="1"/>
  <c r="C59" i="2" s="1"/>
  <c r="N29" i="2"/>
  <c r="C53" i="2" s="1"/>
  <c r="M19" i="2"/>
  <c r="N19" i="2" s="1"/>
  <c r="C43" i="2" s="1"/>
  <c r="N69" i="2"/>
  <c r="C93" i="2" s="1"/>
  <c r="D23" i="2"/>
  <c r="N38" i="2"/>
  <c r="C62" i="2" s="1"/>
  <c r="M43" i="2"/>
  <c r="N43" i="2" s="1"/>
  <c r="C67" i="2" s="1"/>
  <c r="M62" i="2"/>
  <c r="N62" i="2" s="1"/>
  <c r="C86" i="2" s="1"/>
  <c r="I36" i="2"/>
  <c r="M36" i="2" s="1"/>
  <c r="M21" i="2"/>
  <c r="N21" i="2" s="1"/>
  <c r="C45" i="2" s="1"/>
  <c r="N45" i="2"/>
  <c r="C69" i="2" s="1"/>
  <c r="N11" i="2"/>
  <c r="C35" i="2" s="1"/>
  <c r="N32" i="2"/>
  <c r="C56" i="2" s="1"/>
  <c r="N22" i="2"/>
  <c r="C46" i="2" s="1"/>
  <c r="I46" i="2" s="1"/>
  <c r="M46" i="2" s="1"/>
  <c r="N46" i="2" s="1"/>
  <c r="I70" i="2" s="1"/>
  <c r="N56" i="2"/>
  <c r="C80" i="2" s="1"/>
  <c r="I15" i="2"/>
  <c r="M15" i="2" s="1"/>
  <c r="I9" i="2"/>
  <c r="M9" i="2" s="1"/>
  <c r="N16" i="2"/>
  <c r="C40" i="2" s="1"/>
  <c r="I40" i="2" s="1"/>
  <c r="M40" i="2" s="1"/>
  <c r="N17" i="2"/>
  <c r="C41" i="2" s="1"/>
  <c r="I41" i="2" s="1"/>
  <c r="M41" i="2" s="1"/>
  <c r="N41" i="2" s="1"/>
  <c r="C65" i="2" s="1"/>
  <c r="I65" i="2" s="1"/>
  <c r="M65" i="2" s="1"/>
  <c r="N5" i="2"/>
  <c r="C29" i="2" s="1"/>
  <c r="N59" i="2"/>
  <c r="C83" i="2" s="1"/>
  <c r="N111" i="17"/>
  <c r="I69" i="17"/>
  <c r="M69" i="17" s="1"/>
  <c r="H67" i="17"/>
  <c r="H71" i="17" s="1"/>
  <c r="I56" i="17"/>
  <c r="E71" i="17"/>
  <c r="I17" i="17"/>
  <c r="M17" i="17" s="1"/>
  <c r="H47" i="17"/>
  <c r="N7" i="17"/>
  <c r="C31" i="17" s="1"/>
  <c r="I31" i="17" s="1"/>
  <c r="N10" i="17"/>
  <c r="C34" i="17" s="1"/>
  <c r="I34" i="17" s="1"/>
  <c r="M34" i="17" s="1"/>
  <c r="I16" i="17"/>
  <c r="M16" i="17" s="1"/>
  <c r="I20" i="17"/>
  <c r="N6" i="17"/>
  <c r="C30" i="17" s="1"/>
  <c r="I30" i="17" s="1"/>
  <c r="M30" i="17" s="1"/>
  <c r="N9" i="17"/>
  <c r="C33" i="17" s="1"/>
  <c r="I33" i="17" s="1"/>
  <c r="M33" i="17" s="1"/>
  <c r="H23" i="17"/>
  <c r="I18" i="17"/>
  <c r="M18" i="17" s="1"/>
  <c r="N21" i="17"/>
  <c r="C45" i="17" s="1"/>
  <c r="N45" i="17" s="1"/>
  <c r="C69" i="17" s="1"/>
  <c r="I13" i="17"/>
  <c r="M13" i="17" s="1"/>
  <c r="N15" i="17"/>
  <c r="C39" i="17" s="1"/>
  <c r="I39" i="17" s="1"/>
  <c r="M39" i="17" s="1"/>
  <c r="M22" i="17"/>
  <c r="N22" i="17" s="1"/>
  <c r="C46" i="17" s="1"/>
  <c r="I46" i="17" s="1"/>
  <c r="I53" i="17"/>
  <c r="I10" i="2"/>
  <c r="M10" i="2" s="1"/>
  <c r="I18" i="2"/>
  <c r="M18" i="2" s="1"/>
  <c r="H47" i="2"/>
  <c r="H23" i="2"/>
  <c r="I4" i="2"/>
  <c r="M8" i="2"/>
  <c r="N8" i="2" s="1"/>
  <c r="C32" i="2" s="1"/>
  <c r="N14" i="2"/>
  <c r="C38" i="2" s="1"/>
  <c r="N30" i="2"/>
  <c r="C54" i="2" s="1"/>
  <c r="I54" i="2" s="1"/>
  <c r="M54" i="2" s="1"/>
  <c r="H71" i="2"/>
  <c r="D71" i="2"/>
  <c r="N7" i="2"/>
  <c r="C31" i="2" s="1"/>
  <c r="I31" i="2" s="1"/>
  <c r="M31" i="2" s="1"/>
  <c r="N13" i="2"/>
  <c r="C37" i="2" s="1"/>
  <c r="I37" i="2" s="1"/>
  <c r="M37" i="2" s="1"/>
  <c r="N20" i="2"/>
  <c r="C44" i="2" s="1"/>
  <c r="I44" i="2" s="1"/>
  <c r="M36" i="17" l="1"/>
  <c r="N36" i="17"/>
  <c r="C60" i="17" s="1"/>
  <c r="I60" i="17" s="1"/>
  <c r="M60" i="17" s="1"/>
  <c r="N60" i="17" s="1"/>
  <c r="C84" i="17" s="1"/>
  <c r="I84" i="17" s="1"/>
  <c r="N18" i="17"/>
  <c r="C42" i="17" s="1"/>
  <c r="I42" i="17" s="1"/>
  <c r="M42" i="17" s="1"/>
  <c r="N42" i="17" s="1"/>
  <c r="C66" i="17" s="1"/>
  <c r="I66" i="17" s="1"/>
  <c r="M66" i="17" s="1"/>
  <c r="N36" i="2"/>
  <c r="C60" i="2" s="1"/>
  <c r="I60" i="2" s="1"/>
  <c r="M60" i="2" s="1"/>
  <c r="M20" i="17"/>
  <c r="N20" i="17" s="1"/>
  <c r="C44" i="17" s="1"/>
  <c r="I44" i="17" s="1"/>
  <c r="N16" i="17"/>
  <c r="C40" i="17" s="1"/>
  <c r="I40" i="17" s="1"/>
  <c r="M40" i="17" s="1"/>
  <c r="M31" i="17"/>
  <c r="I23" i="17"/>
  <c r="N69" i="17"/>
  <c r="M56" i="17"/>
  <c r="N56" i="17" s="1"/>
  <c r="M53" i="17"/>
  <c r="N53" i="17" s="1"/>
  <c r="N31" i="2"/>
  <c r="C55" i="2" s="1"/>
  <c r="I55" i="2" s="1"/>
  <c r="M55" i="2" s="1"/>
  <c r="N55" i="2" s="1"/>
  <c r="C79" i="2" s="1"/>
  <c r="I79" i="2" s="1"/>
  <c r="N40" i="2"/>
  <c r="C64" i="2" s="1"/>
  <c r="I64" i="2" s="1"/>
  <c r="N15" i="2"/>
  <c r="C39" i="2" s="1"/>
  <c r="I39" i="2" s="1"/>
  <c r="N9" i="2"/>
  <c r="C33" i="2" s="1"/>
  <c r="I33" i="2" s="1"/>
  <c r="N136" i="17"/>
  <c r="N31" i="17"/>
  <c r="C55" i="17" s="1"/>
  <c r="I55" i="17" s="1"/>
  <c r="N65" i="2"/>
  <c r="C89" i="2" s="1"/>
  <c r="I89" i="2" s="1"/>
  <c r="N77" i="17"/>
  <c r="N80" i="17"/>
  <c r="N91" i="17"/>
  <c r="N34" i="17"/>
  <c r="C58" i="17" s="1"/>
  <c r="I58" i="17" s="1"/>
  <c r="M58" i="17" s="1"/>
  <c r="M46" i="17"/>
  <c r="N46" i="17" s="1"/>
  <c r="I70" i="17" s="1"/>
  <c r="N4" i="17"/>
  <c r="N33" i="17"/>
  <c r="C57" i="17" s="1"/>
  <c r="I57" i="17" s="1"/>
  <c r="M57" i="17" s="1"/>
  <c r="N39" i="17"/>
  <c r="C63" i="17" s="1"/>
  <c r="I63" i="17" s="1"/>
  <c r="M63" i="17" s="1"/>
  <c r="M23" i="17"/>
  <c r="N13" i="17"/>
  <c r="C37" i="17" s="1"/>
  <c r="I37" i="17" s="1"/>
  <c r="M37" i="17" s="1"/>
  <c r="N30" i="17"/>
  <c r="C54" i="17" s="1"/>
  <c r="I54" i="17" s="1"/>
  <c r="M54" i="17" s="1"/>
  <c r="N17" i="17"/>
  <c r="C41" i="17" s="1"/>
  <c r="I41" i="17" s="1"/>
  <c r="M41" i="17" s="1"/>
  <c r="M70" i="2"/>
  <c r="N70" i="2" s="1"/>
  <c r="C94" i="2" s="1"/>
  <c r="I94" i="2" s="1"/>
  <c r="M4" i="2"/>
  <c r="M23" i="2" s="1"/>
  <c r="I23" i="2"/>
  <c r="M64" i="2"/>
  <c r="N64" i="2" s="1"/>
  <c r="C88" i="2" s="1"/>
  <c r="I88" i="2" s="1"/>
  <c r="N60" i="2"/>
  <c r="C84" i="2" s="1"/>
  <c r="I84" i="2" s="1"/>
  <c r="M44" i="2"/>
  <c r="N44" i="2" s="1"/>
  <c r="C68" i="2" s="1"/>
  <c r="I68" i="2" s="1"/>
  <c r="N54" i="2"/>
  <c r="C78" i="2" s="1"/>
  <c r="I78" i="2" s="1"/>
  <c r="N18" i="2"/>
  <c r="C42" i="2" s="1"/>
  <c r="I42" i="2" s="1"/>
  <c r="N37" i="2"/>
  <c r="C61" i="2" s="1"/>
  <c r="I61" i="2" s="1"/>
  <c r="N10" i="2"/>
  <c r="C34" i="2" s="1"/>
  <c r="I34" i="2" s="1"/>
  <c r="M44" i="17" l="1"/>
  <c r="N44" i="17"/>
  <c r="C68" i="17" s="1"/>
  <c r="I68" i="17" s="1"/>
  <c r="M68" i="17" s="1"/>
  <c r="N68" i="17" s="1"/>
  <c r="C92" i="17" s="1"/>
  <c r="I92" i="17" s="1"/>
  <c r="N40" i="17"/>
  <c r="C64" i="17" s="1"/>
  <c r="I64" i="17" s="1"/>
  <c r="M64" i="17" s="1"/>
  <c r="M33" i="2"/>
  <c r="N33" i="2" s="1"/>
  <c r="C57" i="2" s="1"/>
  <c r="I57" i="2" s="1"/>
  <c r="M39" i="2"/>
  <c r="N39" i="2" s="1"/>
  <c r="C63" i="2" s="1"/>
  <c r="I63" i="2" s="1"/>
  <c r="M84" i="17"/>
  <c r="N84" i="17" s="1"/>
  <c r="M55" i="17"/>
  <c r="M94" i="2"/>
  <c r="N94" i="2" s="1"/>
  <c r="C118" i="2" s="1"/>
  <c r="I118" i="2" s="1"/>
  <c r="M118" i="2" s="1"/>
  <c r="N118" i="2" s="1"/>
  <c r="C142" i="2" s="1"/>
  <c r="I142" i="2" s="1"/>
  <c r="M142" i="2" s="1"/>
  <c r="N142" i="2" s="1"/>
  <c r="C168" i="2" s="1"/>
  <c r="I168" i="2" s="1"/>
  <c r="N161" i="17"/>
  <c r="N188" i="17" s="1"/>
  <c r="N215" i="17" s="1"/>
  <c r="N242" i="17" s="1"/>
  <c r="M88" i="2"/>
  <c r="N88" i="2" s="1"/>
  <c r="C112" i="2" s="1"/>
  <c r="I112" i="2" s="1"/>
  <c r="M112" i="2" s="1"/>
  <c r="N112" i="2" s="1"/>
  <c r="C136" i="2" s="1"/>
  <c r="I136" i="2" s="1"/>
  <c r="M78" i="2"/>
  <c r="N78" i="2" s="1"/>
  <c r="C102" i="2" s="1"/>
  <c r="I102" i="2" s="1"/>
  <c r="M102" i="2" s="1"/>
  <c r="N102" i="2" s="1"/>
  <c r="C126" i="2" s="1"/>
  <c r="I126" i="2" s="1"/>
  <c r="M84" i="2"/>
  <c r="N84" i="2" s="1"/>
  <c r="C108" i="2" s="1"/>
  <c r="I108" i="2" s="1"/>
  <c r="M108" i="2" s="1"/>
  <c r="N108" i="2" s="1"/>
  <c r="C132" i="2" s="1"/>
  <c r="I132" i="2" s="1"/>
  <c r="M89" i="2"/>
  <c r="N89" i="2" s="1"/>
  <c r="C113" i="2" s="1"/>
  <c r="I113" i="2" s="1"/>
  <c r="M79" i="2"/>
  <c r="N79" i="2" s="1"/>
  <c r="C103" i="2" s="1"/>
  <c r="N54" i="17"/>
  <c r="C78" i="17" s="1"/>
  <c r="I78" i="17" s="1"/>
  <c r="M78" i="17" s="1"/>
  <c r="N66" i="17"/>
  <c r="N63" i="17"/>
  <c r="M70" i="17"/>
  <c r="N70" i="17" s="1"/>
  <c r="N58" i="17"/>
  <c r="N37" i="17"/>
  <c r="C61" i="17" s="1"/>
  <c r="I61" i="17" s="1"/>
  <c r="C28" i="17"/>
  <c r="N23" i="17"/>
  <c r="N57" i="17"/>
  <c r="N41" i="17"/>
  <c r="C65" i="17" s="1"/>
  <c r="I65" i="17" s="1"/>
  <c r="M65" i="17" s="1"/>
  <c r="M68" i="2"/>
  <c r="N68" i="2" s="1"/>
  <c r="C92" i="2" s="1"/>
  <c r="I92" i="2" s="1"/>
  <c r="M34" i="2"/>
  <c r="N34" i="2" s="1"/>
  <c r="C58" i="2" s="1"/>
  <c r="I58" i="2" s="1"/>
  <c r="M61" i="2"/>
  <c r="N61" i="2" s="1"/>
  <c r="C85" i="2" s="1"/>
  <c r="I85" i="2" s="1"/>
  <c r="N4" i="2"/>
  <c r="M42" i="2"/>
  <c r="N42" i="2" s="1"/>
  <c r="C66" i="2" s="1"/>
  <c r="I66" i="2" s="1"/>
  <c r="N64" i="17" l="1"/>
  <c r="C88" i="17" s="1"/>
  <c r="I88" i="17" s="1"/>
  <c r="M57" i="2"/>
  <c r="N57" i="2" s="1"/>
  <c r="C81" i="2" s="1"/>
  <c r="I81" i="2" s="1"/>
  <c r="M113" i="2"/>
  <c r="N113" i="2" s="1"/>
  <c r="C137" i="2" s="1"/>
  <c r="I137" i="2" s="1"/>
  <c r="M137" i="2" s="1"/>
  <c r="N137" i="2" s="1"/>
  <c r="C163" i="2" s="1"/>
  <c r="I163" i="2" s="1"/>
  <c r="M163" i="2" s="1"/>
  <c r="N163" i="2" s="1"/>
  <c r="C189" i="2" s="1"/>
  <c r="I189" i="2" s="1"/>
  <c r="M63" i="2"/>
  <c r="N63" i="2"/>
  <c r="C87" i="2" s="1"/>
  <c r="I87" i="2" s="1"/>
  <c r="M87" i="2" s="1"/>
  <c r="N87" i="2" s="1"/>
  <c r="C111" i="2" s="1"/>
  <c r="I111" i="2" s="1"/>
  <c r="M111" i="2" s="1"/>
  <c r="N111" i="2" s="1"/>
  <c r="C135" i="2" s="1"/>
  <c r="I135" i="2" s="1"/>
  <c r="M132" i="2"/>
  <c r="N132" i="2" s="1"/>
  <c r="C156" i="2" s="1"/>
  <c r="I156" i="2" s="1"/>
  <c r="M126" i="2"/>
  <c r="N126" i="2" s="1"/>
  <c r="C150" i="2" s="1"/>
  <c r="I150" i="2" s="1"/>
  <c r="M136" i="2"/>
  <c r="N136" i="2" s="1"/>
  <c r="C160" i="2" s="1"/>
  <c r="I160" i="2" s="1"/>
  <c r="M92" i="17"/>
  <c r="N92" i="17" s="1"/>
  <c r="C117" i="17" s="1"/>
  <c r="I117" i="17" s="1"/>
  <c r="C90" i="17"/>
  <c r="I90" i="17" s="1"/>
  <c r="C87" i="17"/>
  <c r="I87" i="17" s="1"/>
  <c r="N55" i="17"/>
  <c r="C79" i="17" s="1"/>
  <c r="I79" i="17" s="1"/>
  <c r="C81" i="17"/>
  <c r="I81" i="17" s="1"/>
  <c r="M61" i="17"/>
  <c r="N61" i="17" s="1"/>
  <c r="C85" i="17" s="1"/>
  <c r="I85" i="17" s="1"/>
  <c r="M85" i="17" s="1"/>
  <c r="I82" i="17"/>
  <c r="M82" i="17" s="1"/>
  <c r="C83" i="17"/>
  <c r="I83" i="17" s="1"/>
  <c r="M168" i="2"/>
  <c r="N168" i="2" s="1"/>
  <c r="C194" i="2" s="1"/>
  <c r="I194" i="2" s="1"/>
  <c r="M194" i="2" s="1"/>
  <c r="N194" i="2" s="1"/>
  <c r="C220" i="2" s="1"/>
  <c r="I220" i="2" s="1"/>
  <c r="M220" i="2" s="1"/>
  <c r="N220" i="2" s="1"/>
  <c r="C246" i="2" s="1"/>
  <c r="I246" i="2" s="1"/>
  <c r="M246" i="2" s="1"/>
  <c r="N246" i="2" s="1"/>
  <c r="C272" i="2" s="1"/>
  <c r="I272" i="2" s="1"/>
  <c r="M272" i="2" s="1"/>
  <c r="N272" i="2" s="1"/>
  <c r="C298" i="2" s="1"/>
  <c r="I298" i="2" s="1"/>
  <c r="M298" i="2" s="1"/>
  <c r="N298" i="2" s="1"/>
  <c r="C94" i="17"/>
  <c r="N82" i="17"/>
  <c r="C109" i="17"/>
  <c r="I109" i="17" s="1"/>
  <c r="M109" i="17" s="1"/>
  <c r="N78" i="17"/>
  <c r="M85" i="2"/>
  <c r="N85" i="2" s="1"/>
  <c r="C109" i="2" s="1"/>
  <c r="I109" i="2" s="1"/>
  <c r="M109" i="2" s="1"/>
  <c r="N109" i="2" s="1"/>
  <c r="C133" i="2" s="1"/>
  <c r="I133" i="2" s="1"/>
  <c r="M92" i="2"/>
  <c r="N92" i="2" s="1"/>
  <c r="C116" i="2" s="1"/>
  <c r="I116" i="2" s="1"/>
  <c r="N65" i="17"/>
  <c r="I28" i="17"/>
  <c r="M28" i="17" s="1"/>
  <c r="C47" i="17"/>
  <c r="M66" i="2"/>
  <c r="N66" i="2" s="1"/>
  <c r="C90" i="2" s="1"/>
  <c r="I90" i="2" s="1"/>
  <c r="C28" i="2"/>
  <c r="N23" i="2"/>
  <c r="M58" i="2"/>
  <c r="N58" i="2" s="1"/>
  <c r="C82" i="2" s="1"/>
  <c r="I82" i="2" s="1"/>
  <c r="M160" i="2" l="1"/>
  <c r="N160" i="2" s="1"/>
  <c r="C186" i="2" s="1"/>
  <c r="I186" i="2" s="1"/>
  <c r="M189" i="2"/>
  <c r="N189" i="2" s="1"/>
  <c r="C215" i="2" s="1"/>
  <c r="I215" i="2" s="1"/>
  <c r="M215" i="2" s="1"/>
  <c r="N215" i="2" s="1"/>
  <c r="C241" i="2" s="1"/>
  <c r="I241" i="2" s="1"/>
  <c r="M156" i="2"/>
  <c r="N156" i="2"/>
  <c r="C182" i="2" s="1"/>
  <c r="I182" i="2" s="1"/>
  <c r="M182" i="2" s="1"/>
  <c r="N182" i="2" s="1"/>
  <c r="C208" i="2" s="1"/>
  <c r="I208" i="2" s="1"/>
  <c r="M208" i="2" s="1"/>
  <c r="N208" i="2" s="1"/>
  <c r="C234" i="2" s="1"/>
  <c r="I234" i="2" s="1"/>
  <c r="M234" i="2" s="1"/>
  <c r="N234" i="2" s="1"/>
  <c r="C260" i="2" s="1"/>
  <c r="I260" i="2" s="1"/>
  <c r="M135" i="2"/>
  <c r="N135" i="2" s="1"/>
  <c r="C159" i="2" s="1"/>
  <c r="I159" i="2" s="1"/>
  <c r="M133" i="2"/>
  <c r="N133" i="2" s="1"/>
  <c r="C157" i="2" s="1"/>
  <c r="I157" i="2" s="1"/>
  <c r="M150" i="2"/>
  <c r="N150" i="2" s="1"/>
  <c r="C176" i="2" s="1"/>
  <c r="I176" i="2" s="1"/>
  <c r="M81" i="2"/>
  <c r="N81" i="2" s="1"/>
  <c r="C105" i="2" s="1"/>
  <c r="M81" i="17"/>
  <c r="N81" i="17"/>
  <c r="C105" i="17" s="1"/>
  <c r="I105" i="17" s="1"/>
  <c r="M105" i="17" s="1"/>
  <c r="M88" i="17"/>
  <c r="N88" i="17" s="1"/>
  <c r="C113" i="17" s="1"/>
  <c r="I113" i="17" s="1"/>
  <c r="M113" i="17" s="1"/>
  <c r="N113" i="17" s="1"/>
  <c r="M79" i="17"/>
  <c r="N79" i="17" s="1"/>
  <c r="C103" i="17" s="1"/>
  <c r="I103" i="17" s="1"/>
  <c r="M103" i="17" s="1"/>
  <c r="M87" i="17"/>
  <c r="N87" i="17" s="1"/>
  <c r="C112" i="17" s="1"/>
  <c r="I112" i="17" s="1"/>
  <c r="M112" i="17" s="1"/>
  <c r="M90" i="17"/>
  <c r="N90" i="17" s="1"/>
  <c r="C115" i="17" s="1"/>
  <c r="I115" i="17" s="1"/>
  <c r="M115" i="17" s="1"/>
  <c r="C89" i="17"/>
  <c r="I89" i="17" s="1"/>
  <c r="M117" i="17"/>
  <c r="N117" i="17" s="1"/>
  <c r="C142" i="17" s="1"/>
  <c r="I142" i="17" s="1"/>
  <c r="M83" i="17"/>
  <c r="N83" i="17" s="1"/>
  <c r="M116" i="2"/>
  <c r="N116" i="2" s="1"/>
  <c r="C140" i="2" s="1"/>
  <c r="I94" i="17"/>
  <c r="N109" i="17"/>
  <c r="C134" i="17" s="1"/>
  <c r="C102" i="17"/>
  <c r="I102" i="17" s="1"/>
  <c r="M102" i="17" s="1"/>
  <c r="M90" i="2"/>
  <c r="N90" i="2" s="1"/>
  <c r="C114" i="2" s="1"/>
  <c r="M82" i="2"/>
  <c r="N82" i="2" s="1"/>
  <c r="C106" i="2" s="1"/>
  <c r="I106" i="2" s="1"/>
  <c r="M106" i="2" s="1"/>
  <c r="N106" i="2" s="1"/>
  <c r="C130" i="2" s="1"/>
  <c r="I47" i="17"/>
  <c r="M47" i="17"/>
  <c r="C47" i="2"/>
  <c r="I28" i="2"/>
  <c r="M241" i="2" l="1"/>
  <c r="N241" i="2" s="1"/>
  <c r="M176" i="2"/>
  <c r="N176" i="2"/>
  <c r="C202" i="2" s="1"/>
  <c r="I202" i="2" s="1"/>
  <c r="M260" i="2"/>
  <c r="N260" i="2" s="1"/>
  <c r="C286" i="2" s="1"/>
  <c r="I286" i="2" s="1"/>
  <c r="M286" i="2" s="1"/>
  <c r="N286" i="2" s="1"/>
  <c r="M159" i="2"/>
  <c r="N159" i="2" s="1"/>
  <c r="C185" i="2" s="1"/>
  <c r="I185" i="2" s="1"/>
  <c r="M185" i="2" s="1"/>
  <c r="N185" i="2" s="1"/>
  <c r="C211" i="2" s="1"/>
  <c r="I211" i="2" s="1"/>
  <c r="M211" i="2" s="1"/>
  <c r="N211" i="2" s="1"/>
  <c r="C237" i="2" s="1"/>
  <c r="I237" i="2" s="1"/>
  <c r="M237" i="2" s="1"/>
  <c r="N237" i="2" s="1"/>
  <c r="C263" i="2" s="1"/>
  <c r="I263" i="2" s="1"/>
  <c r="M157" i="2"/>
  <c r="N157" i="2" s="1"/>
  <c r="C183" i="2" s="1"/>
  <c r="I183" i="2" s="1"/>
  <c r="M186" i="2"/>
  <c r="N186" i="2" s="1"/>
  <c r="C212" i="2" s="1"/>
  <c r="I212" i="2" s="1"/>
  <c r="M212" i="2" s="1"/>
  <c r="N212" i="2" s="1"/>
  <c r="C238" i="2" s="1"/>
  <c r="I238" i="2" s="1"/>
  <c r="N115" i="17"/>
  <c r="C108" i="17"/>
  <c r="N108" i="17" s="1"/>
  <c r="C133" i="17" s="1"/>
  <c r="C107" i="17"/>
  <c r="I107" i="17" s="1"/>
  <c r="C138" i="17"/>
  <c r="I138" i="17" s="1"/>
  <c r="M89" i="17"/>
  <c r="N89" i="17"/>
  <c r="C114" i="17" s="1"/>
  <c r="I114" i="17" s="1"/>
  <c r="M114" i="17" s="1"/>
  <c r="M142" i="17"/>
  <c r="N142" i="17" s="1"/>
  <c r="N103" i="17"/>
  <c r="N112" i="17"/>
  <c r="C137" i="17" s="1"/>
  <c r="I137" i="17" s="1"/>
  <c r="M94" i="17"/>
  <c r="N94" i="17"/>
  <c r="N85" i="17"/>
  <c r="N105" i="17"/>
  <c r="N102" i="17"/>
  <c r="I134" i="17"/>
  <c r="M134" i="17" s="1"/>
  <c r="N28" i="17"/>
  <c r="N47" i="17" s="1"/>
  <c r="I47" i="2"/>
  <c r="M28" i="2"/>
  <c r="M47" i="2" s="1"/>
  <c r="N28" i="2"/>
  <c r="M263" i="2" l="1"/>
  <c r="N263" i="2"/>
  <c r="C289" i="2" s="1"/>
  <c r="I289" i="2" s="1"/>
  <c r="M238" i="2"/>
  <c r="N238" i="2"/>
  <c r="C264" i="2" s="1"/>
  <c r="I264" i="2" s="1"/>
  <c r="M183" i="2"/>
  <c r="N183" i="2" s="1"/>
  <c r="C209" i="2" s="1"/>
  <c r="I209" i="2" s="1"/>
  <c r="M202" i="2"/>
  <c r="N202" i="2" s="1"/>
  <c r="C228" i="2" s="1"/>
  <c r="I228" i="2" s="1"/>
  <c r="M228" i="2" s="1"/>
  <c r="N228" i="2" s="1"/>
  <c r="C254" i="2" s="1"/>
  <c r="I254" i="2" s="1"/>
  <c r="M254" i="2" s="1"/>
  <c r="N254" i="2" s="1"/>
  <c r="C280" i="2" s="1"/>
  <c r="I280" i="2" s="1"/>
  <c r="C267" i="2"/>
  <c r="I267" i="2" s="1"/>
  <c r="M267" i="2" s="1"/>
  <c r="N267" i="2" s="1"/>
  <c r="C293" i="2" s="1"/>
  <c r="I293" i="2" s="1"/>
  <c r="M138" i="17"/>
  <c r="N138" i="17" s="1"/>
  <c r="C163" i="17" s="1"/>
  <c r="I163" i="17" s="1"/>
  <c r="M163" i="17" s="1"/>
  <c r="M107" i="17"/>
  <c r="N107" i="17" s="1"/>
  <c r="C132" i="17" s="1"/>
  <c r="I132" i="17" s="1"/>
  <c r="M132" i="17" s="1"/>
  <c r="N132" i="17" s="1"/>
  <c r="C110" i="17"/>
  <c r="I110" i="17" s="1"/>
  <c r="N114" i="17"/>
  <c r="C127" i="17"/>
  <c r="I127" i="17" s="1"/>
  <c r="M127" i="17" s="1"/>
  <c r="C119" i="17"/>
  <c r="I119" i="17" s="1"/>
  <c r="M137" i="17"/>
  <c r="N137" i="17" s="1"/>
  <c r="C162" i="17" s="1"/>
  <c r="I162" i="17" s="1"/>
  <c r="M162" i="17" s="1"/>
  <c r="N134" i="17"/>
  <c r="C159" i="17" s="1"/>
  <c r="C52" i="17"/>
  <c r="I52" i="17" s="1"/>
  <c r="M52" i="17" s="1"/>
  <c r="C71" i="17"/>
  <c r="N47" i="2"/>
  <c r="C52" i="2"/>
  <c r="M280" i="2" l="1"/>
  <c r="N280" i="2" s="1"/>
  <c r="M293" i="2"/>
  <c r="N293" i="2"/>
  <c r="M289" i="2"/>
  <c r="N289" i="2" s="1"/>
  <c r="M209" i="2"/>
  <c r="N209" i="2" s="1"/>
  <c r="C235" i="2" s="1"/>
  <c r="I235" i="2" s="1"/>
  <c r="M264" i="2"/>
  <c r="N264" i="2" s="1"/>
  <c r="C290" i="2" s="1"/>
  <c r="I290" i="2" s="1"/>
  <c r="M110" i="17"/>
  <c r="N110" i="17" s="1"/>
  <c r="C139" i="17"/>
  <c r="I139" i="17" s="1"/>
  <c r="N127" i="17"/>
  <c r="C152" i="17" s="1"/>
  <c r="I152" i="17" s="1"/>
  <c r="M152" i="17" s="1"/>
  <c r="M119" i="17"/>
  <c r="N119" i="17" s="1"/>
  <c r="N163" i="17"/>
  <c r="I159" i="17"/>
  <c r="M159" i="17" s="1"/>
  <c r="N162" i="17"/>
  <c r="I71" i="17"/>
  <c r="M71" i="17"/>
  <c r="C8" i="15" s="1"/>
  <c r="N52" i="17"/>
  <c r="C76" i="17" s="1"/>
  <c r="C95" i="17" s="1"/>
  <c r="C71" i="2"/>
  <c r="I52" i="2"/>
  <c r="M290" i="2" l="1"/>
  <c r="N290" i="2" s="1"/>
  <c r="M235" i="2"/>
  <c r="N235" i="2" s="1"/>
  <c r="C261" i="2" s="1"/>
  <c r="I261" i="2" s="1"/>
  <c r="M139" i="17"/>
  <c r="N139" i="17" s="1"/>
  <c r="C164" i="17" s="1"/>
  <c r="I164" i="17" s="1"/>
  <c r="C135" i="17"/>
  <c r="I135" i="17" s="1"/>
  <c r="C190" i="17"/>
  <c r="I190" i="17" s="1"/>
  <c r="M190" i="17" s="1"/>
  <c r="N190" i="17" s="1"/>
  <c r="C144" i="17"/>
  <c r="I144" i="17" s="1"/>
  <c r="M144" i="17" s="1"/>
  <c r="N144" i="17" s="1"/>
  <c r="C171" i="17" s="1"/>
  <c r="I171" i="17" s="1"/>
  <c r="C189" i="17"/>
  <c r="I189" i="17" s="1"/>
  <c r="M189" i="17" s="1"/>
  <c r="N189" i="17" s="1"/>
  <c r="N152" i="17"/>
  <c r="N159" i="17"/>
  <c r="N71" i="17"/>
  <c r="I76" i="17"/>
  <c r="M76" i="17" s="1"/>
  <c r="M95" i="17" s="1"/>
  <c r="I71" i="2"/>
  <c r="M52" i="2"/>
  <c r="M71" i="2" s="1"/>
  <c r="B8" i="15" s="1"/>
  <c r="D8" i="15" s="1"/>
  <c r="M261" i="2" l="1"/>
  <c r="N261" i="2" s="1"/>
  <c r="C287" i="2" s="1"/>
  <c r="I287" i="2" s="1"/>
  <c r="M135" i="17"/>
  <c r="N135" i="17" s="1"/>
  <c r="C160" i="17" s="1"/>
  <c r="I160" i="17" s="1"/>
  <c r="M160" i="17" s="1"/>
  <c r="M164" i="17"/>
  <c r="N164" i="17" s="1"/>
  <c r="C186" i="17"/>
  <c r="I186" i="17" s="1"/>
  <c r="M186" i="17" s="1"/>
  <c r="N186" i="17" s="1"/>
  <c r="C179" i="17"/>
  <c r="M171" i="17"/>
  <c r="N171" i="17"/>
  <c r="C217" i="17"/>
  <c r="I217" i="17" s="1"/>
  <c r="C216" i="17"/>
  <c r="I216" i="17" s="1"/>
  <c r="N52" i="2"/>
  <c r="I179" i="17" l="1"/>
  <c r="M179" i="17" s="1"/>
  <c r="N179" i="17" s="1"/>
  <c r="C206" i="17" s="1"/>
  <c r="I206" i="17" s="1"/>
  <c r="M287" i="2"/>
  <c r="N287" i="2"/>
  <c r="N160" i="17"/>
  <c r="C187" i="17" s="1"/>
  <c r="I187" i="17" s="1"/>
  <c r="C191" i="17"/>
  <c r="I191" i="17" s="1"/>
  <c r="M191" i="17" s="1"/>
  <c r="N191" i="17" s="1"/>
  <c r="C218" i="17" s="1"/>
  <c r="I218" i="17" s="1"/>
  <c r="C198" i="17"/>
  <c r="I198" i="17" s="1"/>
  <c r="M198" i="17" s="1"/>
  <c r="N198" i="17" s="1"/>
  <c r="C225" i="17" s="1"/>
  <c r="I225" i="17" s="1"/>
  <c r="M225" i="17" s="1"/>
  <c r="N225" i="17" s="1"/>
  <c r="C252" i="17" s="1"/>
  <c r="I252" i="17" s="1"/>
  <c r="M216" i="17"/>
  <c r="N216" i="17" s="1"/>
  <c r="C213" i="17"/>
  <c r="I213" i="17" s="1"/>
  <c r="M217" i="17"/>
  <c r="N217" i="17" s="1"/>
  <c r="N76" i="17"/>
  <c r="C100" i="17" s="1"/>
  <c r="I95" i="17"/>
  <c r="N71" i="2"/>
  <c r="C76" i="2"/>
  <c r="M187" i="17" l="1"/>
  <c r="N187" i="17" s="1"/>
  <c r="C214" i="17" s="1"/>
  <c r="I214" i="17" s="1"/>
  <c r="M214" i="17" s="1"/>
  <c r="N214" i="17" s="1"/>
  <c r="C244" i="17"/>
  <c r="I244" i="17" s="1"/>
  <c r="M218" i="17"/>
  <c r="N218" i="17" s="1"/>
  <c r="M206" i="17"/>
  <c r="N206" i="17" s="1"/>
  <c r="C243" i="17"/>
  <c r="I243" i="17" s="1"/>
  <c r="M252" i="17"/>
  <c r="N252" i="17" s="1"/>
  <c r="M213" i="17"/>
  <c r="N213" i="17" s="1"/>
  <c r="N95" i="17"/>
  <c r="C9" i="15"/>
  <c r="I76" i="2"/>
  <c r="C95" i="2"/>
  <c r="C240" i="17" l="1"/>
  <c r="I240" i="17" s="1"/>
  <c r="C245" i="17"/>
  <c r="I245" i="17" s="1"/>
  <c r="M243" i="17"/>
  <c r="N243" i="17" s="1"/>
  <c r="C233" i="17"/>
  <c r="I233" i="17" s="1"/>
  <c r="C241" i="17"/>
  <c r="I241" i="17" s="1"/>
  <c r="M244" i="17"/>
  <c r="N244" i="17" s="1"/>
  <c r="C120" i="17"/>
  <c r="I100" i="17"/>
  <c r="M100" i="17" s="1"/>
  <c r="M76" i="2"/>
  <c r="M95" i="2" s="1"/>
  <c r="B9" i="15" s="1"/>
  <c r="D9" i="15" s="1"/>
  <c r="I95" i="2"/>
  <c r="E7" i="15"/>
  <c r="E8" i="15" s="1"/>
  <c r="M233" i="17" l="1"/>
  <c r="N233" i="17" s="1"/>
  <c r="M245" i="17"/>
  <c r="N245" i="17" s="1"/>
  <c r="M241" i="17"/>
  <c r="N241" i="17" s="1"/>
  <c r="M240" i="17"/>
  <c r="N240" i="17" s="1"/>
  <c r="N76" i="2"/>
  <c r="N95" i="2" l="1"/>
  <c r="C100" i="2"/>
  <c r="C119" i="2" s="1"/>
  <c r="N100" i="17"/>
  <c r="F8" i="15"/>
  <c r="G8" i="15" s="1"/>
  <c r="E9" i="15"/>
  <c r="C6" i="15"/>
  <c r="F9" i="15" l="1"/>
  <c r="G9" i="15" s="1"/>
  <c r="E10" i="15"/>
  <c r="E11" i="15" s="1"/>
  <c r="E12" i="15" s="1"/>
  <c r="E13" i="15" s="1"/>
  <c r="C7" i="15"/>
  <c r="E14" i="15" l="1"/>
  <c r="E15" i="15" l="1"/>
  <c r="C33" i="14"/>
  <c r="C13" i="14"/>
  <c r="C49" i="14" s="1"/>
  <c r="C57" i="14" s="1"/>
  <c r="G57" i="14" s="1"/>
  <c r="B6" i="15" l="1"/>
  <c r="D6" i="15" s="1"/>
  <c r="F6" i="15" s="1"/>
  <c r="G6" i="15" s="1"/>
  <c r="B7" i="15" l="1"/>
  <c r="D7" i="15" s="1"/>
  <c r="F7" i="15" s="1"/>
  <c r="G7" i="15" l="1"/>
  <c r="D100" i="2" l="1"/>
  <c r="H101" i="17"/>
  <c r="H100" i="2" l="1"/>
  <c r="I100" i="2" s="1"/>
  <c r="N101" i="17" l="1"/>
  <c r="C125" i="17" s="1"/>
  <c r="I125" i="17" s="1"/>
  <c r="M125" i="17" s="1"/>
  <c r="M100" i="2" l="1"/>
  <c r="D105" i="2" l="1"/>
  <c r="H105" i="2" s="1"/>
  <c r="I105" i="2" s="1"/>
  <c r="M105" i="2" s="1"/>
  <c r="N105" i="2" s="1"/>
  <c r="C129" i="2" s="1"/>
  <c r="I106" i="17"/>
  <c r="M106" i="17" s="1"/>
  <c r="N100" i="2"/>
  <c r="C124" i="2" s="1"/>
  <c r="N125" i="17" l="1"/>
  <c r="N106" i="17"/>
  <c r="C130" i="17" s="1"/>
  <c r="I130" i="17" l="1"/>
  <c r="M130" i="17" s="1"/>
  <c r="N130" i="17" l="1"/>
  <c r="D103" i="2"/>
  <c r="I104" i="17"/>
  <c r="H104" i="17"/>
  <c r="E120" i="17"/>
  <c r="D114" i="2"/>
  <c r="H114" i="2" s="1"/>
  <c r="I114" i="2" s="1"/>
  <c r="M114" i="2" s="1"/>
  <c r="N114" i="2" s="1"/>
  <c r="C138" i="2" s="1"/>
  <c r="H116" i="17"/>
  <c r="I116" i="17"/>
  <c r="M116" i="17" s="1"/>
  <c r="M104" i="17" l="1"/>
  <c r="I120" i="17"/>
  <c r="N116" i="17"/>
  <c r="C140" i="17" s="1"/>
  <c r="H120" i="17"/>
  <c r="H103" i="2"/>
  <c r="D119" i="2"/>
  <c r="I140" i="17" l="1"/>
  <c r="I103" i="2"/>
  <c r="H119" i="2"/>
  <c r="M120" i="17"/>
  <c r="N104" i="17"/>
  <c r="C128" i="17" s="1"/>
  <c r="M140" i="17" l="1"/>
  <c r="N140" i="17" s="1"/>
  <c r="C145" i="17"/>
  <c r="N120" i="17"/>
  <c r="C10" i="15"/>
  <c r="M103" i="2"/>
  <c r="I119" i="2"/>
  <c r="N103" i="2" l="1"/>
  <c r="M119" i="2"/>
  <c r="B10" i="15" s="1"/>
  <c r="D10" i="15" s="1"/>
  <c r="F10" i="15" s="1"/>
  <c r="G10" i="15" s="1"/>
  <c r="I128" i="17"/>
  <c r="M128" i="17" s="1"/>
  <c r="N119" i="2" l="1"/>
  <c r="C127" i="2"/>
  <c r="C143" i="2" l="1"/>
  <c r="N128" i="17"/>
  <c r="D130" i="2" l="1"/>
  <c r="H130" i="2" s="1"/>
  <c r="I130" i="2" s="1"/>
  <c r="M130" i="2" s="1"/>
  <c r="N130" i="2" s="1"/>
  <c r="C154" i="2" s="1"/>
  <c r="I133" i="17"/>
  <c r="M133" i="17" s="1"/>
  <c r="N133" i="17" s="1"/>
  <c r="H141" i="17"/>
  <c r="D138" i="2"/>
  <c r="H138" i="2" s="1"/>
  <c r="I138" i="2" s="1"/>
  <c r="M138" i="2" s="1"/>
  <c r="N138" i="2" s="1"/>
  <c r="C164" i="2" s="1"/>
  <c r="I141" i="17"/>
  <c r="M141" i="17" s="1"/>
  <c r="N141" i="17" s="1"/>
  <c r="C167" i="17" s="1"/>
  <c r="I167" i="17" s="1"/>
  <c r="I143" i="17"/>
  <c r="M143" i="17" s="1"/>
  <c r="N143" i="17" s="1"/>
  <c r="C169" i="17" s="1"/>
  <c r="I169" i="17" s="1"/>
  <c r="D140" i="2"/>
  <c r="H140" i="2" s="1"/>
  <c r="H143" i="17"/>
  <c r="C158" i="17" l="1"/>
  <c r="C157" i="17"/>
  <c r="I157" i="17" s="1"/>
  <c r="M167" i="17"/>
  <c r="N167" i="17" s="1"/>
  <c r="M169" i="17"/>
  <c r="N169" i="17" s="1"/>
  <c r="I140" i="2"/>
  <c r="M140" i="2" s="1"/>
  <c r="N140" i="2" s="1"/>
  <c r="C166" i="2" s="1"/>
  <c r="M157" i="17" l="1"/>
  <c r="N157" i="17" s="1"/>
  <c r="I193" i="17" l="1"/>
  <c r="M193" i="17" s="1"/>
  <c r="N193" i="17" s="1"/>
  <c r="E145" i="17" l="1"/>
  <c r="H126" i="17"/>
  <c r="H145" i="17" s="1"/>
  <c r="I126" i="17"/>
  <c r="D124" i="2"/>
  <c r="I131" i="17"/>
  <c r="M131" i="17" s="1"/>
  <c r="N131" i="17" s="1"/>
  <c r="C155" i="17" s="1"/>
  <c r="I155" i="17" s="1"/>
  <c r="M155" i="17" s="1"/>
  <c r="N155" i="17" s="1"/>
  <c r="D129" i="2"/>
  <c r="H129" i="2" s="1"/>
  <c r="I129" i="2" s="1"/>
  <c r="M129" i="2" s="1"/>
  <c r="N129" i="2" s="1"/>
  <c r="C153" i="2" s="1"/>
  <c r="D127" i="2"/>
  <c r="H127" i="2" s="1"/>
  <c r="I127" i="2" s="1"/>
  <c r="M127" i="2" s="1"/>
  <c r="N127" i="2" s="1"/>
  <c r="C151" i="2" s="1"/>
  <c r="I129" i="17"/>
  <c r="M129" i="17" s="1"/>
  <c r="N129" i="17" s="1"/>
  <c r="C153" i="17" s="1"/>
  <c r="I153" i="17" s="1"/>
  <c r="M153" i="17" s="1"/>
  <c r="N153" i="17" s="1"/>
  <c r="H124" i="2" l="1"/>
  <c r="D143" i="2"/>
  <c r="I145" i="17"/>
  <c r="M126" i="17"/>
  <c r="M145" i="17" l="1"/>
  <c r="C11" i="15" s="1"/>
  <c r="N126" i="17"/>
  <c r="H143" i="2"/>
  <c r="I124" i="2"/>
  <c r="M124" i="2" l="1"/>
  <c r="I143" i="2"/>
  <c r="N145" i="17"/>
  <c r="C150" i="17"/>
  <c r="I150" i="17" l="1"/>
  <c r="C172" i="17"/>
  <c r="M143" i="2"/>
  <c r="B11" i="15" s="1"/>
  <c r="D11" i="15" s="1"/>
  <c r="F11" i="15" s="1"/>
  <c r="G11" i="15" s="1"/>
  <c r="N124" i="2"/>
  <c r="C148" i="2" l="1"/>
  <c r="N143" i="2"/>
  <c r="M150" i="17"/>
  <c r="C169" i="2" l="1"/>
  <c r="N150" i="17"/>
  <c r="I151" i="17" l="1"/>
  <c r="I166" i="17" l="1"/>
  <c r="M166" i="17" s="1"/>
  <c r="N166" i="17" s="1"/>
  <c r="C192" i="17" s="1"/>
  <c r="I192" i="17" s="1"/>
  <c r="M192" i="17" s="1"/>
  <c r="N192" i="17" s="1"/>
  <c r="C219" i="17" s="1"/>
  <c r="I219" i="17" s="1"/>
  <c r="M219" i="17" s="1"/>
  <c r="N219" i="17" s="1"/>
  <c r="D161" i="2"/>
  <c r="H161" i="2" s="1"/>
  <c r="D148" i="2"/>
  <c r="H151" i="17"/>
  <c r="E172" i="17"/>
  <c r="I154" i="17"/>
  <c r="M154" i="17" s="1"/>
  <c r="N154" i="17" s="1"/>
  <c r="C180" i="17" s="1"/>
  <c r="I180" i="17" s="1"/>
  <c r="M180" i="17" s="1"/>
  <c r="N180" i="17" s="1"/>
  <c r="D151" i="2"/>
  <c r="H151" i="2" s="1"/>
  <c r="H154" i="17"/>
  <c r="D153" i="2"/>
  <c r="H153" i="2" s="1"/>
  <c r="I153" i="2" s="1"/>
  <c r="M153" i="2" s="1"/>
  <c r="N153" i="2" s="1"/>
  <c r="C179" i="2" s="1"/>
  <c r="I156" i="17"/>
  <c r="M156" i="17" s="1"/>
  <c r="N156" i="17" s="1"/>
  <c r="C182" i="17" s="1"/>
  <c r="I182" i="17" s="1"/>
  <c r="M182" i="17" s="1"/>
  <c r="N182" i="17" s="1"/>
  <c r="D154" i="2"/>
  <c r="H154" i="2" s="1"/>
  <c r="I158" i="17"/>
  <c r="M158" i="17" s="1"/>
  <c r="N158" i="17" s="1"/>
  <c r="D164" i="2"/>
  <c r="H164" i="2" s="1"/>
  <c r="I168" i="17"/>
  <c r="M168" i="17" s="1"/>
  <c r="N168" i="17" s="1"/>
  <c r="C194" i="17" s="1"/>
  <c r="I194" i="17" s="1"/>
  <c r="M194" i="17" s="1"/>
  <c r="N194" i="17" s="1"/>
  <c r="H168" i="17"/>
  <c r="H170" i="17"/>
  <c r="I170" i="17"/>
  <c r="M170" i="17" s="1"/>
  <c r="N170" i="17" s="1"/>
  <c r="C196" i="17" s="1"/>
  <c r="I196" i="17" s="1"/>
  <c r="M196" i="17" s="1"/>
  <c r="N196" i="17" s="1"/>
  <c r="D166" i="2"/>
  <c r="H166" i="2" s="1"/>
  <c r="I166" i="2" s="1"/>
  <c r="M166" i="2" s="1"/>
  <c r="N166" i="2" s="1"/>
  <c r="C192" i="2" s="1"/>
  <c r="H172" i="17" l="1"/>
  <c r="I161" i="2"/>
  <c r="M161" i="2" s="1"/>
  <c r="N161" i="2" s="1"/>
  <c r="C187" i="2" s="1"/>
  <c r="I187" i="2" s="1"/>
  <c r="M187" i="2" s="1"/>
  <c r="N187" i="2" s="1"/>
  <c r="C213" i="2" s="1"/>
  <c r="I151" i="2"/>
  <c r="M151" i="2" s="1"/>
  <c r="I164" i="2"/>
  <c r="M164" i="2" s="1"/>
  <c r="N164" i="2" s="1"/>
  <c r="C190" i="2" s="1"/>
  <c r="C185" i="17"/>
  <c r="C184" i="17"/>
  <c r="I184" i="17" s="1"/>
  <c r="M184" i="17" s="1"/>
  <c r="N184" i="17" s="1"/>
  <c r="I154" i="2"/>
  <c r="M154" i="2" s="1"/>
  <c r="M151" i="17"/>
  <c r="I172" i="17"/>
  <c r="H148" i="2"/>
  <c r="D169" i="2"/>
  <c r="N154" i="2" l="1"/>
  <c r="C180" i="2" s="1"/>
  <c r="N151" i="2"/>
  <c r="C177" i="2" s="1"/>
  <c r="I148" i="2"/>
  <c r="H169" i="2"/>
  <c r="M172" i="17"/>
  <c r="C12" i="15" s="1"/>
  <c r="N151" i="17"/>
  <c r="C177" i="17" l="1"/>
  <c r="N172" i="17"/>
  <c r="M148" i="2"/>
  <c r="I169" i="2"/>
  <c r="N148" i="2" l="1"/>
  <c r="M169" i="2"/>
  <c r="B12" i="15" s="1"/>
  <c r="D12" i="15" s="1"/>
  <c r="F12" i="15" s="1"/>
  <c r="G12" i="15" s="1"/>
  <c r="I177" i="17"/>
  <c r="C199" i="17"/>
  <c r="M177" i="17" l="1"/>
  <c r="C174" i="2"/>
  <c r="N169" i="2"/>
  <c r="N177" i="17" l="1"/>
  <c r="C195" i="2"/>
  <c r="I185" i="17" l="1"/>
  <c r="M185" i="17" s="1"/>
  <c r="N185" i="17" s="1"/>
  <c r="D180" i="2"/>
  <c r="H180" i="2" s="1"/>
  <c r="I180" i="2" s="1"/>
  <c r="M180" i="2" s="1"/>
  <c r="N180" i="2" s="1"/>
  <c r="C206" i="2" s="1"/>
  <c r="D177" i="2"/>
  <c r="H177" i="2" s="1"/>
  <c r="H181" i="17"/>
  <c r="I181" i="17"/>
  <c r="M181" i="17" s="1"/>
  <c r="N181" i="17" s="1"/>
  <c r="C207" i="17" s="1"/>
  <c r="I207" i="17" s="1"/>
  <c r="I178" i="17"/>
  <c r="E199" i="17"/>
  <c r="H178" i="17"/>
  <c r="D174" i="2"/>
  <c r="I183" i="17"/>
  <c r="D179" i="2"/>
  <c r="H179" i="2" s="1"/>
  <c r="I179" i="2" s="1"/>
  <c r="M179" i="2" s="1"/>
  <c r="N179" i="2" s="1"/>
  <c r="C205" i="2" s="1"/>
  <c r="H195" i="17"/>
  <c r="D190" i="2"/>
  <c r="H190" i="2" s="1"/>
  <c r="I195" i="17"/>
  <c r="M195" i="17" s="1"/>
  <c r="N195" i="17" s="1"/>
  <c r="C221" i="17" s="1"/>
  <c r="I221" i="17" s="1"/>
  <c r="H197" i="17"/>
  <c r="I197" i="17"/>
  <c r="M197" i="17" s="1"/>
  <c r="N197" i="17" s="1"/>
  <c r="C223" i="17" s="1"/>
  <c r="I223" i="17" s="1"/>
  <c r="D192" i="2"/>
  <c r="H192" i="2" s="1"/>
  <c r="I192" i="2" s="1"/>
  <c r="M192" i="2" s="1"/>
  <c r="N192" i="2" s="1"/>
  <c r="C218" i="2" s="1"/>
  <c r="M223" i="17" l="1"/>
  <c r="N223" i="17" s="1"/>
  <c r="I190" i="2"/>
  <c r="M190" i="2" s="1"/>
  <c r="M183" i="17"/>
  <c r="N183" i="17"/>
  <c r="C209" i="17" s="1"/>
  <c r="I209" i="17" s="1"/>
  <c r="H199" i="17"/>
  <c r="I199" i="17"/>
  <c r="M178" i="17"/>
  <c r="I177" i="2"/>
  <c r="M177" i="2" s="1"/>
  <c r="M221" i="17"/>
  <c r="N221" i="17"/>
  <c r="H174" i="2"/>
  <c r="D195" i="2"/>
  <c r="M207" i="17"/>
  <c r="N207" i="17"/>
  <c r="C212" i="17"/>
  <c r="C211" i="17"/>
  <c r="I211" i="17" s="1"/>
  <c r="M211" i="17" s="1"/>
  <c r="N211" i="17" s="1"/>
  <c r="N190" i="2" l="1"/>
  <c r="C216" i="2" s="1"/>
  <c r="I174" i="2"/>
  <c r="H195" i="2"/>
  <c r="N177" i="2"/>
  <c r="C203" i="2" s="1"/>
  <c r="M199" i="17"/>
  <c r="N178" i="17"/>
  <c r="M209" i="17"/>
  <c r="N209" i="17"/>
  <c r="C204" i="17" l="1"/>
  <c r="N199" i="17"/>
  <c r="C13" i="15"/>
  <c r="M174" i="2"/>
  <c r="I195" i="2"/>
  <c r="M195" i="2" l="1"/>
  <c r="N174" i="2"/>
  <c r="I204" i="17"/>
  <c r="C226" i="17"/>
  <c r="M204" i="17" l="1"/>
  <c r="N204" i="17"/>
  <c r="C200" i="2"/>
  <c r="N195" i="2"/>
  <c r="B13" i="15"/>
  <c r="D13" i="15" s="1"/>
  <c r="F13" i="15" s="1"/>
  <c r="G13" i="15" s="1"/>
  <c r="C221" i="2" l="1"/>
  <c r="D259" i="2" l="1"/>
  <c r="H259" i="2" s="1"/>
  <c r="N259" i="2" s="1"/>
  <c r="C285" i="2" s="1"/>
  <c r="D252" i="2"/>
  <c r="D270" i="2"/>
  <c r="H270" i="2" s="1"/>
  <c r="H252" i="2" l="1"/>
  <c r="D255" i="2" l="1"/>
  <c r="H255" i="2" l="1"/>
  <c r="D268" i="2" l="1"/>
  <c r="H268" i="2" s="1"/>
  <c r="D278" i="2" l="1"/>
  <c r="D285" i="2"/>
  <c r="H285" i="2" s="1"/>
  <c r="N285" i="2" s="1"/>
  <c r="D296" i="2"/>
  <c r="H296" i="2" s="1"/>
  <c r="D283" i="2"/>
  <c r="H283" i="2" s="1"/>
  <c r="D257" i="2"/>
  <c r="H257" i="2" l="1"/>
  <c r="D273" i="2"/>
  <c r="H278" i="2"/>
  <c r="H273" i="2" l="1"/>
  <c r="D281" i="2" l="1"/>
  <c r="H281" i="2" l="1"/>
  <c r="D294" i="2" l="1"/>
  <c r="H294" i="2" l="1"/>
  <c r="D299" i="2"/>
  <c r="H299" i="2" l="1"/>
  <c r="C259" i="2" l="1"/>
  <c r="C255" i="2" l="1"/>
  <c r="I255" i="2" s="1"/>
  <c r="M255" i="2" l="1"/>
  <c r="N255" i="2"/>
  <c r="C281" i="2" s="1"/>
  <c r="I281" i="2" s="1"/>
  <c r="M281" i="2" l="1"/>
  <c r="N281" i="2" s="1"/>
  <c r="C252" i="2" l="1"/>
  <c r="I252" i="2" l="1"/>
  <c r="C273" i="2"/>
  <c r="M252" i="2" l="1"/>
  <c r="M273" i="2" s="1"/>
  <c r="I273" i="2"/>
  <c r="N252" i="2" l="1"/>
  <c r="C278" i="2" l="1"/>
  <c r="N273" i="2"/>
  <c r="I278" i="2" l="1"/>
  <c r="C299" i="2"/>
  <c r="M278" i="2" l="1"/>
  <c r="M299" i="2" s="1"/>
  <c r="I299" i="2"/>
  <c r="N278" i="2" l="1"/>
  <c r="N299" i="2" s="1"/>
  <c r="M232" i="17" l="1"/>
  <c r="N232" i="17" s="1"/>
  <c r="D226" i="2"/>
  <c r="H232" i="17"/>
  <c r="H226" i="2" l="1"/>
  <c r="I251" i="17" l="1"/>
  <c r="M251" i="17" s="1"/>
  <c r="N251" i="17" s="1"/>
  <c r="H251" i="17"/>
  <c r="D244" i="2"/>
  <c r="H244" i="2" s="1"/>
  <c r="I239" i="17" l="1"/>
  <c r="M239" i="17" s="1"/>
  <c r="D232" i="2"/>
  <c r="H232" i="2" s="1"/>
  <c r="D229" i="2" l="1"/>
  <c r="H235" i="17"/>
  <c r="I235" i="17"/>
  <c r="M235" i="17" s="1"/>
  <c r="N235" i="17" s="1"/>
  <c r="I237" i="17"/>
  <c r="M237" i="17" s="1"/>
  <c r="N237" i="17" s="1"/>
  <c r="D231" i="2"/>
  <c r="H231" i="2" s="1"/>
  <c r="I249" i="17" l="1"/>
  <c r="M249" i="17" s="1"/>
  <c r="N249" i="17" s="1"/>
  <c r="D242" i="2"/>
  <c r="H242" i="2" s="1"/>
  <c r="H249" i="17"/>
  <c r="H253" i="17"/>
  <c r="E253" i="17"/>
  <c r="H229" i="2"/>
  <c r="D247" i="2" l="1"/>
  <c r="H247" i="2"/>
  <c r="I208" i="17"/>
  <c r="M208" i="17" s="1"/>
  <c r="N208" i="17" s="1"/>
  <c r="C234" i="17" s="1"/>
  <c r="I234" i="17" s="1"/>
  <c r="H208" i="17"/>
  <c r="D203" i="2"/>
  <c r="H203" i="2" s="1"/>
  <c r="D205" i="2"/>
  <c r="H205" i="2" s="1"/>
  <c r="I205" i="2" s="1"/>
  <c r="M205" i="2" s="1"/>
  <c r="N205" i="2" s="1"/>
  <c r="C231" i="2" s="1"/>
  <c r="I231" i="2" s="1"/>
  <c r="M231" i="2" s="1"/>
  <c r="N231" i="2" s="1"/>
  <c r="C257" i="2" s="1"/>
  <c r="I257" i="2" s="1"/>
  <c r="M257" i="2" s="1"/>
  <c r="N257" i="2" s="1"/>
  <c r="C283" i="2" s="1"/>
  <c r="I283" i="2" s="1"/>
  <c r="M283" i="2" s="1"/>
  <c r="N283" i="2" s="1"/>
  <c r="I210" i="17"/>
  <c r="M210" i="17" s="1"/>
  <c r="N210" i="17" s="1"/>
  <c r="C236" i="17" s="1"/>
  <c r="I236" i="17" s="1"/>
  <c r="M236" i="17" s="1"/>
  <c r="N236" i="17" s="1"/>
  <c r="H222" i="17"/>
  <c r="D216" i="2"/>
  <c r="H216" i="2" s="1"/>
  <c r="I222" i="17"/>
  <c r="M222" i="17" s="1"/>
  <c r="N222" i="17" s="1"/>
  <c r="C248" i="17" s="1"/>
  <c r="I248" i="17" s="1"/>
  <c r="D218" i="2"/>
  <c r="H218" i="2" s="1"/>
  <c r="I218" i="2" s="1"/>
  <c r="M218" i="2" s="1"/>
  <c r="N218" i="2" s="1"/>
  <c r="C244" i="2" s="1"/>
  <c r="I244" i="2" s="1"/>
  <c r="M244" i="2" s="1"/>
  <c r="N244" i="2" s="1"/>
  <c r="C270" i="2" s="1"/>
  <c r="I270" i="2" s="1"/>
  <c r="M270" i="2" s="1"/>
  <c r="N270" i="2" s="1"/>
  <c r="C296" i="2" s="1"/>
  <c r="I296" i="2" s="1"/>
  <c r="M296" i="2" s="1"/>
  <c r="N296" i="2" s="1"/>
  <c r="I224" i="17"/>
  <c r="M224" i="17" s="1"/>
  <c r="N224" i="17" s="1"/>
  <c r="C250" i="17" s="1"/>
  <c r="I250" i="17" s="1"/>
  <c r="M250" i="17" s="1"/>
  <c r="N250" i="17" s="1"/>
  <c r="H224" i="17"/>
  <c r="H205" i="17"/>
  <c r="I205" i="17"/>
  <c r="D200" i="2"/>
  <c r="E226" i="17"/>
  <c r="H226" i="17" l="1"/>
  <c r="H200" i="2"/>
  <c r="M205" i="17"/>
  <c r="I220" i="17"/>
  <c r="M220" i="17" s="1"/>
  <c r="N220" i="17" s="1"/>
  <c r="C246" i="17" s="1"/>
  <c r="I246" i="17" s="1"/>
  <c r="M246" i="17" s="1"/>
  <c r="N246" i="17" s="1"/>
  <c r="D213" i="2"/>
  <c r="H213" i="2" s="1"/>
  <c r="I213" i="2" s="1"/>
  <c r="M213" i="2" s="1"/>
  <c r="N213" i="2" s="1"/>
  <c r="C239" i="2" s="1"/>
  <c r="I239" i="2" s="1"/>
  <c r="M239" i="2" s="1"/>
  <c r="N239" i="2" s="1"/>
  <c r="C265" i="2" s="1"/>
  <c r="I265" i="2" s="1"/>
  <c r="M265" i="2" s="1"/>
  <c r="N265" i="2" s="1"/>
  <c r="C291" i="2" s="1"/>
  <c r="I291" i="2" s="1"/>
  <c r="M291" i="2" s="1"/>
  <c r="N291" i="2" s="1"/>
  <c r="M248" i="17"/>
  <c r="N248" i="17" s="1"/>
  <c r="I216" i="2"/>
  <c r="M216" i="2" s="1"/>
  <c r="N216" i="2"/>
  <c r="C242" i="2" s="1"/>
  <c r="I242" i="2" s="1"/>
  <c r="M242" i="2" s="1"/>
  <c r="N242" i="2" s="1"/>
  <c r="C268" i="2" s="1"/>
  <c r="I268" i="2" s="1"/>
  <c r="M268" i="2" s="1"/>
  <c r="N268" i="2" s="1"/>
  <c r="C294" i="2" s="1"/>
  <c r="I294" i="2" s="1"/>
  <c r="M294" i="2" s="1"/>
  <c r="N294" i="2" s="1"/>
  <c r="D206" i="2"/>
  <c r="H206" i="2" s="1"/>
  <c r="I206" i="2" s="1"/>
  <c r="M206" i="2" s="1"/>
  <c r="N206" i="2" s="1"/>
  <c r="C232" i="2" s="1"/>
  <c r="I232" i="2" s="1"/>
  <c r="M232" i="2" s="1"/>
  <c r="N232" i="2" s="1"/>
  <c r="C258" i="2" s="1"/>
  <c r="I258" i="2" s="1"/>
  <c r="M258" i="2" s="1"/>
  <c r="N258" i="2" s="1"/>
  <c r="C284" i="2" s="1"/>
  <c r="I284" i="2" s="1"/>
  <c r="M284" i="2" s="1"/>
  <c r="N284" i="2" s="1"/>
  <c r="I212" i="17"/>
  <c r="M212" i="17" s="1"/>
  <c r="N212" i="17" s="1"/>
  <c r="M234" i="17"/>
  <c r="N234" i="17" s="1"/>
  <c r="I203" i="2"/>
  <c r="M203" i="2" s="1"/>
  <c r="N203" i="2" l="1"/>
  <c r="C229" i="2" s="1"/>
  <c r="I229" i="2" s="1"/>
  <c r="M229" i="2" s="1"/>
  <c r="N229" i="2" s="1"/>
  <c r="C238" i="17"/>
  <c r="I238" i="17" s="1"/>
  <c r="M238" i="17" s="1"/>
  <c r="N238" i="17" s="1"/>
  <c r="C239" i="17"/>
  <c r="N239" i="17" s="1"/>
  <c r="I226" i="17"/>
  <c r="M226" i="17"/>
  <c r="N205" i="17"/>
  <c r="D221" i="2"/>
  <c r="I200" i="2"/>
  <c r="H221" i="2"/>
  <c r="M200" i="2" l="1"/>
  <c r="I221" i="2"/>
  <c r="C231" i="17"/>
  <c r="N226" i="17"/>
  <c r="C14" i="15"/>
  <c r="I231" i="17" l="1"/>
  <c r="C253" i="17"/>
  <c r="M221" i="2"/>
  <c r="N200" i="2"/>
  <c r="C226" i="2" l="1"/>
  <c r="N221" i="2"/>
  <c r="B14" i="15"/>
  <c r="D14" i="15" s="1"/>
  <c r="F14" i="15" s="1"/>
  <c r="G14" i="15" s="1"/>
  <c r="M231" i="17"/>
  <c r="M253" i="17" s="1"/>
  <c r="I253" i="17"/>
  <c r="N231" i="17" l="1"/>
  <c r="N253" i="17" s="1"/>
  <c r="C15" i="15"/>
  <c r="I226" i="2"/>
  <c r="C247" i="2"/>
  <c r="M226" i="2" l="1"/>
  <c r="M247" i="2" s="1"/>
  <c r="B15" i="15" s="1"/>
  <c r="I247" i="2"/>
  <c r="N226" i="2" l="1"/>
  <c r="N247" i="2" s="1"/>
  <c r="D15" i="15"/>
  <c r="F15" i="15" s="1"/>
  <c r="G15" i="15" s="1"/>
</calcChain>
</file>

<file path=xl/sharedStrings.xml><?xml version="1.0" encoding="utf-8"?>
<sst xmlns="http://schemas.openxmlformats.org/spreadsheetml/2006/main" count="940" uniqueCount="127">
  <si>
    <t xml:space="preserve"> </t>
  </si>
  <si>
    <t>Class</t>
  </si>
  <si>
    <t>Description</t>
  </si>
  <si>
    <t>net adjustments</t>
  </si>
  <si>
    <t>50% Rule</t>
  </si>
  <si>
    <t>Reduced UCC</t>
  </si>
  <si>
    <t>terminal loss</t>
  </si>
  <si>
    <t>UCC end of year</t>
  </si>
  <si>
    <t>Vehicles</t>
  </si>
  <si>
    <t>WIP</t>
  </si>
  <si>
    <t>Total</t>
  </si>
  <si>
    <t>dispositions</t>
  </si>
  <si>
    <t>Account</t>
  </si>
  <si>
    <t>CCA class</t>
  </si>
  <si>
    <t>Servc Centre Bldgs</t>
  </si>
  <si>
    <t>Offc Furn &amp; Equip</t>
  </si>
  <si>
    <t>Tools &amp; Equip</t>
  </si>
  <si>
    <t>Comm. Equip</t>
  </si>
  <si>
    <t>SCADA</t>
  </si>
  <si>
    <t>Misc. Equipment</t>
  </si>
  <si>
    <t xml:space="preserve">Comp Sftwre </t>
  </si>
  <si>
    <t>Leasehold Improv</t>
  </si>
  <si>
    <t>Sub Trans Poles and Fixtures</t>
  </si>
  <si>
    <t>Sub Trans Conduct etc Overhead</t>
  </si>
  <si>
    <t>Substations</t>
  </si>
  <si>
    <t>Dist Poles</t>
  </si>
  <si>
    <t>Dist Wire</t>
  </si>
  <si>
    <t>Dist Duct</t>
  </si>
  <si>
    <t>Dist Cable</t>
  </si>
  <si>
    <t>Transformer</t>
  </si>
  <si>
    <t>contributions</t>
  </si>
  <si>
    <t>Services</t>
  </si>
  <si>
    <t>Meters</t>
  </si>
  <si>
    <t xml:space="preserve">  </t>
  </si>
  <si>
    <t>Comp Hdrwre</t>
  </si>
  <si>
    <t>Land</t>
  </si>
  <si>
    <t>N/A</t>
  </si>
  <si>
    <t>Sub trans Conduit UG</t>
  </si>
  <si>
    <t>Sub Trans Cond &amp; Dev</t>
  </si>
  <si>
    <t>Land Rights</t>
  </si>
  <si>
    <t>Bldg &amp; Fixtures</t>
  </si>
  <si>
    <t>TS Equipment</t>
  </si>
  <si>
    <t xml:space="preserve">Land  </t>
  </si>
  <si>
    <t>Stores Equip</t>
  </si>
  <si>
    <t>Test Equip</t>
  </si>
  <si>
    <t>CDM-Inst on Cust Prem</t>
  </si>
  <si>
    <t>Non-Utility Property - Renewables</t>
  </si>
  <si>
    <t>Net Cap exp.</t>
  </si>
  <si>
    <t>Misc int Plant</t>
  </si>
  <si>
    <t>Borrowing costs capitalization</t>
  </si>
  <si>
    <t>Land rights</t>
  </si>
  <si>
    <t>based on Q2 projections</t>
  </si>
  <si>
    <t>Projected additions in 2017</t>
  </si>
  <si>
    <t>2017 Capex Forecast</t>
  </si>
  <si>
    <t>As per CAPEX report</t>
  </si>
  <si>
    <t>DIFF</t>
  </si>
  <si>
    <t>CCA Rate %</t>
  </si>
  <si>
    <t>recapture of CCA</t>
  </si>
  <si>
    <t>UCC2017</t>
  </si>
  <si>
    <t>Additions Nov 21-Dec 31</t>
  </si>
  <si>
    <t>Additions Jan 1-Nov 20</t>
  </si>
  <si>
    <t xml:space="preserve">CCA </t>
  </si>
  <si>
    <t>Equipment acquired after Nov 20, 2018</t>
  </si>
  <si>
    <t>UCC2018</t>
  </si>
  <si>
    <t>CCA - 90 days</t>
  </si>
  <si>
    <t>Additions Jan 1 - Mar 31 2019</t>
  </si>
  <si>
    <t>actual tax return</t>
  </si>
  <si>
    <t>BLDG, PLANT &amp; DISTR</t>
  </si>
  <si>
    <t>GEN &amp; DISTR &lt; 1988</t>
  </si>
  <si>
    <t>OFFICE EQUIPMENT</t>
  </si>
  <si>
    <t>COMPUTER EQUIPMENT</t>
  </si>
  <si>
    <t>Computer Software</t>
  </si>
  <si>
    <t>BLDG, PLANT &amp; DISTR acquired after Nov 20, 2018</t>
  </si>
  <si>
    <t>Goodwill</t>
  </si>
  <si>
    <t>Transaction Costs</t>
  </si>
  <si>
    <t>YARD IMPROVEMENTS</t>
  </si>
  <si>
    <t>SOLAR PANELS</t>
  </si>
  <si>
    <t>COMPUTER EQUIPMENT ACQUI</t>
  </si>
  <si>
    <t>GEN &amp; DISTR &gt; FEB 22, 2005</t>
  </si>
  <si>
    <t>Computer Software acquired after Nov 20, 2018</t>
  </si>
  <si>
    <t>GEN &amp; DISTR &gt; FEB 22, 2005 acquired after Nov 20, 2018</t>
  </si>
  <si>
    <t>COMPUTER EQUIPMENT ACQUI acquired after Nov 20, 2018</t>
  </si>
  <si>
    <t>Transaction Costs after Nov 20, 2018</t>
  </si>
  <si>
    <t>Additions Jan 1 - Mar 31 2019 AIIP</t>
  </si>
  <si>
    <t>Whitby</t>
  </si>
  <si>
    <t>CCA without accel depn</t>
  </si>
  <si>
    <t>CCA with accel depn</t>
  </si>
  <si>
    <t>Difference</t>
  </si>
  <si>
    <t>Tax Impact</t>
  </si>
  <si>
    <t>2019 Apr-Dec</t>
  </si>
  <si>
    <t>2019 Jan-Mar</t>
  </si>
  <si>
    <t>Additions Nov 21-Dec 31 AIIP</t>
  </si>
  <si>
    <t>Tax Rate</t>
  </si>
  <si>
    <t>Gross Up</t>
  </si>
  <si>
    <t>Income Tax (Grossed Up)</t>
  </si>
  <si>
    <t>Q12019</t>
  </si>
  <si>
    <t>CCA - 275 days</t>
  </si>
  <si>
    <t>UCC2019</t>
  </si>
  <si>
    <t>Additions 2020</t>
  </si>
  <si>
    <t>CCA</t>
  </si>
  <si>
    <t>UCC2020</t>
  </si>
  <si>
    <t>Additions 2021</t>
  </si>
  <si>
    <t>COMPUTER EQUIPMENT/Vehicles</t>
  </si>
  <si>
    <t>COMPUTER EQUIPMENT/Vehicles after nov 18</t>
  </si>
  <si>
    <t>tax projections</t>
  </si>
  <si>
    <t>Additions 2022</t>
  </si>
  <si>
    <t>UCC2021</t>
  </si>
  <si>
    <t>UCC2022</t>
  </si>
  <si>
    <t>Additions 2023</t>
  </si>
  <si>
    <t>2026(forecast)</t>
  </si>
  <si>
    <t>tax fprecast</t>
  </si>
  <si>
    <t>UCC2023</t>
  </si>
  <si>
    <t>Additions 2024</t>
  </si>
  <si>
    <t>UCC2024</t>
  </si>
  <si>
    <t>Additions 2025</t>
  </si>
  <si>
    <t>tax forecast</t>
  </si>
  <si>
    <t>UCC2025</t>
  </si>
  <si>
    <t>Additions 2026</t>
  </si>
  <si>
    <t xml:space="preserve">1.5M immediate expensing </t>
  </si>
  <si>
    <t>ADMS softare/equipment</t>
  </si>
  <si>
    <t>ADMS softare/equipment-accelerated CCA</t>
  </si>
  <si>
    <t>UCC2027</t>
  </si>
  <si>
    <t>Tax return</t>
  </si>
  <si>
    <t>tax return</t>
  </si>
  <si>
    <t>tax returrn</t>
  </si>
  <si>
    <t>2025(forecast)*</t>
  </si>
  <si>
    <t>*pending final 2025 tax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</si>
</sst>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_(&quot;$&quot;* #,##0_);_(&quot;$&quot;* \(#,##0\);_(&quot;$&quot;* &quot;-&quot;??_);_(@_)"/>
    <numFmt numFmtId="168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9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9.5"/>
      <color rgb="FF000000"/>
      <name val="Verdan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00B050"/>
      <name val="Verdana"/>
      <family val="2"/>
    </font>
    <font>
      <b/>
      <sz val="9"/>
      <color rgb="FF00B050"/>
      <name val="Arial"/>
      <family val="2"/>
    </font>
    <font>
      <sz val="11"/>
      <color rgb="FFFF0000"/>
      <name val="Times New Roman"/>
      <family val="1"/>
    </font>
    <font>
      <sz val="10"/>
      <color rgb="FF000000"/>
      <name val="Arial"/>
      <family val="2"/>
    </font>
    <font>
      <sz val="9"/>
      <name val="Segoe UI"/>
      <family val="2"/>
    </font>
    <font>
      <b/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6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4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165" fontId="19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93">
    <xf numFmtId="0" fontId="0" fillId="0" borderId="0" xfId="0"/>
    <xf numFmtId="166" fontId="0" fillId="0" borderId="0" xfId="1" applyNumberFormat="1" applyFont="1" applyBorder="1"/>
    <xf numFmtId="0" fontId="7" fillId="0" borderId="1" xfId="4" applyFont="1" applyBorder="1" applyAlignment="1">
      <alignment wrapText="1"/>
    </xf>
    <xf numFmtId="166" fontId="3" fillId="0" borderId="1" xfId="1" applyNumberFormat="1" applyFont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Fill="1" applyBorder="1" applyAlignment="1">
      <alignment wrapText="1"/>
    </xf>
    <xf numFmtId="166" fontId="8" fillId="0" borderId="1" xfId="1" applyNumberFormat="1" applyFont="1" applyFill="1" applyBorder="1"/>
    <xf numFmtId="166" fontId="0" fillId="0" borderId="1" xfId="1" applyNumberFormat="1" applyFont="1" applyFill="1" applyBorder="1"/>
    <xf numFmtId="0" fontId="8" fillId="2" borderId="1" xfId="5" applyNumberFormat="1" applyFont="1" applyFill="1" applyBorder="1" applyAlignment="1" applyProtection="1">
      <protection locked="0"/>
    </xf>
    <xf numFmtId="0" fontId="8" fillId="0" borderId="1" xfId="5" applyNumberFormat="1" applyFont="1" applyFill="1" applyBorder="1" applyAlignment="1" applyProtection="1">
      <protection locked="0"/>
    </xf>
    <xf numFmtId="3" fontId="8" fillId="0" borderId="1" xfId="4" applyNumberFormat="1" applyFont="1" applyBorder="1"/>
    <xf numFmtId="166" fontId="0" fillId="0" borderId="1" xfId="1" applyNumberFormat="1" applyFont="1" applyBorder="1"/>
    <xf numFmtId="9" fontId="0" fillId="0" borderId="1" xfId="1" applyNumberFormat="1" applyFont="1" applyBorder="1"/>
    <xf numFmtId="166" fontId="0" fillId="2" borderId="1" xfId="1" applyNumberFormat="1" applyFont="1" applyFill="1" applyBorder="1"/>
    <xf numFmtId="0" fontId="8" fillId="2" borderId="1" xfId="5" applyNumberFormat="1" applyFont="1" applyFill="1" applyBorder="1" applyAlignment="1" applyProtection="1">
      <alignment horizontal="right"/>
      <protection locked="0"/>
    </xf>
    <xf numFmtId="0" fontId="8" fillId="2" borderId="1" xfId="6" applyFont="1" applyFill="1" applyBorder="1" applyProtection="1">
      <protection locked="0"/>
    </xf>
    <xf numFmtId="0" fontId="8" fillId="0" borderId="1" xfId="6" applyFont="1" applyBorder="1" applyProtection="1">
      <protection locked="0"/>
    </xf>
    <xf numFmtId="0" fontId="8" fillId="0" borderId="1" xfId="6" applyFont="1" applyBorder="1" applyAlignment="1" applyProtection="1">
      <alignment wrapText="1"/>
      <protection locked="0"/>
    </xf>
    <xf numFmtId="0" fontId="8" fillId="2" borderId="1" xfId="6" applyFont="1" applyFill="1" applyBorder="1"/>
    <xf numFmtId="0" fontId="8" fillId="0" borderId="1" xfId="6" applyFont="1" applyBorder="1"/>
    <xf numFmtId="166" fontId="6" fillId="0" borderId="1" xfId="1" applyNumberFormat="1" applyFont="1" applyFill="1" applyBorder="1"/>
    <xf numFmtId="0" fontId="8" fillId="0" borderId="3" xfId="4" applyFont="1" applyBorder="1"/>
    <xf numFmtId="3" fontId="7" fillId="0" borderId="3" xfId="4" applyNumberFormat="1" applyFont="1" applyBorder="1"/>
    <xf numFmtId="0" fontId="7" fillId="2" borderId="1" xfId="4" applyFont="1" applyFill="1" applyBorder="1" applyAlignment="1">
      <alignment wrapText="1"/>
    </xf>
    <xf numFmtId="0" fontId="7" fillId="0" borderId="3" xfId="4" applyFont="1" applyBorder="1"/>
    <xf numFmtId="166" fontId="0" fillId="0" borderId="0" xfId="0" applyNumberFormat="1"/>
    <xf numFmtId="0" fontId="8" fillId="0" borderId="2" xfId="6" applyFont="1" applyBorder="1"/>
    <xf numFmtId="0" fontId="9" fillId="0" borderId="0" xfId="0" applyFont="1"/>
    <xf numFmtId="166" fontId="8" fillId="0" borderId="2" xfId="1" applyNumberFormat="1" applyFont="1" applyFill="1" applyBorder="1"/>
    <xf numFmtId="0" fontId="10" fillId="0" borderId="0" xfId="7" applyFont="1"/>
    <xf numFmtId="0" fontId="10" fillId="0" borderId="0" xfId="7" applyFont="1" applyAlignment="1">
      <alignment horizontal="center"/>
    </xf>
    <xf numFmtId="0" fontId="11" fillId="0" borderId="0" xfId="7" applyFont="1"/>
    <xf numFmtId="0" fontId="10" fillId="0" borderId="0" xfId="7" applyFont="1" applyAlignment="1">
      <alignment horizontal="center" wrapText="1"/>
    </xf>
    <xf numFmtId="0" fontId="12" fillId="0" borderId="5" xfId="7" applyFont="1" applyBorder="1"/>
    <xf numFmtId="0" fontId="12" fillId="0" borderId="0" xfId="7" applyFont="1"/>
    <xf numFmtId="167" fontId="12" fillId="0" borderId="0" xfId="8" applyNumberFormat="1" applyFont="1" applyFill="1" applyAlignment="1">
      <alignment wrapText="1"/>
    </xf>
    <xf numFmtId="0" fontId="10" fillId="0" borderId="0" xfId="8" applyNumberFormat="1" applyFont="1" applyFill="1" applyAlignment="1">
      <alignment horizontal="center" wrapText="1"/>
    </xf>
    <xf numFmtId="167" fontId="10" fillId="0" borderId="0" xfId="8" applyNumberFormat="1" applyFont="1" applyFill="1" applyAlignment="1">
      <alignment wrapText="1"/>
    </xf>
    <xf numFmtId="167" fontId="0" fillId="0" borderId="0" xfId="0" applyNumberFormat="1"/>
    <xf numFmtId="167" fontId="12" fillId="0" borderId="4" xfId="8" applyNumberFormat="1" applyFont="1" applyFill="1" applyBorder="1" applyAlignment="1">
      <alignment wrapText="1"/>
    </xf>
    <xf numFmtId="167" fontId="10" fillId="0" borderId="0" xfId="8" applyNumberFormat="1" applyFont="1" applyFill="1" applyAlignment="1">
      <alignment horizontal="center" wrapText="1"/>
    </xf>
    <xf numFmtId="167" fontId="11" fillId="0" borderId="0" xfId="7" applyNumberFormat="1" applyFont="1"/>
    <xf numFmtId="167" fontId="10" fillId="0" borderId="0" xfId="7" applyNumberFormat="1" applyFont="1"/>
    <xf numFmtId="167" fontId="12" fillId="0" borderId="0" xfId="8" applyNumberFormat="1" applyFont="1" applyFill="1" applyBorder="1" applyAlignment="1">
      <alignment wrapText="1"/>
    </xf>
    <xf numFmtId="167" fontId="10" fillId="0" borderId="4" xfId="8" applyNumberFormat="1" applyFont="1" applyFill="1" applyBorder="1" applyAlignment="1">
      <alignment wrapText="1"/>
    </xf>
    <xf numFmtId="166" fontId="2" fillId="0" borderId="0" xfId="1" applyNumberFormat="1" applyFont="1" applyFill="1"/>
    <xf numFmtId="166" fontId="7" fillId="0" borderId="3" xfId="1" applyNumberFormat="1" applyFont="1" applyFill="1" applyBorder="1"/>
    <xf numFmtId="0" fontId="14" fillId="0" borderId="1" xfId="4" applyFont="1" applyBorder="1" applyAlignment="1">
      <alignment wrapText="1"/>
    </xf>
    <xf numFmtId="166" fontId="15" fillId="0" borderId="1" xfId="1" applyNumberFormat="1" applyFont="1" applyFill="1" applyBorder="1" applyAlignment="1">
      <alignment horizontal="right" wrapText="1"/>
    </xf>
    <xf numFmtId="0" fontId="16" fillId="0" borderId="1" xfId="1" applyNumberFormat="1" applyFont="1" applyFill="1" applyBorder="1" applyAlignment="1">
      <alignment horizontal="left" wrapText="1"/>
    </xf>
    <xf numFmtId="0" fontId="15" fillId="0" borderId="1" xfId="1" applyNumberFormat="1" applyFont="1" applyFill="1" applyBorder="1"/>
    <xf numFmtId="166" fontId="13" fillId="0" borderId="1" xfId="1" applyNumberFormat="1" applyFont="1" applyFill="1" applyBorder="1" applyAlignment="1">
      <alignment horizontal="right"/>
    </xf>
    <xf numFmtId="168" fontId="0" fillId="0" borderId="1" xfId="1" applyNumberFormat="1" applyFont="1" applyBorder="1"/>
    <xf numFmtId="167" fontId="17" fillId="0" borderId="0" xfId="8" applyNumberFormat="1" applyFont="1" applyFill="1" applyAlignment="1">
      <alignment wrapText="1"/>
    </xf>
    <xf numFmtId="166" fontId="0" fillId="0" borderId="0" xfId="1" applyNumberFormat="1" applyFont="1" applyFill="1"/>
    <xf numFmtId="9" fontId="0" fillId="0" borderId="1" xfId="1" applyNumberFormat="1" applyFont="1" applyFill="1" applyBorder="1"/>
    <xf numFmtId="168" fontId="0" fillId="0" borderId="1" xfId="1" applyNumberFormat="1" applyFont="1" applyFill="1" applyBorder="1"/>
    <xf numFmtId="37" fontId="0" fillId="0" borderId="0" xfId="0" applyNumberFormat="1"/>
    <xf numFmtId="0" fontId="9" fillId="0" borderId="1" xfId="0" applyFont="1" applyBorder="1"/>
    <xf numFmtId="43" fontId="0" fillId="0" borderId="1" xfId="1" applyNumberFormat="1" applyFont="1" applyFill="1" applyBorder="1"/>
    <xf numFmtId="43" fontId="0" fillId="0" borderId="0" xfId="0" applyNumberFormat="1"/>
    <xf numFmtId="166" fontId="8" fillId="0" borderId="3" xfId="1" applyNumberFormat="1" applyFont="1" applyFill="1" applyBorder="1"/>
    <xf numFmtId="166" fontId="7" fillId="0" borderId="6" xfId="1" applyNumberFormat="1" applyFont="1" applyFill="1" applyBorder="1" applyAlignment="1">
      <alignment wrapText="1"/>
    </xf>
    <xf numFmtId="166" fontId="8" fillId="0" borderId="6" xfId="1" applyNumberFormat="1" applyFont="1" applyFill="1" applyBorder="1"/>
    <xf numFmtId="166" fontId="0" fillId="0" borderId="6" xfId="1" applyNumberFormat="1" applyFont="1" applyBorder="1"/>
    <xf numFmtId="3" fontId="7" fillId="0" borderId="7" xfId="4" applyNumberFormat="1" applyFont="1" applyBorder="1"/>
    <xf numFmtId="0" fontId="8" fillId="2" borderId="2" xfId="5" applyNumberFormat="1" applyFont="1" applyFill="1" applyBorder="1" applyAlignment="1" applyProtection="1">
      <protection locked="0"/>
    </xf>
    <xf numFmtId="166" fontId="0" fillId="0" borderId="4" xfId="1" applyNumberFormat="1" applyFont="1" applyBorder="1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166" fontId="0" fillId="2" borderId="0" xfId="1" applyNumberFormat="1" applyFont="1" applyFill="1"/>
    <xf numFmtId="0" fontId="20" fillId="2" borderId="0" xfId="0" applyFont="1" applyFill="1"/>
    <xf numFmtId="10" fontId="0" fillId="2" borderId="0" xfId="2" applyNumberFormat="1" applyFont="1" applyFill="1"/>
    <xf numFmtId="166" fontId="0" fillId="0" borderId="0" xfId="1" applyNumberFormat="1" applyFont="1"/>
    <xf numFmtId="0" fontId="0" fillId="2" borderId="0" xfId="0" applyFill="1" applyAlignment="1">
      <alignment horizontal="left"/>
    </xf>
    <xf numFmtId="165" fontId="0" fillId="0" borderId="1" xfId="1" applyFont="1" applyFill="1" applyBorder="1"/>
    <xf numFmtId="165" fontId="0" fillId="0" borderId="1" xfId="1" applyFont="1" applyBorder="1"/>
    <xf numFmtId="166" fontId="0" fillId="0" borderId="0" xfId="1" quotePrefix="1" applyNumberFormat="1" applyFont="1"/>
    <xf numFmtId="165" fontId="0" fillId="0" borderId="0" xfId="0" applyNumberFormat="1"/>
    <xf numFmtId="10" fontId="0" fillId="0" borderId="0" xfId="2" applyNumberFormat="1" applyFont="1" applyFill="1"/>
    <xf numFmtId="0" fontId="0" fillId="0" borderId="0" xfId="0" applyAlignment="1">
      <alignment horizontal="left"/>
    </xf>
    <xf numFmtId="166" fontId="21" fillId="0" borderId="0" xfId="1" applyNumberFormat="1" applyFont="1" applyBorder="1"/>
    <xf numFmtId="166" fontId="22" fillId="0" borderId="1" xfId="1" applyNumberFormat="1" applyFont="1" applyBorder="1" applyAlignment="1">
      <alignment horizontal="center" vertical="center" wrapText="1"/>
    </xf>
    <xf numFmtId="0" fontId="7" fillId="0" borderId="1" xfId="1" applyNumberFormat="1" applyFont="1" applyFill="1" applyBorder="1"/>
    <xf numFmtId="166" fontId="21" fillId="0" borderId="1" xfId="1" applyNumberFormat="1" applyFont="1" applyFill="1" applyBorder="1"/>
    <xf numFmtId="168" fontId="21" fillId="0" borderId="1" xfId="1" applyNumberFormat="1" applyFont="1" applyFill="1" applyBorder="1"/>
    <xf numFmtId="165" fontId="21" fillId="0" borderId="1" xfId="1" applyFont="1" applyFill="1" applyBorder="1"/>
    <xf numFmtId="43" fontId="21" fillId="0" borderId="1" xfId="1" applyNumberFormat="1" applyFont="1" applyFill="1" applyBorder="1"/>
    <xf numFmtId="166" fontId="0" fillId="2" borderId="8" xfId="0" applyNumberFormat="1" applyFill="1" applyBorder="1"/>
    <xf numFmtId="0" fontId="3" fillId="2" borderId="0" xfId="0" applyFont="1" applyFill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3" fillId="0" borderId="0" xfId="0" applyFont="1" applyAlignment="1">
      <alignment horizontal="justify" vertical="center"/>
    </xf>
  </cellXfs>
  <cellStyles count="18">
    <cellStyle name="Comma" xfId="1" builtinId="3"/>
    <cellStyle name="Comma 10" xfId="16" xr:uid="{00000000-0005-0000-0000-000001000000}"/>
    <cellStyle name="Comma 13 3" xfId="14" xr:uid="{00000000-0005-0000-0000-000002000000}"/>
    <cellStyle name="Comma 2" xfId="5" xr:uid="{00000000-0005-0000-0000-000003000000}"/>
    <cellStyle name="Comma 3" xfId="3" xr:uid="{00000000-0005-0000-0000-000004000000}"/>
    <cellStyle name="Currency 11" xfId="15" xr:uid="{00000000-0005-0000-0000-000005000000}"/>
    <cellStyle name="Currency 2" xfId="8" xr:uid="{00000000-0005-0000-0000-000006000000}"/>
    <cellStyle name="Normal" xfId="0" builtinId="0"/>
    <cellStyle name="Normal 10" xfId="10" xr:uid="{00000000-0005-0000-0000-000009000000}"/>
    <cellStyle name="Normal 10 3" xfId="17" xr:uid="{00000000-0005-0000-0000-00000A000000}"/>
    <cellStyle name="Normal 14" xfId="12" xr:uid="{00000000-0005-0000-0000-00000B000000}"/>
    <cellStyle name="Normal 18" xfId="13" xr:uid="{00000000-0005-0000-0000-00000C000000}"/>
    <cellStyle name="Normal 2" xfId="9" xr:uid="{00000000-0005-0000-0000-00000D000000}"/>
    <cellStyle name="Normal 2 2 2" xfId="7" xr:uid="{00000000-0005-0000-0000-00000E000000}"/>
    <cellStyle name="Normal 3" xfId="4" xr:uid="{00000000-0005-0000-0000-00000F000000}"/>
    <cellStyle name="Normal 6" xfId="11" xr:uid="{00000000-0005-0000-0000-000010000000}"/>
    <cellStyle name="Normal_Capital Jan - Mar" xfId="6" xr:uid="{00000000-0005-0000-0000-000011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I9" sqref="I9"/>
    </sheetView>
  </sheetViews>
  <sheetFormatPr defaultColWidth="9.140625" defaultRowHeight="15" x14ac:dyDescent="0.25"/>
  <cols>
    <col min="1" max="1" width="30.28515625" style="69" customWidth="1"/>
    <col min="2" max="2" width="12.42578125" style="69" customWidth="1"/>
    <col min="3" max="3" width="11.85546875" style="69" customWidth="1"/>
    <col min="4" max="5" width="10.42578125" style="69" customWidth="1"/>
    <col min="6" max="6" width="11.28515625" style="69" customWidth="1"/>
    <col min="7" max="7" width="13.5703125" style="69" customWidth="1"/>
    <col min="8" max="8" width="10" style="69" bestFit="1" customWidth="1"/>
    <col min="9" max="16384" width="9.140625" style="69"/>
  </cols>
  <sheetData>
    <row r="1" spans="1:7" ht="15" customHeight="1" x14ac:dyDescent="0.25">
      <c r="B1" s="90" t="s">
        <v>85</v>
      </c>
      <c r="C1" s="90" t="s">
        <v>86</v>
      </c>
      <c r="D1" s="90" t="s">
        <v>87</v>
      </c>
      <c r="E1" s="90" t="s">
        <v>92</v>
      </c>
      <c r="F1" s="90" t="s">
        <v>88</v>
      </c>
      <c r="G1" s="90" t="s">
        <v>94</v>
      </c>
    </row>
    <row r="2" spans="1:7" ht="15" customHeight="1" x14ac:dyDescent="0.25">
      <c r="B2" s="90"/>
      <c r="C2" s="90"/>
      <c r="D2" s="90"/>
      <c r="E2" s="90"/>
      <c r="F2" s="90"/>
      <c r="G2" s="90"/>
    </row>
    <row r="3" spans="1:7" ht="15" customHeight="1" x14ac:dyDescent="0.25">
      <c r="B3" s="91"/>
      <c r="C3" s="91"/>
      <c r="D3" s="91"/>
      <c r="E3" s="91"/>
      <c r="F3" s="91"/>
      <c r="G3" s="91" t="s">
        <v>93</v>
      </c>
    </row>
    <row r="5" spans="1:7" x14ac:dyDescent="0.25">
      <c r="A5" s="72" t="s">
        <v>84</v>
      </c>
    </row>
    <row r="6" spans="1:7" x14ac:dyDescent="0.25">
      <c r="A6" s="75">
        <v>2018</v>
      </c>
      <c r="B6" s="70">
        <f>'CCA - wo accelerated'!M23</f>
        <v>5951300.8600000003</v>
      </c>
      <c r="C6" s="70">
        <f>'CCA - w accelerated'!M23</f>
        <v>6087515.7700000005</v>
      </c>
      <c r="D6" s="70">
        <f t="shared" ref="D6:D15" si="0">C6-B6</f>
        <v>136214.91000000015</v>
      </c>
      <c r="E6" s="73">
        <v>0.26500000000000001</v>
      </c>
      <c r="F6" s="71">
        <f t="shared" ref="F6:F12" si="1">D6*E6</f>
        <v>36096.951150000044</v>
      </c>
      <c r="G6" s="71">
        <f t="shared" ref="G6:G14" si="2">F6/(1-E6)</f>
        <v>49111.498163265365</v>
      </c>
    </row>
    <row r="7" spans="1:7" x14ac:dyDescent="0.25">
      <c r="A7" s="75" t="s">
        <v>90</v>
      </c>
      <c r="B7" s="70">
        <f>'CCA - wo accelerated'!M47</f>
        <v>1399980.0971835619</v>
      </c>
      <c r="C7" s="70">
        <f>'CCA - w accelerated'!M47</f>
        <v>1423003.0706876712</v>
      </c>
      <c r="D7" s="70">
        <f t="shared" si="0"/>
        <v>23022.973504109308</v>
      </c>
      <c r="E7" s="73">
        <f t="shared" ref="E7:E15" si="3">E6</f>
        <v>0.26500000000000001</v>
      </c>
      <c r="F7" s="71">
        <f t="shared" si="1"/>
        <v>6101.0879785889665</v>
      </c>
      <c r="G7" s="71">
        <f t="shared" si="2"/>
        <v>8300.7999708693424</v>
      </c>
    </row>
    <row r="8" spans="1:7" x14ac:dyDescent="0.25">
      <c r="A8" s="81" t="s">
        <v>89</v>
      </c>
      <c r="B8" s="68">
        <f>'CCA - wo accelerated'!M71</f>
        <v>4553428.5506538497</v>
      </c>
      <c r="C8" s="68">
        <f>'CCA - w accelerated'!M71</f>
        <v>5242631.8482499449</v>
      </c>
      <c r="D8" s="68">
        <f t="shared" si="0"/>
        <v>689203.29759609513</v>
      </c>
      <c r="E8" s="80">
        <f>E7</f>
        <v>0.26500000000000001</v>
      </c>
      <c r="F8" s="54">
        <f t="shared" si="1"/>
        <v>182638.87386296521</v>
      </c>
      <c r="G8" s="54">
        <f t="shared" si="2"/>
        <v>248488.26375913635</v>
      </c>
    </row>
    <row r="9" spans="1:7" x14ac:dyDescent="0.25">
      <c r="A9" s="75">
        <v>2020</v>
      </c>
      <c r="B9" s="70">
        <f>'CCA - wo accelerated'!M95</f>
        <v>6372897.1700188071</v>
      </c>
      <c r="C9" s="68">
        <f>'CCA - w accelerated'!M95</f>
        <v>6998507.5388182877</v>
      </c>
      <c r="D9" s="70">
        <f t="shared" si="0"/>
        <v>625610.36879948061</v>
      </c>
      <c r="E9" s="73">
        <f>E8</f>
        <v>0.26500000000000001</v>
      </c>
      <c r="F9" s="71">
        <f t="shared" si="1"/>
        <v>165786.74773186236</v>
      </c>
      <c r="G9" s="71">
        <f t="shared" si="2"/>
        <v>225560.20099573111</v>
      </c>
    </row>
    <row r="10" spans="1:7" x14ac:dyDescent="0.25">
      <c r="A10" s="75">
        <v>2021</v>
      </c>
      <c r="B10" s="70">
        <f>'CCA - wo accelerated'!M119</f>
        <v>6704741.4001825592</v>
      </c>
      <c r="C10" s="68">
        <f>'CCA - w accelerated'!M120</f>
        <v>7758031.8924833788</v>
      </c>
      <c r="D10" s="70">
        <f t="shared" si="0"/>
        <v>1053290.4923008196</v>
      </c>
      <c r="E10" s="73">
        <f t="shared" si="3"/>
        <v>0.26500000000000001</v>
      </c>
      <c r="F10" s="71">
        <f t="shared" si="1"/>
        <v>279121.98045971722</v>
      </c>
      <c r="G10" s="54">
        <f t="shared" si="2"/>
        <v>379757.79654383298</v>
      </c>
    </row>
    <row r="11" spans="1:7" x14ac:dyDescent="0.25">
      <c r="A11" s="75">
        <v>2022</v>
      </c>
      <c r="B11" s="70">
        <f>'CCA - wo accelerated'!M143</f>
        <v>7808154.1573599707</v>
      </c>
      <c r="C11" s="68">
        <f>'CCA - w accelerated'!M145</f>
        <v>9684500.1584060919</v>
      </c>
      <c r="D11" s="70">
        <f t="shared" si="0"/>
        <v>1876346.0010461211</v>
      </c>
      <c r="E11" s="73">
        <f t="shared" si="3"/>
        <v>0.26500000000000001</v>
      </c>
      <c r="F11" s="71">
        <f t="shared" si="1"/>
        <v>497231.69027722214</v>
      </c>
      <c r="G11" s="54">
        <f t="shared" si="2"/>
        <v>676505.70105744514</v>
      </c>
    </row>
    <row r="12" spans="1:7" x14ac:dyDescent="0.25">
      <c r="A12" s="81">
        <v>2023</v>
      </c>
      <c r="B12" s="68">
        <f>'CCA - wo accelerated'!M169</f>
        <v>8775274.2251838986</v>
      </c>
      <c r="C12" s="68">
        <f>'CCA - w accelerated'!M172</f>
        <v>9587239.4256060869</v>
      </c>
      <c r="D12" s="68">
        <f t="shared" si="0"/>
        <v>811965.20042218827</v>
      </c>
      <c r="E12" s="80">
        <f t="shared" si="3"/>
        <v>0.26500000000000001</v>
      </c>
      <c r="F12" s="54">
        <f t="shared" si="1"/>
        <v>215170.77811187989</v>
      </c>
      <c r="G12" s="54">
        <f t="shared" si="2"/>
        <v>292749.35797534679</v>
      </c>
    </row>
    <row r="13" spans="1:7" x14ac:dyDescent="0.25">
      <c r="A13" s="75">
        <v>2024</v>
      </c>
      <c r="B13" s="70">
        <f>'CCA - wo accelerated'!M195</f>
        <v>8915305.4982035086</v>
      </c>
      <c r="C13" s="70">
        <f>'CCA - w accelerated'!M199</f>
        <v>8693605.6973362491</v>
      </c>
      <c r="D13" s="71">
        <f t="shared" si="0"/>
        <v>-221699.8008672595</v>
      </c>
      <c r="E13" s="73">
        <f t="shared" si="3"/>
        <v>0.26500000000000001</v>
      </c>
      <c r="F13" s="71">
        <f>D13*E13</f>
        <v>-58750.447229823774</v>
      </c>
      <c r="G13" s="54">
        <f t="shared" si="2"/>
        <v>-79932.581265066357</v>
      </c>
    </row>
    <row r="14" spans="1:7" x14ac:dyDescent="0.25">
      <c r="A14" s="75" t="s">
        <v>125</v>
      </c>
      <c r="B14" s="70">
        <f>'CCA - wo accelerated'!M221</f>
        <v>9476143.0915816091</v>
      </c>
      <c r="C14" s="70">
        <f>'CCA - w accelerated'!M226</f>
        <v>9948675.8620423935</v>
      </c>
      <c r="D14" s="71">
        <f t="shared" si="0"/>
        <v>472532.77046078444</v>
      </c>
      <c r="E14" s="73">
        <f t="shared" si="3"/>
        <v>0.26500000000000001</v>
      </c>
      <c r="F14" s="71">
        <f>D14*E14</f>
        <v>125221.18417210788</v>
      </c>
      <c r="G14" s="54">
        <f t="shared" si="2"/>
        <v>170368.95805728965</v>
      </c>
    </row>
    <row r="15" spans="1:7" x14ac:dyDescent="0.25">
      <c r="A15" s="75" t="s">
        <v>109</v>
      </c>
      <c r="B15" s="70">
        <f>'CCA - wo accelerated'!M247</f>
        <v>9817429.3617905248</v>
      </c>
      <c r="C15" s="70">
        <f>'CCA - w accelerated'!M253</f>
        <v>9507077.4622770194</v>
      </c>
      <c r="D15" s="71">
        <f t="shared" si="0"/>
        <v>-310351.8995135054</v>
      </c>
      <c r="E15" s="73">
        <f t="shared" si="3"/>
        <v>0.26500000000000001</v>
      </c>
      <c r="F15" s="71">
        <f>D15*E15</f>
        <v>-82243.253371078928</v>
      </c>
      <c r="G15" s="54">
        <f>F15/(1-E15)</f>
        <v>-111895.58281779446</v>
      </c>
    </row>
    <row r="16" spans="1:7" x14ac:dyDescent="0.25">
      <c r="D16" s="70" t="s">
        <v>0</v>
      </c>
      <c r="G16" s="89">
        <f>SUM(G6:G15)</f>
        <v>1859014.412440056</v>
      </c>
    </row>
    <row r="17" spans="1:7" x14ac:dyDescent="0.25">
      <c r="A17" s="92" t="s">
        <v>126</v>
      </c>
    </row>
    <row r="18" spans="1:7" x14ac:dyDescent="0.25">
      <c r="A18" s="75"/>
      <c r="B18" s="70"/>
      <c r="C18" s="70"/>
      <c r="D18" s="71"/>
      <c r="E18" s="73"/>
      <c r="F18" s="71"/>
      <c r="G18" s="54"/>
    </row>
  </sheetData>
  <mergeCells count="6">
    <mergeCell ref="G1:G3"/>
    <mergeCell ref="E1:E3"/>
    <mergeCell ref="B1:B3"/>
    <mergeCell ref="C1:C3"/>
    <mergeCell ref="D1:D3"/>
    <mergeCell ref="F1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4"/>
  <sheetViews>
    <sheetView topLeftCell="A221" zoomScale="80" zoomScaleNormal="80" workbookViewId="0">
      <selection activeCell="E251" sqref="E251"/>
    </sheetView>
  </sheetViews>
  <sheetFormatPr defaultRowHeight="15" x14ac:dyDescent="0.25"/>
  <cols>
    <col min="1" max="1" width="9" customWidth="1"/>
    <col min="2" max="2" width="43.7109375" bestFit="1" customWidth="1"/>
    <col min="3" max="3" width="15.7109375" customWidth="1"/>
    <col min="4" max="4" width="13.85546875" style="1" bestFit="1" customWidth="1"/>
    <col min="5" max="5" width="16" style="1" bestFit="1" customWidth="1"/>
    <col min="6" max="6" width="12.140625" style="1" bestFit="1" customWidth="1"/>
    <col min="7" max="7" width="13" style="1" bestFit="1" customWidth="1"/>
    <col min="8" max="8" width="14.42578125" style="1" bestFit="1" customWidth="1"/>
    <col min="9" max="9" width="15.28515625" style="1" bestFit="1" customWidth="1"/>
    <col min="10" max="10" width="10" style="1" customWidth="1"/>
    <col min="11" max="11" width="12.85546875" style="1" customWidth="1"/>
    <col min="12" max="12" width="13" style="1" bestFit="1" customWidth="1"/>
    <col min="13" max="13" width="14.42578125" style="82" bestFit="1" customWidth="1"/>
    <col min="14" max="14" width="14.7109375" bestFit="1" customWidth="1"/>
    <col min="15" max="15" width="10.5703125" bestFit="1" customWidth="1"/>
    <col min="16" max="16" width="12.7109375" bestFit="1" customWidth="1"/>
    <col min="17" max="17" width="13.85546875" bestFit="1" customWidth="1"/>
    <col min="18" max="18" width="12.140625" bestFit="1" customWidth="1"/>
    <col min="19" max="19" width="10.85546875" bestFit="1" customWidth="1"/>
  </cols>
  <sheetData>
    <row r="1" spans="1:15" x14ac:dyDescent="0.25">
      <c r="A1">
        <v>2018</v>
      </c>
      <c r="B1" t="s">
        <v>66</v>
      </c>
    </row>
    <row r="2" spans="1:15" ht="30" x14ac:dyDescent="0.25">
      <c r="A2" s="23" t="s">
        <v>1</v>
      </c>
      <c r="B2" s="2" t="s">
        <v>2</v>
      </c>
      <c r="C2" s="2" t="s">
        <v>58</v>
      </c>
      <c r="D2" s="3" t="s">
        <v>60</v>
      </c>
      <c r="E2" s="3" t="s">
        <v>91</v>
      </c>
      <c r="F2" s="3" t="s">
        <v>3</v>
      </c>
      <c r="G2" s="3" t="s">
        <v>11</v>
      </c>
      <c r="H2" s="3" t="s">
        <v>4</v>
      </c>
      <c r="I2" s="3" t="s">
        <v>5</v>
      </c>
      <c r="J2" s="3" t="s">
        <v>56</v>
      </c>
      <c r="K2" s="3" t="s">
        <v>57</v>
      </c>
      <c r="L2" s="3" t="s">
        <v>6</v>
      </c>
      <c r="M2" s="83" t="s">
        <v>61</v>
      </c>
      <c r="N2" s="4" t="s">
        <v>7</v>
      </c>
    </row>
    <row r="3" spans="1:15" x14ac:dyDescent="0.25">
      <c r="A3" s="23"/>
      <c r="B3" s="2"/>
      <c r="C3" s="47"/>
      <c r="D3" s="62"/>
      <c r="E3" s="11"/>
      <c r="F3" s="5"/>
      <c r="G3" s="5"/>
      <c r="H3" s="5"/>
      <c r="I3" s="48"/>
      <c r="J3" s="49"/>
      <c r="K3" s="5"/>
      <c r="L3" s="5"/>
      <c r="M3" s="84"/>
      <c r="N3" s="50"/>
    </row>
    <row r="4" spans="1:15" x14ac:dyDescent="0.25">
      <c r="A4" s="8">
        <v>1</v>
      </c>
      <c r="B4" s="9" t="s">
        <v>67</v>
      </c>
      <c r="C4" s="10">
        <v>33378547</v>
      </c>
      <c r="D4" s="63">
        <v>59040</v>
      </c>
      <c r="E4" s="11"/>
      <c r="F4" s="6"/>
      <c r="G4" s="6"/>
      <c r="H4" s="7">
        <f>SUM(D4+G4)/2</f>
        <v>29520</v>
      </c>
      <c r="I4" s="56">
        <f>C4+H4</f>
        <v>33408067</v>
      </c>
      <c r="J4" s="55">
        <v>0.04</v>
      </c>
      <c r="K4" s="6"/>
      <c r="L4" s="6"/>
      <c r="M4" s="85">
        <f>I4*J4</f>
        <v>1336322.68</v>
      </c>
      <c r="N4" s="7">
        <f t="shared" ref="N4:N21" si="0">H4+I4-M4</f>
        <v>32101264.32</v>
      </c>
    </row>
    <row r="5" spans="1:15" x14ac:dyDescent="0.25">
      <c r="A5" s="8">
        <v>1</v>
      </c>
      <c r="B5" s="9" t="s">
        <v>72</v>
      </c>
      <c r="C5" s="10"/>
      <c r="D5" s="63"/>
      <c r="E5" s="11">
        <v>143224</v>
      </c>
      <c r="F5" s="6"/>
      <c r="G5" s="6"/>
      <c r="H5" s="7"/>
      <c r="I5" s="56">
        <f>E5</f>
        <v>143224</v>
      </c>
      <c r="J5" s="55">
        <f>J4*1.5</f>
        <v>0.06</v>
      </c>
      <c r="K5" s="6"/>
      <c r="L5" s="6"/>
      <c r="M5" s="85">
        <f>I5*J5</f>
        <v>8593.44</v>
      </c>
      <c r="N5" s="7">
        <f>H5+I5-M5</f>
        <v>134630.56</v>
      </c>
    </row>
    <row r="6" spans="1:15" x14ac:dyDescent="0.25">
      <c r="A6" s="14">
        <v>2</v>
      </c>
      <c r="B6" s="9" t="s">
        <v>68</v>
      </c>
      <c r="C6" s="10">
        <v>4949174</v>
      </c>
      <c r="D6" s="63">
        <v>0</v>
      </c>
      <c r="E6" s="11">
        <v>0</v>
      </c>
      <c r="F6" s="6" t="s">
        <v>0</v>
      </c>
      <c r="G6" s="6"/>
      <c r="H6" s="56">
        <f>SUM(D6+G6)/2</f>
        <v>0</v>
      </c>
      <c r="I6" s="56">
        <f>C6+H6</f>
        <v>4949174</v>
      </c>
      <c r="J6" s="55">
        <v>0.06</v>
      </c>
      <c r="K6" s="6"/>
      <c r="L6" s="6"/>
      <c r="M6" s="85">
        <f>I6*J6</f>
        <v>296950.44</v>
      </c>
      <c r="N6" s="7">
        <f t="shared" si="0"/>
        <v>4652223.5599999996</v>
      </c>
      <c r="O6" s="60" t="s">
        <v>0</v>
      </c>
    </row>
    <row r="7" spans="1:15" x14ac:dyDescent="0.25">
      <c r="A7" s="15">
        <v>8</v>
      </c>
      <c r="B7" s="16" t="s">
        <v>69</v>
      </c>
      <c r="C7" s="10">
        <v>2111506</v>
      </c>
      <c r="D7" s="63">
        <v>341775</v>
      </c>
      <c r="E7" s="11">
        <v>0</v>
      </c>
      <c r="F7" s="6"/>
      <c r="G7" s="6"/>
      <c r="H7" s="56">
        <f>SUM(D7+G7)/2</f>
        <v>170887.5</v>
      </c>
      <c r="I7" s="59">
        <f>C7+H7</f>
        <v>2282393.5</v>
      </c>
      <c r="J7" s="55">
        <v>0.2</v>
      </c>
      <c r="K7" s="6"/>
      <c r="L7" s="6"/>
      <c r="M7" s="85">
        <f>I7*J7</f>
        <v>456478.7</v>
      </c>
      <c r="N7" s="7">
        <f t="shared" si="0"/>
        <v>1996802.3</v>
      </c>
    </row>
    <row r="8" spans="1:15" x14ac:dyDescent="0.25">
      <c r="A8" s="15">
        <v>8</v>
      </c>
      <c r="B8" s="16" t="s">
        <v>62</v>
      </c>
      <c r="C8" s="10"/>
      <c r="D8" s="63"/>
      <c r="E8" s="11">
        <v>65529</v>
      </c>
      <c r="F8" s="6"/>
      <c r="G8" s="6"/>
      <c r="H8" s="7"/>
      <c r="I8" s="56">
        <f>E8</f>
        <v>65529</v>
      </c>
      <c r="J8" s="55">
        <f>J7*1.5</f>
        <v>0.30000000000000004</v>
      </c>
      <c r="K8" s="6"/>
      <c r="L8" s="6"/>
      <c r="M8" s="85">
        <f>I8*J8</f>
        <v>19658.700000000004</v>
      </c>
      <c r="N8" s="7">
        <f t="shared" si="0"/>
        <v>45870.299999999996</v>
      </c>
    </row>
    <row r="9" spans="1:15" x14ac:dyDescent="0.25">
      <c r="A9" s="8">
        <v>10</v>
      </c>
      <c r="B9" s="9" t="s">
        <v>70</v>
      </c>
      <c r="C9" s="10">
        <v>3734</v>
      </c>
      <c r="D9" s="63">
        <v>0</v>
      </c>
      <c r="E9" s="11">
        <v>0</v>
      </c>
      <c r="F9" s="6"/>
      <c r="G9" s="6">
        <v>0</v>
      </c>
      <c r="H9" s="7">
        <f>SUM(D9+G9)/2</f>
        <v>0</v>
      </c>
      <c r="I9" s="56">
        <f>C9+H9</f>
        <v>3734</v>
      </c>
      <c r="J9" s="55">
        <v>0.3</v>
      </c>
      <c r="K9" s="6"/>
      <c r="L9" s="6"/>
      <c r="M9" s="85">
        <f t="shared" ref="M9:M19" si="1">I9*J9</f>
        <v>1120.2</v>
      </c>
      <c r="N9" s="7">
        <f t="shared" si="0"/>
        <v>2613.8000000000002</v>
      </c>
    </row>
    <row r="10" spans="1:15" x14ac:dyDescent="0.25">
      <c r="A10" s="15">
        <v>12</v>
      </c>
      <c r="B10" s="17" t="s">
        <v>71</v>
      </c>
      <c r="C10" s="10">
        <v>73399</v>
      </c>
      <c r="D10" s="63">
        <v>109408</v>
      </c>
      <c r="E10" s="11">
        <v>0</v>
      </c>
      <c r="F10" s="6">
        <v>137048</v>
      </c>
      <c r="G10" s="6"/>
      <c r="H10" s="56">
        <f>SUM(D10+G10)/2</f>
        <v>54704</v>
      </c>
      <c r="I10" s="56">
        <f>C10+H10+F10</f>
        <v>265151</v>
      </c>
      <c r="J10" s="55">
        <v>1</v>
      </c>
      <c r="K10" s="6"/>
      <c r="L10" s="6"/>
      <c r="M10" s="86">
        <f t="shared" si="1"/>
        <v>265151</v>
      </c>
      <c r="N10" s="7">
        <f t="shared" si="0"/>
        <v>54704</v>
      </c>
    </row>
    <row r="11" spans="1:15" x14ac:dyDescent="0.25">
      <c r="A11" s="15">
        <v>12</v>
      </c>
      <c r="B11" s="9" t="s">
        <v>79</v>
      </c>
      <c r="C11" s="10"/>
      <c r="D11" s="63"/>
      <c r="E11" s="11">
        <v>15188</v>
      </c>
      <c r="F11" s="6"/>
      <c r="G11" s="6"/>
      <c r="H11" s="56"/>
      <c r="I11" s="56">
        <f>E11</f>
        <v>15188</v>
      </c>
      <c r="J11" s="55">
        <f>J10</f>
        <v>1</v>
      </c>
      <c r="K11" s="6"/>
      <c r="L11" s="6"/>
      <c r="M11" s="86">
        <f t="shared" si="1"/>
        <v>15188</v>
      </c>
      <c r="N11" s="7">
        <f t="shared" si="0"/>
        <v>0</v>
      </c>
    </row>
    <row r="12" spans="1:15" x14ac:dyDescent="0.25">
      <c r="A12" s="26">
        <v>14.1</v>
      </c>
      <c r="B12" s="58" t="s">
        <v>73</v>
      </c>
      <c r="C12" s="10">
        <v>456612</v>
      </c>
      <c r="D12" s="63">
        <v>0</v>
      </c>
      <c r="E12" s="11"/>
      <c r="F12" s="28"/>
      <c r="G12" s="28"/>
      <c r="H12" s="11"/>
      <c r="I12" s="52">
        <f>C12+D12</f>
        <v>456612</v>
      </c>
      <c r="J12" s="12">
        <v>7.0000000000000007E-2</v>
      </c>
      <c r="K12" s="28"/>
      <c r="L12" s="28"/>
      <c r="M12" s="86">
        <f t="shared" si="1"/>
        <v>31962.840000000004</v>
      </c>
      <c r="N12" s="7">
        <f t="shared" si="0"/>
        <v>424649.16</v>
      </c>
    </row>
    <row r="13" spans="1:15" x14ac:dyDescent="0.25">
      <c r="A13" s="26">
        <v>14.1</v>
      </c>
      <c r="B13" s="27" t="s">
        <v>74</v>
      </c>
      <c r="C13" s="10"/>
      <c r="D13" s="63">
        <v>302221</v>
      </c>
      <c r="E13" s="11"/>
      <c r="F13" s="28"/>
      <c r="G13" s="28"/>
      <c r="H13" s="56">
        <f>SUM(D13+G13)/2</f>
        <v>151110.5</v>
      </c>
      <c r="I13" s="52">
        <f>C13+H13</f>
        <v>151110.5</v>
      </c>
      <c r="J13" s="12">
        <v>0.05</v>
      </c>
      <c r="K13" s="28"/>
      <c r="L13" s="28"/>
      <c r="M13" s="86">
        <f t="shared" si="1"/>
        <v>7555.5250000000005</v>
      </c>
      <c r="N13" s="7">
        <f t="shared" si="0"/>
        <v>294665.47499999998</v>
      </c>
    </row>
    <row r="14" spans="1:15" x14ac:dyDescent="0.25">
      <c r="A14" s="26">
        <v>14.1</v>
      </c>
      <c r="B14" s="27" t="s">
        <v>74</v>
      </c>
      <c r="C14" s="10"/>
      <c r="D14" s="63">
        <v>0</v>
      </c>
      <c r="E14" s="11">
        <v>120987</v>
      </c>
      <c r="F14" s="28"/>
      <c r="G14" s="28"/>
      <c r="H14" s="11"/>
      <c r="I14" s="56">
        <f>E14</f>
        <v>120987</v>
      </c>
      <c r="J14" s="55">
        <f>J13*1.5</f>
        <v>7.5000000000000011E-2</v>
      </c>
      <c r="K14" s="28"/>
      <c r="L14" s="28"/>
      <c r="M14" s="86">
        <f t="shared" si="1"/>
        <v>9074.0250000000015</v>
      </c>
      <c r="N14" s="7">
        <f t="shared" si="0"/>
        <v>111912.97500000001</v>
      </c>
    </row>
    <row r="15" spans="1:15" x14ac:dyDescent="0.25">
      <c r="A15" s="15">
        <v>17</v>
      </c>
      <c r="B15" s="17" t="s">
        <v>75</v>
      </c>
      <c r="C15" s="10">
        <v>289883</v>
      </c>
      <c r="D15" s="63">
        <v>0</v>
      </c>
      <c r="E15" s="11"/>
      <c r="F15" s="6"/>
      <c r="G15" s="6"/>
      <c r="H15" s="56">
        <v>0</v>
      </c>
      <c r="I15" s="56">
        <f>C15+D15</f>
        <v>289883</v>
      </c>
      <c r="J15" s="55">
        <v>0.08</v>
      </c>
      <c r="K15" s="6"/>
      <c r="L15" s="51"/>
      <c r="M15" s="86">
        <f t="shared" si="1"/>
        <v>23190.639999999999</v>
      </c>
      <c r="N15" s="7">
        <f t="shared" si="0"/>
        <v>266692.36</v>
      </c>
    </row>
    <row r="16" spans="1:15" x14ac:dyDescent="0.25">
      <c r="A16" s="26">
        <v>43.2</v>
      </c>
      <c r="B16" s="58" t="s">
        <v>76</v>
      </c>
      <c r="C16" s="10">
        <v>27050</v>
      </c>
      <c r="D16" s="63">
        <v>0</v>
      </c>
      <c r="E16" s="11"/>
      <c r="F16" s="28"/>
      <c r="G16" s="28"/>
      <c r="H16" s="11">
        <f>SUM(D16+G16)/2</f>
        <v>0</v>
      </c>
      <c r="I16" s="52">
        <f>C16+H16</f>
        <v>27050</v>
      </c>
      <c r="J16" s="12">
        <v>0.5</v>
      </c>
      <c r="K16" s="28"/>
      <c r="L16" s="28"/>
      <c r="M16" s="86">
        <f t="shared" si="1"/>
        <v>13525</v>
      </c>
      <c r="N16" s="7">
        <f t="shared" si="0"/>
        <v>13525</v>
      </c>
    </row>
    <row r="17" spans="1:14" x14ac:dyDescent="0.25">
      <c r="A17" s="8">
        <v>45</v>
      </c>
      <c r="B17" s="9" t="s">
        <v>77</v>
      </c>
      <c r="C17" s="10">
        <v>310</v>
      </c>
      <c r="D17" s="64">
        <v>0</v>
      </c>
      <c r="E17" s="11"/>
      <c r="F17" s="6"/>
      <c r="G17" s="6"/>
      <c r="H17" s="56">
        <f>SUM(D17+G17)/2</f>
        <v>0</v>
      </c>
      <c r="I17" s="56">
        <f>C17+H17</f>
        <v>310</v>
      </c>
      <c r="J17" s="55">
        <v>0.45</v>
      </c>
      <c r="K17" s="6"/>
      <c r="L17" s="6"/>
      <c r="M17" s="86">
        <f t="shared" si="1"/>
        <v>139.5</v>
      </c>
      <c r="N17" s="7">
        <f t="shared" si="0"/>
        <v>170.5</v>
      </c>
    </row>
    <row r="18" spans="1:14" x14ac:dyDescent="0.25">
      <c r="A18" s="15">
        <v>47</v>
      </c>
      <c r="B18" s="16" t="s">
        <v>78</v>
      </c>
      <c r="C18" s="10">
        <v>39491718</v>
      </c>
      <c r="D18" s="63">
        <v>6168372</v>
      </c>
      <c r="E18" s="11">
        <v>0</v>
      </c>
      <c r="F18" s="6">
        <v>-137048</v>
      </c>
      <c r="G18" s="6">
        <v>0</v>
      </c>
      <c r="H18" s="56">
        <f>SUM(D18+G18)/2</f>
        <v>3084186</v>
      </c>
      <c r="I18" s="56">
        <f>C18+H18+F18</f>
        <v>42438856</v>
      </c>
      <c r="J18" s="55">
        <v>0.08</v>
      </c>
      <c r="K18" s="6"/>
      <c r="L18" s="6"/>
      <c r="M18" s="86">
        <f>I18*J18</f>
        <v>3395108.48</v>
      </c>
      <c r="N18" s="7">
        <f t="shared" si="0"/>
        <v>42127933.520000003</v>
      </c>
    </row>
    <row r="19" spans="1:14" x14ac:dyDescent="0.25">
      <c r="A19" s="15">
        <v>47</v>
      </c>
      <c r="B19" s="16" t="s">
        <v>80</v>
      </c>
      <c r="C19" s="10"/>
      <c r="D19" s="63"/>
      <c r="E19" s="11">
        <v>1017915</v>
      </c>
      <c r="F19" s="6">
        <v>0</v>
      </c>
      <c r="G19" s="6"/>
      <c r="H19" s="56"/>
      <c r="I19" s="56">
        <f>E19</f>
        <v>1017915</v>
      </c>
      <c r="J19" s="55">
        <f>J18*1.5</f>
        <v>0.12</v>
      </c>
      <c r="K19" s="6"/>
      <c r="L19" s="6"/>
      <c r="M19" s="86">
        <f t="shared" si="1"/>
        <v>122149.79999999999</v>
      </c>
      <c r="N19" s="7">
        <f t="shared" si="0"/>
        <v>895765.2</v>
      </c>
    </row>
    <row r="20" spans="1:14" x14ac:dyDescent="0.25">
      <c r="A20" s="8">
        <v>50</v>
      </c>
      <c r="B20" s="9" t="s">
        <v>77</v>
      </c>
      <c r="C20" s="10">
        <v>86109</v>
      </c>
      <c r="D20" s="63">
        <v>16478</v>
      </c>
      <c r="E20" s="11">
        <v>0</v>
      </c>
      <c r="F20" s="6">
        <v>0</v>
      </c>
      <c r="G20" s="6"/>
      <c r="H20" s="52">
        <f>SUM(D20+G20)/2</f>
        <v>8239</v>
      </c>
      <c r="I20" s="52">
        <f>C20+H20+F20</f>
        <v>94348</v>
      </c>
      <c r="J20" s="12">
        <v>0.55000000000000004</v>
      </c>
      <c r="K20" s="6"/>
      <c r="L20" s="6"/>
      <c r="M20" s="87">
        <f>I20*J20</f>
        <v>51891.4</v>
      </c>
      <c r="N20" s="7">
        <f t="shared" si="0"/>
        <v>50695.6</v>
      </c>
    </row>
    <row r="21" spans="1:14" x14ac:dyDescent="0.25">
      <c r="A21" s="66">
        <v>50</v>
      </c>
      <c r="B21" s="9" t="s">
        <v>81</v>
      </c>
      <c r="C21" s="10"/>
      <c r="D21" s="63"/>
      <c r="E21" s="11">
        <v>40552</v>
      </c>
      <c r="F21" s="28"/>
      <c r="G21" s="28"/>
      <c r="H21" s="11"/>
      <c r="I21" s="56">
        <f>E21</f>
        <v>40552</v>
      </c>
      <c r="J21" s="55">
        <f>J20*1.5</f>
        <v>0.82500000000000007</v>
      </c>
      <c r="K21" s="28"/>
      <c r="L21" s="28"/>
      <c r="M21" s="87">
        <f>I21*J21</f>
        <v>33455.4</v>
      </c>
      <c r="N21" s="7">
        <f t="shared" si="0"/>
        <v>7096.5999999999985</v>
      </c>
    </row>
    <row r="22" spans="1:14" ht="15.75" x14ac:dyDescent="0.25">
      <c r="A22" s="18">
        <v>95</v>
      </c>
      <c r="B22" s="19" t="s">
        <v>9</v>
      </c>
      <c r="C22" s="10">
        <v>242557</v>
      </c>
      <c r="D22" s="63">
        <v>710660</v>
      </c>
      <c r="E22" s="11"/>
      <c r="F22" s="6">
        <v>0</v>
      </c>
      <c r="G22" s="20"/>
      <c r="H22" s="52">
        <f>SUM(D22+G22)/2</f>
        <v>355330</v>
      </c>
      <c r="I22" s="11">
        <f>C22+D22+F22</f>
        <v>953217</v>
      </c>
      <c r="J22" s="12">
        <v>0</v>
      </c>
      <c r="K22" s="6"/>
      <c r="L22" s="6"/>
      <c r="M22" s="88">
        <f>I22*J22</f>
        <v>0</v>
      </c>
      <c r="N22" s="7">
        <f>I22-M22</f>
        <v>953217</v>
      </c>
    </row>
    <row r="23" spans="1:14" ht="15.75" thickBot="1" x14ac:dyDescent="0.3">
      <c r="A23" s="24" t="s">
        <v>10</v>
      </c>
      <c r="B23" s="21"/>
      <c r="C23" s="22">
        <f t="shared" ref="C23:I23" si="2">SUM(C4:C22)</f>
        <v>81110599</v>
      </c>
      <c r="D23" s="65">
        <f t="shared" si="2"/>
        <v>7707954</v>
      </c>
      <c r="E23" s="65">
        <f t="shared" si="2"/>
        <v>1403395</v>
      </c>
      <c r="F23" s="46">
        <f t="shared" si="2"/>
        <v>0</v>
      </c>
      <c r="G23" s="61">
        <f t="shared" si="2"/>
        <v>0</v>
      </c>
      <c r="H23" s="22">
        <f t="shared" si="2"/>
        <v>3853977</v>
      </c>
      <c r="I23" s="22">
        <f t="shared" si="2"/>
        <v>86723301</v>
      </c>
      <c r="J23" s="22" t="s">
        <v>0</v>
      </c>
      <c r="K23" s="22">
        <f>SUM(K4:K22)</f>
        <v>0</v>
      </c>
      <c r="L23" s="22">
        <f>SUM(L4:L22)</f>
        <v>0</v>
      </c>
      <c r="M23" s="22">
        <f>SUM(M4:M22)</f>
        <v>6087515.7700000005</v>
      </c>
      <c r="N23" s="22">
        <f>SUM(N4:N22)</f>
        <v>84134432.229999974</v>
      </c>
    </row>
    <row r="24" spans="1:14" ht="15.75" thickTop="1" x14ac:dyDescent="0.25"/>
    <row r="25" spans="1:14" x14ac:dyDescent="0.25">
      <c r="A25" t="s">
        <v>95</v>
      </c>
      <c r="B25" t="s">
        <v>66</v>
      </c>
      <c r="D25" s="67"/>
      <c r="E25" s="67"/>
    </row>
    <row r="26" spans="1:14" ht="45" x14ac:dyDescent="0.25">
      <c r="A26" s="23" t="s">
        <v>1</v>
      </c>
      <c r="B26" s="2" t="s">
        <v>2</v>
      </c>
      <c r="C26" s="2" t="s">
        <v>63</v>
      </c>
      <c r="D26" s="3" t="s">
        <v>65</v>
      </c>
      <c r="E26" s="3" t="s">
        <v>83</v>
      </c>
      <c r="F26" s="3" t="s">
        <v>3</v>
      </c>
      <c r="G26" s="3" t="s">
        <v>11</v>
      </c>
      <c r="H26" s="3" t="s">
        <v>4</v>
      </c>
      <c r="I26" s="3" t="s">
        <v>5</v>
      </c>
      <c r="J26" s="3" t="s">
        <v>56</v>
      </c>
      <c r="K26" s="3" t="s">
        <v>57</v>
      </c>
      <c r="L26" s="3" t="s">
        <v>6</v>
      </c>
      <c r="M26" s="83" t="s">
        <v>64</v>
      </c>
      <c r="N26" s="4" t="s">
        <v>7</v>
      </c>
    </row>
    <row r="27" spans="1:14" x14ac:dyDescent="0.25">
      <c r="A27" s="23"/>
      <c r="B27" s="2"/>
      <c r="C27" s="47"/>
      <c r="D27" s="62"/>
      <c r="E27" s="11"/>
      <c r="F27" s="5"/>
      <c r="G27" s="5"/>
      <c r="H27" s="5"/>
      <c r="I27" s="48"/>
      <c r="J27" s="49"/>
      <c r="K27" s="5"/>
      <c r="L27" s="5"/>
      <c r="M27" s="84"/>
      <c r="N27" s="50"/>
    </row>
    <row r="28" spans="1:14" x14ac:dyDescent="0.25">
      <c r="A28" s="8">
        <v>1</v>
      </c>
      <c r="B28" s="9" t="s">
        <v>67</v>
      </c>
      <c r="C28" s="10">
        <f>N4</f>
        <v>32101264.32</v>
      </c>
      <c r="D28" s="63">
        <v>0</v>
      </c>
      <c r="E28" s="11"/>
      <c r="F28" s="6"/>
      <c r="G28" s="6"/>
      <c r="H28" s="7">
        <f>SUM(D28+G28)/2</f>
        <v>0</v>
      </c>
      <c r="I28" s="56">
        <f>C28+H28</f>
        <v>32101264.32</v>
      </c>
      <c r="J28" s="55">
        <v>0.04</v>
      </c>
      <c r="K28" s="6"/>
      <c r="L28" s="6"/>
      <c r="M28" s="85">
        <f>(I28+C29)*J28/365*90</f>
        <v>317943.07278904109</v>
      </c>
      <c r="N28" s="7">
        <f t="shared" ref="N28:N42" si="3">H28+I28-M28</f>
        <v>31783321.247210961</v>
      </c>
    </row>
    <row r="29" spans="1:14" x14ac:dyDescent="0.25">
      <c r="A29" s="8">
        <v>1</v>
      </c>
      <c r="B29" s="9" t="s">
        <v>72</v>
      </c>
      <c r="C29" s="10">
        <f>N5</f>
        <v>134630.56</v>
      </c>
      <c r="D29" s="63">
        <v>0</v>
      </c>
      <c r="E29" s="11">
        <v>7915</v>
      </c>
      <c r="F29" s="6" t="s">
        <v>0</v>
      </c>
      <c r="G29" s="6"/>
      <c r="H29" s="56">
        <f>SUM(D29+E29+G29)/2</f>
        <v>3957.5</v>
      </c>
      <c r="I29" s="56">
        <f>E29</f>
        <v>7915</v>
      </c>
      <c r="J29" s="55">
        <f>J28*1.5</f>
        <v>0.06</v>
      </c>
      <c r="K29" s="6"/>
      <c r="L29" s="6"/>
      <c r="M29" s="85">
        <f>I29*J29/365*90</f>
        <v>117.0986301369863</v>
      </c>
      <c r="N29" s="56">
        <f>C29+E29-M29</f>
        <v>142428.46136986301</v>
      </c>
    </row>
    <row r="30" spans="1:14" x14ac:dyDescent="0.25">
      <c r="A30" s="14">
        <v>2</v>
      </c>
      <c r="B30" s="9" t="s">
        <v>68</v>
      </c>
      <c r="C30" s="10">
        <f t="shared" ref="C30:C46" si="4">N6</f>
        <v>4652223.5599999996</v>
      </c>
      <c r="D30" s="63">
        <v>0</v>
      </c>
      <c r="E30" s="11">
        <v>0</v>
      </c>
      <c r="F30" s="6"/>
      <c r="G30" s="6"/>
      <c r="H30" s="56">
        <f>SUM(D30+G30)/2</f>
        <v>0</v>
      </c>
      <c r="I30" s="56">
        <f>C30+H30</f>
        <v>4652223.5599999996</v>
      </c>
      <c r="J30" s="55">
        <v>0.06</v>
      </c>
      <c r="K30" s="6"/>
      <c r="L30" s="6"/>
      <c r="M30" s="85">
        <f>(I30*J30)/365*90</f>
        <v>68827.417052054792</v>
      </c>
      <c r="N30" s="7">
        <f t="shared" si="3"/>
        <v>4583396.1429479448</v>
      </c>
    </row>
    <row r="31" spans="1:14" x14ac:dyDescent="0.25">
      <c r="A31" s="15">
        <v>8</v>
      </c>
      <c r="B31" s="16" t="s">
        <v>69</v>
      </c>
      <c r="C31" s="10">
        <f t="shared" si="4"/>
        <v>1996802.3</v>
      </c>
      <c r="D31" s="1">
        <v>0</v>
      </c>
      <c r="E31" s="63">
        <v>0</v>
      </c>
      <c r="F31" s="6"/>
      <c r="G31" s="6"/>
      <c r="H31" s="56">
        <f>SUM(E31+G31)/2</f>
        <v>0</v>
      </c>
      <c r="I31" s="56">
        <f>C31+H31</f>
        <v>1996802.3</v>
      </c>
      <c r="J31" s="55">
        <v>0.2</v>
      </c>
      <c r="K31" s="6"/>
      <c r="L31" s="6"/>
      <c r="M31" s="85">
        <f>(I31+C32)*J31/365*90</f>
        <v>100734.53917808221</v>
      </c>
      <c r="N31" s="7">
        <f t="shared" si="3"/>
        <v>1896067.7608219178</v>
      </c>
    </row>
    <row r="32" spans="1:14" x14ac:dyDescent="0.25">
      <c r="A32" s="15">
        <v>8</v>
      </c>
      <c r="B32" s="16" t="s">
        <v>62</v>
      </c>
      <c r="C32" s="10">
        <f t="shared" si="4"/>
        <v>45870.299999999996</v>
      </c>
      <c r="D32" s="63">
        <v>0</v>
      </c>
      <c r="E32" s="11">
        <v>30502</v>
      </c>
      <c r="F32" s="6"/>
      <c r="G32" s="6"/>
      <c r="H32" s="56">
        <f>SUM(D32+E32+G32)/2</f>
        <v>15251</v>
      </c>
      <c r="I32" s="56">
        <f>E32</f>
        <v>30502</v>
      </c>
      <c r="J32" s="55">
        <f>J31*1.5</f>
        <v>0.30000000000000004</v>
      </c>
      <c r="K32" s="6"/>
      <c r="L32" s="6"/>
      <c r="M32" s="85">
        <f>(I32*J32)/365*90</f>
        <v>2256.3123287671237</v>
      </c>
      <c r="N32" s="56">
        <f>C32+E32-M32</f>
        <v>74115.98767123287</v>
      </c>
    </row>
    <row r="33" spans="1:14" x14ac:dyDescent="0.25">
      <c r="A33" s="8">
        <v>10</v>
      </c>
      <c r="B33" s="9" t="s">
        <v>70</v>
      </c>
      <c r="C33" s="10">
        <f t="shared" si="4"/>
        <v>2613.8000000000002</v>
      </c>
      <c r="D33" s="63">
        <v>0</v>
      </c>
      <c r="E33" s="11"/>
      <c r="F33" s="6"/>
      <c r="G33" s="6">
        <v>0</v>
      </c>
      <c r="H33" s="7">
        <f>SUM(D33+G33)/2</f>
        <v>0</v>
      </c>
      <c r="I33" s="56">
        <f>C33+H33</f>
        <v>2613.8000000000002</v>
      </c>
      <c r="J33" s="55">
        <v>0.3</v>
      </c>
      <c r="K33" s="6"/>
      <c r="L33" s="6"/>
      <c r="M33" s="85">
        <f>(I33*J33)/365*90</f>
        <v>193.3495890410959</v>
      </c>
      <c r="N33" s="7">
        <f t="shared" si="3"/>
        <v>2420.4504109589043</v>
      </c>
    </row>
    <row r="34" spans="1:14" x14ac:dyDescent="0.25">
      <c r="A34" s="15">
        <v>12</v>
      </c>
      <c r="B34" s="17" t="s">
        <v>71</v>
      </c>
      <c r="C34" s="10">
        <f t="shared" si="4"/>
        <v>54704</v>
      </c>
      <c r="D34" s="63">
        <v>0</v>
      </c>
      <c r="E34" s="11">
        <v>0</v>
      </c>
      <c r="F34" s="6"/>
      <c r="G34" s="6"/>
      <c r="H34" s="7"/>
      <c r="I34" s="56">
        <f>C34+E34+H34</f>
        <v>54704</v>
      </c>
      <c r="J34" s="55">
        <v>1</v>
      </c>
      <c r="K34" s="6"/>
      <c r="L34" s="6"/>
      <c r="M34" s="85">
        <f>(I34+C35)*J34/365*90</f>
        <v>13488.657534246575</v>
      </c>
      <c r="N34" s="7">
        <f t="shared" si="3"/>
        <v>41215.342465753427</v>
      </c>
    </row>
    <row r="35" spans="1:14" x14ac:dyDescent="0.25">
      <c r="A35" s="15">
        <v>12</v>
      </c>
      <c r="B35" s="9" t="s">
        <v>79</v>
      </c>
      <c r="C35" s="10">
        <f t="shared" si="4"/>
        <v>0</v>
      </c>
      <c r="D35" s="63">
        <v>0</v>
      </c>
      <c r="E35" s="11">
        <v>8866</v>
      </c>
      <c r="F35" s="6"/>
      <c r="G35" s="6"/>
      <c r="H35" s="7">
        <f>SUM(D35+G35)/2</f>
        <v>0</v>
      </c>
      <c r="I35" s="56">
        <f>E35</f>
        <v>8866</v>
      </c>
      <c r="J35" s="55">
        <f>J34</f>
        <v>1</v>
      </c>
      <c r="K35" s="6"/>
      <c r="L35" s="6"/>
      <c r="M35" s="85">
        <f>(I35*J35)/365*90</f>
        <v>2186.1369863013701</v>
      </c>
      <c r="N35" s="56">
        <f>C35+E35-M35</f>
        <v>6679.8630136986303</v>
      </c>
    </row>
    <row r="36" spans="1:14" x14ac:dyDescent="0.25">
      <c r="A36" s="26">
        <v>14.1</v>
      </c>
      <c r="B36" s="9" t="s">
        <v>73</v>
      </c>
      <c r="C36" s="10">
        <f t="shared" si="4"/>
        <v>424649.16</v>
      </c>
      <c r="D36" s="63">
        <v>0</v>
      </c>
      <c r="E36" s="11"/>
      <c r="F36" s="6"/>
      <c r="G36" s="6"/>
      <c r="H36" s="7">
        <f>SUM(D36+G36)/2</f>
        <v>0</v>
      </c>
      <c r="I36" s="52">
        <f>C36+D36</f>
        <v>424649.16</v>
      </c>
      <c r="J36" s="12">
        <v>7.0000000000000007E-2</v>
      </c>
      <c r="K36" s="6"/>
      <c r="L36" s="6"/>
      <c r="M36" s="85">
        <f>(I36*J36)/365*90</f>
        <v>7329.5608438356167</v>
      </c>
      <c r="N36" s="7">
        <f t="shared" si="3"/>
        <v>417319.59915616433</v>
      </c>
    </row>
    <row r="37" spans="1:14" x14ac:dyDescent="0.25">
      <c r="A37" s="26">
        <v>14.1</v>
      </c>
      <c r="B37" s="9" t="s">
        <v>74</v>
      </c>
      <c r="C37" s="10">
        <f t="shared" si="4"/>
        <v>294665.47499999998</v>
      </c>
      <c r="D37" s="63">
        <v>0</v>
      </c>
      <c r="E37" s="11"/>
      <c r="F37" s="6"/>
      <c r="G37" s="6"/>
      <c r="H37" s="7">
        <f>SUM(D37+G37)/2</f>
        <v>0</v>
      </c>
      <c r="I37" s="52">
        <f>C37+H37</f>
        <v>294665.47499999998</v>
      </c>
      <c r="J37" s="12">
        <v>0.05</v>
      </c>
      <c r="K37" s="6"/>
      <c r="L37" s="6"/>
      <c r="M37" s="85">
        <f>(I37+C38)*J37/365*90</f>
        <v>5012.6110273972608</v>
      </c>
      <c r="N37" s="7">
        <f t="shared" si="3"/>
        <v>289652.8639726027</v>
      </c>
    </row>
    <row r="38" spans="1:14" x14ac:dyDescent="0.25">
      <c r="A38" s="26">
        <v>14.1</v>
      </c>
      <c r="B38" s="9" t="s">
        <v>82</v>
      </c>
      <c r="C38" s="10">
        <f t="shared" si="4"/>
        <v>111912.97500000001</v>
      </c>
      <c r="D38" s="63">
        <v>0</v>
      </c>
      <c r="E38" s="11">
        <v>218802</v>
      </c>
      <c r="F38" s="6"/>
      <c r="G38" s="6"/>
      <c r="H38" s="56">
        <f>SUM(D38+E38+G38)/2</f>
        <v>109401</v>
      </c>
      <c r="I38" s="56">
        <f>E38</f>
        <v>218802</v>
      </c>
      <c r="J38" s="55">
        <f>J37*1.5</f>
        <v>7.5000000000000011E-2</v>
      </c>
      <c r="K38" s="6"/>
      <c r="L38" s="6"/>
      <c r="M38" s="85">
        <f>(I38*J38)/365*90</f>
        <v>4046.3383561643841</v>
      </c>
      <c r="N38" s="56">
        <f>C38+E38-M38</f>
        <v>326668.63664383558</v>
      </c>
    </row>
    <row r="39" spans="1:14" x14ac:dyDescent="0.25">
      <c r="A39" s="15">
        <v>17</v>
      </c>
      <c r="B39" s="9" t="s">
        <v>75</v>
      </c>
      <c r="C39" s="10">
        <f t="shared" si="4"/>
        <v>266692.36</v>
      </c>
      <c r="D39" s="1">
        <v>0</v>
      </c>
      <c r="E39" s="63"/>
      <c r="F39" s="6"/>
      <c r="G39" s="6"/>
      <c r="H39" s="56">
        <f>SUM(E39+G39)/2</f>
        <v>0</v>
      </c>
      <c r="I39" s="56">
        <f>C39+D39</f>
        <v>266692.36</v>
      </c>
      <c r="J39" s="55">
        <v>0.08</v>
      </c>
      <c r="K39" s="6"/>
      <c r="L39" s="6"/>
      <c r="M39" s="85">
        <f>(I39*J39)/365*90</f>
        <v>5260.7807999999995</v>
      </c>
      <c r="N39" s="7">
        <f t="shared" si="3"/>
        <v>261431.57919999998</v>
      </c>
    </row>
    <row r="40" spans="1:14" x14ac:dyDescent="0.25">
      <c r="A40" s="26">
        <v>43.2</v>
      </c>
      <c r="B40" s="9" t="s">
        <v>76</v>
      </c>
      <c r="C40" s="10">
        <f t="shared" si="4"/>
        <v>13525</v>
      </c>
      <c r="D40" s="63">
        <v>0</v>
      </c>
      <c r="E40" s="11"/>
      <c r="F40" s="6"/>
      <c r="G40" s="6"/>
      <c r="H40" s="56"/>
      <c r="I40" s="52">
        <f>C40+H40</f>
        <v>13525</v>
      </c>
      <c r="J40" s="12">
        <v>0.5</v>
      </c>
      <c r="K40" s="6"/>
      <c r="L40" s="6"/>
      <c r="M40" s="85">
        <f>(I40*J40)/365*90</f>
        <v>1667.4657534246576</v>
      </c>
      <c r="N40" s="7">
        <f t="shared" si="3"/>
        <v>11857.534246575342</v>
      </c>
    </row>
    <row r="41" spans="1:14" x14ac:dyDescent="0.25">
      <c r="A41" s="8">
        <v>45</v>
      </c>
      <c r="B41" s="9" t="s">
        <v>77</v>
      </c>
      <c r="C41" s="10">
        <f t="shared" si="4"/>
        <v>170.5</v>
      </c>
      <c r="D41" s="63">
        <v>0</v>
      </c>
      <c r="E41" s="11"/>
      <c r="F41" s="6"/>
      <c r="G41" s="6"/>
      <c r="H41" s="56">
        <v>0</v>
      </c>
      <c r="I41" s="56">
        <f>C41+H41</f>
        <v>170.5</v>
      </c>
      <c r="J41" s="55">
        <v>0.45</v>
      </c>
      <c r="K41" s="6"/>
      <c r="L41" s="51"/>
      <c r="M41" s="85">
        <f>(I41*J41)/365*90</f>
        <v>18.918493150684935</v>
      </c>
      <c r="N41" s="7">
        <f t="shared" si="3"/>
        <v>151.58150684931508</v>
      </c>
    </row>
    <row r="42" spans="1:14" x14ac:dyDescent="0.25">
      <c r="A42" s="15">
        <v>47</v>
      </c>
      <c r="B42" s="9" t="s">
        <v>78</v>
      </c>
      <c r="C42" s="10">
        <f t="shared" si="4"/>
        <v>42127933.520000003</v>
      </c>
      <c r="D42" s="63">
        <v>0</v>
      </c>
      <c r="E42" s="11"/>
      <c r="F42" s="6"/>
      <c r="G42" s="6"/>
      <c r="H42" s="56">
        <f>SUM(D42+G42)/2</f>
        <v>0</v>
      </c>
      <c r="I42" s="56">
        <f>C42+H42+F42</f>
        <v>42127933.520000003</v>
      </c>
      <c r="J42" s="55">
        <v>0.08</v>
      </c>
      <c r="K42" s="6"/>
      <c r="L42" s="6"/>
      <c r="M42" s="85">
        <f>(I42+C43)*J42/365*90</f>
        <v>848686.65968219191</v>
      </c>
      <c r="N42" s="7">
        <f t="shared" si="3"/>
        <v>41279246.860317811</v>
      </c>
    </row>
    <row r="43" spans="1:14" x14ac:dyDescent="0.25">
      <c r="A43" s="15">
        <v>47</v>
      </c>
      <c r="B43" s="9" t="s">
        <v>80</v>
      </c>
      <c r="C43" s="10">
        <f t="shared" si="4"/>
        <v>895765.2</v>
      </c>
      <c r="D43" s="64">
        <v>0</v>
      </c>
      <c r="E43" s="11">
        <v>1255609</v>
      </c>
      <c r="F43" s="6"/>
      <c r="G43" s="6"/>
      <c r="H43" s="56">
        <f>SUM(D43+E43+G43)/2</f>
        <v>627804.5</v>
      </c>
      <c r="I43" s="56">
        <f>E43</f>
        <v>1255609</v>
      </c>
      <c r="J43" s="55">
        <f>J42*1.5</f>
        <v>0.12</v>
      </c>
      <c r="K43" s="6"/>
      <c r="L43" s="6"/>
      <c r="M43" s="85">
        <f>(I43*J43)/365*90</f>
        <v>37152.266301369862</v>
      </c>
      <c r="N43" s="56">
        <f>C43+E43-M43</f>
        <v>2114221.9336986304</v>
      </c>
    </row>
    <row r="44" spans="1:14" x14ac:dyDescent="0.25">
      <c r="A44" s="8">
        <v>50</v>
      </c>
      <c r="B44" s="9" t="s">
        <v>77</v>
      </c>
      <c r="C44" s="10">
        <f t="shared" si="4"/>
        <v>50695.6</v>
      </c>
      <c r="D44" s="1">
        <v>0</v>
      </c>
      <c r="E44" s="63"/>
      <c r="F44" s="6">
        <v>0</v>
      </c>
      <c r="G44" s="1">
        <v>0</v>
      </c>
      <c r="H44" s="56">
        <v>0</v>
      </c>
      <c r="I44" s="52">
        <f>C44+H44+F44</f>
        <v>50695.6</v>
      </c>
      <c r="J44" s="12">
        <v>0.55000000000000004</v>
      </c>
      <c r="K44" s="6"/>
      <c r="L44" s="6"/>
      <c r="M44" s="85">
        <f>(I44+C45)*J44/365*90</f>
        <v>7837.5723287671235</v>
      </c>
      <c r="N44" s="7">
        <f>H44+I44-M44</f>
        <v>42858.027671232878</v>
      </c>
    </row>
    <row r="45" spans="1:14" x14ac:dyDescent="0.25">
      <c r="A45" s="66">
        <v>50</v>
      </c>
      <c r="B45" s="9" t="s">
        <v>81</v>
      </c>
      <c r="C45" s="10">
        <f t="shared" si="4"/>
        <v>7096.5999999999985</v>
      </c>
      <c r="D45" s="63">
        <v>0</v>
      </c>
      <c r="E45" s="11">
        <v>1201</v>
      </c>
      <c r="F45" s="6"/>
      <c r="G45" s="6">
        <v>0</v>
      </c>
      <c r="H45" s="56">
        <f>SUM(D45+E45+G45)/2</f>
        <v>600.5</v>
      </c>
      <c r="I45" s="56">
        <f>E45</f>
        <v>1201</v>
      </c>
      <c r="J45" s="55">
        <f>J44*1.5</f>
        <v>0.82500000000000007</v>
      </c>
      <c r="K45" s="6"/>
      <c r="L45" s="6"/>
      <c r="M45" s="85">
        <f>(I45*J45)/365*90</f>
        <v>244.31301369863013</v>
      </c>
      <c r="N45" s="7">
        <f>C45+E45-M45</f>
        <v>8053.2869863013684</v>
      </c>
    </row>
    <row r="46" spans="1:14" x14ac:dyDescent="0.25">
      <c r="A46" s="18">
        <v>95</v>
      </c>
      <c r="B46" s="19" t="s">
        <v>9</v>
      </c>
      <c r="C46" s="10">
        <f t="shared" si="4"/>
        <v>953217</v>
      </c>
      <c r="D46" s="63">
        <v>0</v>
      </c>
      <c r="E46" s="63">
        <v>1372928</v>
      </c>
      <c r="F46" s="6">
        <v>0</v>
      </c>
      <c r="G46" s="6"/>
      <c r="H46" s="52">
        <f>SUM(E46+G46)/2</f>
        <v>686464</v>
      </c>
      <c r="I46" s="11">
        <f>C46+E46+F46</f>
        <v>2326145</v>
      </c>
      <c r="J46" s="12">
        <v>0</v>
      </c>
      <c r="K46" s="6"/>
      <c r="L46" s="6"/>
      <c r="M46" s="85">
        <f>(I46*J46)/365*90</f>
        <v>0</v>
      </c>
      <c r="N46" s="7">
        <f>I46-M46</f>
        <v>2326145</v>
      </c>
    </row>
    <row r="47" spans="1:14" ht="15.75" thickBot="1" x14ac:dyDescent="0.3">
      <c r="A47" s="24" t="s">
        <v>10</v>
      </c>
      <c r="B47" s="21"/>
      <c r="C47" s="22">
        <f t="shared" ref="C47:I47" si="5">SUM(C28:C46)</f>
        <v>84134432.229999974</v>
      </c>
      <c r="D47" s="65">
        <f t="shared" si="5"/>
        <v>0</v>
      </c>
      <c r="E47" s="65">
        <f>SUM(E28:E46)</f>
        <v>2895823</v>
      </c>
      <c r="F47" s="46">
        <f t="shared" si="5"/>
        <v>0</v>
      </c>
      <c r="G47" s="61">
        <f t="shared" si="5"/>
        <v>0</v>
      </c>
      <c r="H47" s="22">
        <f t="shared" si="5"/>
        <v>1443478.5</v>
      </c>
      <c r="I47" s="22">
        <f t="shared" si="5"/>
        <v>85834979.594999999</v>
      </c>
      <c r="J47" s="22" t="s">
        <v>0</v>
      </c>
      <c r="K47" s="22">
        <f>SUM(K28:K46)</f>
        <v>0</v>
      </c>
      <c r="L47" s="22">
        <f>SUM(L28:L46)</f>
        <v>0</v>
      </c>
      <c r="M47" s="22">
        <f>SUM(M28:M46)</f>
        <v>1423003.0706876712</v>
      </c>
      <c r="N47" s="22">
        <f>SUM(N28:N46)</f>
        <v>85607252.159312338</v>
      </c>
    </row>
    <row r="48" spans="1:14" ht="15.75" thickTop="1" x14ac:dyDescent="0.25"/>
    <row r="49" spans="1:14" x14ac:dyDescent="0.25">
      <c r="A49">
        <v>2019</v>
      </c>
      <c r="B49" t="s">
        <v>66</v>
      </c>
    </row>
    <row r="50" spans="1:14" ht="45" x14ac:dyDescent="0.25">
      <c r="A50" s="23" t="s">
        <v>1</v>
      </c>
      <c r="B50" s="2" t="s">
        <v>2</v>
      </c>
      <c r="C50" s="2" t="s">
        <v>63</v>
      </c>
      <c r="D50" s="3" t="s">
        <v>65</v>
      </c>
      <c r="E50" s="3" t="s">
        <v>83</v>
      </c>
      <c r="F50" s="3" t="s">
        <v>3</v>
      </c>
      <c r="G50" s="3" t="s">
        <v>11</v>
      </c>
      <c r="H50" s="3" t="s">
        <v>4</v>
      </c>
      <c r="I50" s="3" t="s">
        <v>5</v>
      </c>
      <c r="J50" s="3" t="s">
        <v>56</v>
      </c>
      <c r="K50" s="3" t="s">
        <v>57</v>
      </c>
      <c r="L50" s="3" t="s">
        <v>6</v>
      </c>
      <c r="M50" s="83" t="s">
        <v>96</v>
      </c>
      <c r="N50" s="4" t="s">
        <v>7</v>
      </c>
    </row>
    <row r="51" spans="1:14" x14ac:dyDescent="0.25">
      <c r="A51" s="23"/>
      <c r="B51" s="2"/>
      <c r="C51" s="47"/>
      <c r="D51" s="62"/>
      <c r="E51" s="11"/>
      <c r="F51" s="5"/>
      <c r="G51" s="5"/>
      <c r="H51" s="5"/>
      <c r="I51" s="48"/>
      <c r="J51" s="49"/>
      <c r="K51" s="5"/>
      <c r="L51" s="5"/>
      <c r="M51" s="84"/>
      <c r="N51" s="50"/>
    </row>
    <row r="52" spans="1:14" x14ac:dyDescent="0.25">
      <c r="A52" s="8">
        <v>1</v>
      </c>
      <c r="B52" s="9" t="s">
        <v>67</v>
      </c>
      <c r="C52" s="10">
        <f>N28</f>
        <v>31783321.247210961</v>
      </c>
      <c r="D52" s="63">
        <v>0</v>
      </c>
      <c r="E52" s="11"/>
      <c r="F52" s="6"/>
      <c r="G52" s="6"/>
      <c r="H52" s="7">
        <f>SUM(D52+G52)/2</f>
        <v>0</v>
      </c>
      <c r="I52" s="56">
        <f>C52+H52</f>
        <v>31783321.247210961</v>
      </c>
      <c r="J52" s="55">
        <v>0.04</v>
      </c>
      <c r="K52" s="6"/>
      <c r="L52" s="6"/>
      <c r="M52" s="85">
        <f>(I52+C53)*J52/365*275</f>
        <v>962145.88162846328</v>
      </c>
      <c r="N52" s="7">
        <f>H52+I52-M52</f>
        <v>30821175.365582496</v>
      </c>
    </row>
    <row r="53" spans="1:14" x14ac:dyDescent="0.25">
      <c r="A53" s="8">
        <v>1</v>
      </c>
      <c r="B53" s="9" t="s">
        <v>72</v>
      </c>
      <c r="C53" s="10">
        <f t="shared" ref="C53:C69" si="6">N29</f>
        <v>142428.46136986301</v>
      </c>
      <c r="D53" s="63">
        <v>0</v>
      </c>
      <c r="E53" s="11">
        <v>197199.21</v>
      </c>
      <c r="F53" s="6" t="s">
        <v>0</v>
      </c>
      <c r="G53" s="6"/>
      <c r="H53" s="56">
        <f>SUM(D53+E53+G53)/2</f>
        <v>98599.604999999996</v>
      </c>
      <c r="I53" s="56">
        <f>E53</f>
        <v>197199.21</v>
      </c>
      <c r="J53" s="55">
        <f>J52*1.5</f>
        <v>0.06</v>
      </c>
      <c r="K53" s="6"/>
      <c r="L53" s="6"/>
      <c r="M53" s="85">
        <f>I53*J53/365*275</f>
        <v>8914.4848356164366</v>
      </c>
      <c r="N53" s="56">
        <f>C53+E53-M53</f>
        <v>330713.18653424655</v>
      </c>
    </row>
    <row r="54" spans="1:14" x14ac:dyDescent="0.25">
      <c r="A54" s="14">
        <v>2</v>
      </c>
      <c r="B54" s="9" t="s">
        <v>68</v>
      </c>
      <c r="C54" s="10">
        <f t="shared" si="6"/>
        <v>4583396.1429479448</v>
      </c>
      <c r="D54" s="63">
        <v>0</v>
      </c>
      <c r="E54" s="11"/>
      <c r="F54" s="6"/>
      <c r="G54" s="6"/>
      <c r="H54" s="56">
        <f>SUM(D54+G54)/2</f>
        <v>0</v>
      </c>
      <c r="I54" s="56">
        <f>C54+H54</f>
        <v>4583396.1429479448</v>
      </c>
      <c r="J54" s="55">
        <v>0.06</v>
      </c>
      <c r="K54" s="6"/>
      <c r="L54" s="6"/>
      <c r="M54" s="85">
        <f>(I54*J54)/365*275</f>
        <v>207194.6201606605</v>
      </c>
      <c r="N54" s="7">
        <f>H54+I54-M54</f>
        <v>4376201.5227872841</v>
      </c>
    </row>
    <row r="55" spans="1:14" x14ac:dyDescent="0.25">
      <c r="A55" s="15">
        <v>8</v>
      </c>
      <c r="B55" s="16" t="s">
        <v>69</v>
      </c>
      <c r="C55" s="10">
        <f t="shared" si="6"/>
        <v>1896067.7608219178</v>
      </c>
      <c r="D55" s="1">
        <v>0</v>
      </c>
      <c r="E55" s="63"/>
      <c r="F55" s="6">
        <v>444914</v>
      </c>
      <c r="G55" s="6"/>
      <c r="H55" s="56">
        <f>SUM(E55+G55)/2</f>
        <v>0</v>
      </c>
      <c r="I55" s="56">
        <f>C55+F55+H55</f>
        <v>2340981.760821918</v>
      </c>
      <c r="J55" s="55">
        <v>0.2</v>
      </c>
      <c r="K55" s="6"/>
      <c r="L55" s="6"/>
      <c r="M55" s="85">
        <f>(I55+C56)*J55/365*275</f>
        <v>363918.8388140364</v>
      </c>
      <c r="N55" s="7">
        <f>H55+I55-M55</f>
        <v>1977062.9220078816</v>
      </c>
    </row>
    <row r="56" spans="1:14" x14ac:dyDescent="0.25">
      <c r="A56" s="15">
        <v>8</v>
      </c>
      <c r="B56" s="16" t="s">
        <v>62</v>
      </c>
      <c r="C56" s="10">
        <f t="shared" si="6"/>
        <v>74115.98767123287</v>
      </c>
      <c r="D56" s="63">
        <v>0</v>
      </c>
      <c r="E56" s="11">
        <v>164902.79</v>
      </c>
      <c r="F56" s="6"/>
      <c r="G56" s="6"/>
      <c r="H56" s="56">
        <f>SUM(D56+E56+G56)/2</f>
        <v>82451.395000000004</v>
      </c>
      <c r="I56" s="56">
        <f>E56</f>
        <v>164902.79</v>
      </c>
      <c r="J56" s="55">
        <f>J55*1.5</f>
        <v>0.30000000000000004</v>
      </c>
      <c r="K56" s="6"/>
      <c r="L56" s="6"/>
      <c r="M56" s="85">
        <f>(I56*J56)/365*275</f>
        <v>37272.548424657543</v>
      </c>
      <c r="N56" s="56">
        <f>C56+E56-M56</f>
        <v>201746.22924657533</v>
      </c>
    </row>
    <row r="57" spans="1:14" x14ac:dyDescent="0.25">
      <c r="A57" s="8">
        <v>10</v>
      </c>
      <c r="B57" s="9" t="s">
        <v>70</v>
      </c>
      <c r="C57" s="10">
        <f t="shared" si="6"/>
        <v>2420.4504109589043</v>
      </c>
      <c r="D57" s="63">
        <v>0</v>
      </c>
      <c r="E57" s="11"/>
      <c r="F57" s="6"/>
      <c r="G57" s="6">
        <v>0</v>
      </c>
      <c r="H57" s="7">
        <f>SUM(D57+G57)/2</f>
        <v>0</v>
      </c>
      <c r="I57" s="56">
        <f>C57+H57</f>
        <v>2420.4504109589043</v>
      </c>
      <c r="J57" s="55">
        <v>0.3</v>
      </c>
      <c r="K57" s="6"/>
      <c r="L57" s="6"/>
      <c r="M57" s="85">
        <f>(I57*J57)/365*275</f>
        <v>547.08810658660161</v>
      </c>
      <c r="N57" s="7">
        <f>H57+I57-M57</f>
        <v>1873.3623043723028</v>
      </c>
    </row>
    <row r="58" spans="1:14" x14ac:dyDescent="0.25">
      <c r="A58" s="15">
        <v>12</v>
      </c>
      <c r="B58" s="17" t="s">
        <v>71</v>
      </c>
      <c r="C58" s="10">
        <f t="shared" si="6"/>
        <v>41215.342465753427</v>
      </c>
      <c r="D58" s="63">
        <v>0</v>
      </c>
      <c r="E58" s="11"/>
      <c r="F58" s="6"/>
      <c r="G58" s="6"/>
      <c r="H58" s="7"/>
      <c r="I58" s="56">
        <f>C58+E58+H58</f>
        <v>41215.342465753427</v>
      </c>
      <c r="J58" s="55">
        <v>1</v>
      </c>
      <c r="K58" s="6"/>
      <c r="L58" s="6"/>
      <c r="M58" s="85">
        <f>(I58+C59)*J58/365*275</f>
        <v>36085.428785888536</v>
      </c>
      <c r="N58" s="7">
        <f>H58+I58-M58</f>
        <v>5129.9136798648906</v>
      </c>
    </row>
    <row r="59" spans="1:14" x14ac:dyDescent="0.25">
      <c r="A59" s="15">
        <v>12</v>
      </c>
      <c r="B59" s="9" t="s">
        <v>79</v>
      </c>
      <c r="C59" s="10">
        <f t="shared" si="6"/>
        <v>6679.8630136986303</v>
      </c>
      <c r="D59" s="63">
        <v>0</v>
      </c>
      <c r="E59" s="11">
        <v>22579</v>
      </c>
      <c r="F59" s="6"/>
      <c r="G59" s="6"/>
      <c r="H59" s="7">
        <f>SUM(D59+G59)/2</f>
        <v>0</v>
      </c>
      <c r="I59" s="56">
        <f>E59</f>
        <v>22579</v>
      </c>
      <c r="J59" s="55">
        <f>J58</f>
        <v>1</v>
      </c>
      <c r="K59" s="6"/>
      <c r="L59" s="6"/>
      <c r="M59" s="85">
        <f>(I59*J59)/365*275</f>
        <v>17011.575342465752</v>
      </c>
      <c r="N59" s="56">
        <f>C59+E59-M59</f>
        <v>12247.28767123288</v>
      </c>
    </row>
    <row r="60" spans="1:14" x14ac:dyDescent="0.25">
      <c r="A60" s="26">
        <v>14.1</v>
      </c>
      <c r="B60" s="9" t="s">
        <v>73</v>
      </c>
      <c r="C60" s="10">
        <f t="shared" si="6"/>
        <v>417319.59915616433</v>
      </c>
      <c r="D60" s="63">
        <v>0</v>
      </c>
      <c r="E60" s="11"/>
      <c r="F60" s="6"/>
      <c r="G60" s="6"/>
      <c r="H60" s="7">
        <f>SUM(D60+G60)/2</f>
        <v>0</v>
      </c>
      <c r="I60" s="52">
        <f>C60+D60</f>
        <v>417319.59915616433</v>
      </c>
      <c r="J60" s="12">
        <v>7.0000000000000007E-2</v>
      </c>
      <c r="K60" s="6"/>
      <c r="L60" s="6"/>
      <c r="M60" s="85">
        <f>(I60*J60)/365*275</f>
        <v>22009.321325359353</v>
      </c>
      <c r="N60" s="7">
        <f>H60+I60-M60</f>
        <v>395310.27783080499</v>
      </c>
    </row>
    <row r="61" spans="1:14" x14ac:dyDescent="0.25">
      <c r="A61" s="26">
        <v>14.1</v>
      </c>
      <c r="B61" s="9" t="s">
        <v>74</v>
      </c>
      <c r="C61" s="10">
        <f t="shared" si="6"/>
        <v>289652.8639726027</v>
      </c>
      <c r="D61" s="63">
        <v>0</v>
      </c>
      <c r="E61" s="11"/>
      <c r="F61" s="6"/>
      <c r="G61" s="6"/>
      <c r="H61" s="7">
        <f>SUM(D61+G61)/2</f>
        <v>0</v>
      </c>
      <c r="I61" s="52">
        <f>C61+H61</f>
        <v>289652.8639726027</v>
      </c>
      <c r="J61" s="12">
        <v>0.05</v>
      </c>
      <c r="K61" s="6"/>
      <c r="L61" s="6"/>
      <c r="M61" s="85">
        <f>(I61+C62)*J61/365*275</f>
        <v>23217.590776646648</v>
      </c>
      <c r="N61" s="7">
        <f>H61+I61-M61</f>
        <v>266435.27319595608</v>
      </c>
    </row>
    <row r="62" spans="1:14" x14ac:dyDescent="0.25">
      <c r="A62" s="26">
        <v>14.1</v>
      </c>
      <c r="B62" s="9" t="s">
        <v>82</v>
      </c>
      <c r="C62" s="10">
        <f t="shared" si="6"/>
        <v>326668.63664383558</v>
      </c>
      <c r="D62" s="63">
        <v>0</v>
      </c>
      <c r="E62" s="11"/>
      <c r="F62" s="6"/>
      <c r="G62" s="6"/>
      <c r="H62" s="56">
        <f>SUM(D62+E62+G62)/2</f>
        <v>0</v>
      </c>
      <c r="I62" s="56">
        <f>E62</f>
        <v>0</v>
      </c>
      <c r="J62" s="55">
        <f>J61*1.5</f>
        <v>7.5000000000000011E-2</v>
      </c>
      <c r="K62" s="6"/>
      <c r="L62" s="6"/>
      <c r="M62" s="85">
        <f>(I62*J62)/365*275</f>
        <v>0</v>
      </c>
      <c r="N62" s="56">
        <f>C62+E62-M62</f>
        <v>326668.63664383558</v>
      </c>
    </row>
    <row r="63" spans="1:14" x14ac:dyDescent="0.25">
      <c r="A63" s="15">
        <v>17</v>
      </c>
      <c r="B63" s="9" t="s">
        <v>75</v>
      </c>
      <c r="C63" s="10">
        <f t="shared" si="6"/>
        <v>261431.57919999998</v>
      </c>
      <c r="D63" s="1">
        <v>0</v>
      </c>
      <c r="E63" s="63"/>
      <c r="F63" s="6"/>
      <c r="G63" s="6"/>
      <c r="H63" s="56">
        <f>SUM(E63+G63)/2</f>
        <v>0</v>
      </c>
      <c r="I63" s="56">
        <f>C63+D63</f>
        <v>261431.57919999998</v>
      </c>
      <c r="J63" s="55">
        <v>0.08</v>
      </c>
      <c r="K63" s="6"/>
      <c r="L63" s="6"/>
      <c r="M63" s="85">
        <f>(I63*J63)/365*275</f>
        <v>15757.519842191781</v>
      </c>
      <c r="N63" s="7">
        <f>H63+I63-M63</f>
        <v>245674.0593578082</v>
      </c>
    </row>
    <row r="64" spans="1:14" x14ac:dyDescent="0.25">
      <c r="A64" s="26">
        <v>43.2</v>
      </c>
      <c r="B64" s="9" t="s">
        <v>76</v>
      </c>
      <c r="C64" s="10">
        <f t="shared" si="6"/>
        <v>11857.534246575342</v>
      </c>
      <c r="D64" s="63">
        <v>0</v>
      </c>
      <c r="E64" s="11"/>
      <c r="F64" s="6"/>
      <c r="G64" s="6"/>
      <c r="H64" s="56"/>
      <c r="I64" s="52">
        <f>C64+H64</f>
        <v>11857.534246575342</v>
      </c>
      <c r="J64" s="12">
        <v>0.5</v>
      </c>
      <c r="K64" s="6"/>
      <c r="L64" s="6"/>
      <c r="M64" s="85">
        <f>(I64*J64)/365*275</f>
        <v>4466.879339463314</v>
      </c>
      <c r="N64" s="7">
        <f>H64+I64-M64</f>
        <v>7390.654907112028</v>
      </c>
    </row>
    <row r="65" spans="1:17" x14ac:dyDescent="0.25">
      <c r="A65" s="8">
        <v>45</v>
      </c>
      <c r="B65" s="9" t="s">
        <v>77</v>
      </c>
      <c r="C65" s="10">
        <f t="shared" si="6"/>
        <v>151.58150684931508</v>
      </c>
      <c r="D65" s="63">
        <v>0</v>
      </c>
      <c r="E65" s="11"/>
      <c r="F65" s="6"/>
      <c r="G65" s="6"/>
      <c r="H65" s="56">
        <v>0</v>
      </c>
      <c r="I65" s="56">
        <f>C65+H65</f>
        <v>151.58150684931508</v>
      </c>
      <c r="J65" s="55">
        <v>0.45</v>
      </c>
      <c r="K65" s="6"/>
      <c r="L65" s="51"/>
      <c r="M65" s="85">
        <f>(I65*J65)/365*275</f>
        <v>51.392360198911618</v>
      </c>
      <c r="N65" s="7">
        <f>H65+I65-M65</f>
        <v>100.18914665040346</v>
      </c>
    </row>
    <row r="66" spans="1:17" x14ac:dyDescent="0.25">
      <c r="A66" s="15">
        <v>47</v>
      </c>
      <c r="B66" s="16" t="s">
        <v>78</v>
      </c>
      <c r="C66" s="10">
        <f t="shared" si="6"/>
        <v>41279246.860317811</v>
      </c>
      <c r="D66" s="63">
        <v>0</v>
      </c>
      <c r="E66" s="11"/>
      <c r="F66" s="6"/>
      <c r="G66" s="6"/>
      <c r="H66" s="56">
        <f>SUM(D66+G66)/2</f>
        <v>0</v>
      </c>
      <c r="I66" s="56">
        <f>C66+H66+F66</f>
        <v>41279246.860317811</v>
      </c>
      <c r="J66" s="55">
        <v>0.08</v>
      </c>
      <c r="K66" s="6"/>
      <c r="L66" s="6"/>
      <c r="M66" s="85">
        <f>(I66+C67)*J66/365*275</f>
        <v>2615496.7492283885</v>
      </c>
      <c r="N66" s="7">
        <f>H66+I66-M66</f>
        <v>38663750.111089423</v>
      </c>
    </row>
    <row r="67" spans="1:17" x14ac:dyDescent="0.25">
      <c r="A67" s="15">
        <v>47</v>
      </c>
      <c r="B67" s="16" t="s">
        <v>80</v>
      </c>
      <c r="C67" s="10">
        <f t="shared" si="6"/>
        <v>2114221.9336986304</v>
      </c>
      <c r="D67" s="64">
        <v>0</v>
      </c>
      <c r="E67" s="11">
        <v>9973004.6900000032</v>
      </c>
      <c r="F67" s="6"/>
      <c r="G67" s="6"/>
      <c r="H67" s="56">
        <f>SUM(D67+E67+G67)/2</f>
        <v>4986502.3450000016</v>
      </c>
      <c r="I67" s="56">
        <f>E67</f>
        <v>9973004.6900000032</v>
      </c>
      <c r="J67" s="55">
        <f>J66*1.5</f>
        <v>0.12</v>
      </c>
      <c r="K67" s="6"/>
      <c r="L67" s="6"/>
      <c r="M67" s="85">
        <f>(I67*J67)/365*275</f>
        <v>901668.91717808251</v>
      </c>
      <c r="N67" s="56">
        <f>C67+E67-M67</f>
        <v>11185557.70652055</v>
      </c>
    </row>
    <row r="68" spans="1:17" x14ac:dyDescent="0.25">
      <c r="A68" s="8">
        <v>50</v>
      </c>
      <c r="B68" s="9" t="s">
        <v>77</v>
      </c>
      <c r="C68" s="10">
        <f t="shared" si="6"/>
        <v>42858.027671232878</v>
      </c>
      <c r="D68" s="1">
        <v>0</v>
      </c>
      <c r="E68" s="63"/>
      <c r="F68" s="6">
        <v>0</v>
      </c>
      <c r="G68" s="1">
        <v>0</v>
      </c>
      <c r="H68" s="56">
        <v>0</v>
      </c>
      <c r="I68" s="52">
        <f>C68+H68+F68</f>
        <v>42858.027671232878</v>
      </c>
      <c r="J68" s="12">
        <v>0.55000000000000004</v>
      </c>
      <c r="K68" s="6"/>
      <c r="L68" s="6"/>
      <c r="M68" s="85">
        <f>(I68+C69)*J68/365*275</f>
        <v>21096.811895759056</v>
      </c>
      <c r="N68" s="7">
        <f>H68+I68-M68</f>
        <v>21761.215775473822</v>
      </c>
    </row>
    <row r="69" spans="1:17" x14ac:dyDescent="0.25">
      <c r="A69" s="66">
        <v>50</v>
      </c>
      <c r="B69" s="9" t="s">
        <v>81</v>
      </c>
      <c r="C69" s="10">
        <f t="shared" si="6"/>
        <v>8053.2869863013684</v>
      </c>
      <c r="D69" s="63">
        <v>0</v>
      </c>
      <c r="E69" s="11">
        <v>9292.84</v>
      </c>
      <c r="F69" s="6"/>
      <c r="G69" s="6">
        <v>0</v>
      </c>
      <c r="H69" s="56">
        <f>SUM(D69+E69+G69)/2</f>
        <v>4646.42</v>
      </c>
      <c r="I69" s="56">
        <f>E69</f>
        <v>9292.84</v>
      </c>
      <c r="J69" s="55">
        <f>J68*1.5</f>
        <v>0.82500000000000007</v>
      </c>
      <c r="K69" s="6"/>
      <c r="L69" s="6"/>
      <c r="M69" s="85">
        <f>(I69*J69)/365*275</f>
        <v>5776.200205479453</v>
      </c>
      <c r="N69" s="7">
        <f>C69+E69-M69</f>
        <v>11569.926780821916</v>
      </c>
    </row>
    <row r="70" spans="1:17" x14ac:dyDescent="0.25">
      <c r="A70" s="18">
        <v>95</v>
      </c>
      <c r="B70" s="19" t="s">
        <v>9</v>
      </c>
      <c r="C70" s="10">
        <v>0</v>
      </c>
      <c r="D70" s="63">
        <v>0</v>
      </c>
      <c r="E70" s="63"/>
      <c r="F70" s="6">
        <v>0</v>
      </c>
      <c r="G70" s="6"/>
      <c r="H70" s="52">
        <f>SUM(E70+G70)/2</f>
        <v>0</v>
      </c>
      <c r="I70" s="11">
        <f>C70+E70+F70</f>
        <v>0</v>
      </c>
      <c r="J70" s="12">
        <v>0</v>
      </c>
      <c r="K70" s="6"/>
      <c r="L70" s="6"/>
      <c r="M70" s="85">
        <f>(I70*J70)/365*275</f>
        <v>0</v>
      </c>
      <c r="N70" s="7">
        <f>I70-M70</f>
        <v>0</v>
      </c>
    </row>
    <row r="71" spans="1:17" ht="15.75" thickBot="1" x14ac:dyDescent="0.3">
      <c r="A71" s="24" t="s">
        <v>10</v>
      </c>
      <c r="B71" s="21"/>
      <c r="C71" s="22">
        <f t="shared" ref="C71:I71" si="7">SUM(C52:C70)</f>
        <v>83281107.159312338</v>
      </c>
      <c r="D71" s="65">
        <f t="shared" si="7"/>
        <v>0</v>
      </c>
      <c r="E71" s="65">
        <f t="shared" si="7"/>
        <v>10366978.530000003</v>
      </c>
      <c r="F71" s="46">
        <f t="shared" si="7"/>
        <v>444914</v>
      </c>
      <c r="G71" s="61">
        <f t="shared" si="7"/>
        <v>0</v>
      </c>
      <c r="H71" s="22">
        <f t="shared" si="7"/>
        <v>5172199.7650000015</v>
      </c>
      <c r="I71" s="22">
        <f t="shared" si="7"/>
        <v>91420831.519928768</v>
      </c>
      <c r="J71" s="22" t="s">
        <v>0</v>
      </c>
      <c r="K71" s="22">
        <f>SUM(K52:K70)</f>
        <v>0</v>
      </c>
      <c r="L71" s="22">
        <f>SUM(L52:L70)</f>
        <v>0</v>
      </c>
      <c r="M71" s="22">
        <f>SUM(M52:M70)</f>
        <v>5242631.8482499449</v>
      </c>
      <c r="N71" s="22">
        <f>SUM(N52:N70)</f>
        <v>88850367.841062382</v>
      </c>
    </row>
    <row r="72" spans="1:17" ht="15.75" thickTop="1" x14ac:dyDescent="0.25"/>
    <row r="73" spans="1:17" x14ac:dyDescent="0.25">
      <c r="A73">
        <v>2020</v>
      </c>
      <c r="B73" t="s">
        <v>66</v>
      </c>
    </row>
    <row r="74" spans="1:17" ht="30" x14ac:dyDescent="0.25">
      <c r="A74" s="23" t="s">
        <v>1</v>
      </c>
      <c r="B74" s="2" t="s">
        <v>2</v>
      </c>
      <c r="C74" s="2" t="s">
        <v>97</v>
      </c>
      <c r="D74" s="3"/>
      <c r="E74" s="3" t="s">
        <v>98</v>
      </c>
      <c r="F74" s="3" t="s">
        <v>3</v>
      </c>
      <c r="G74" s="3" t="s">
        <v>11</v>
      </c>
      <c r="H74" s="3" t="s">
        <v>4</v>
      </c>
      <c r="I74" s="3" t="s">
        <v>5</v>
      </c>
      <c r="J74" s="3" t="s">
        <v>56</v>
      </c>
      <c r="K74" s="3" t="s">
        <v>57</v>
      </c>
      <c r="L74" s="3" t="s">
        <v>6</v>
      </c>
      <c r="M74" s="83" t="s">
        <v>99</v>
      </c>
      <c r="N74" s="4" t="s">
        <v>7</v>
      </c>
    </row>
    <row r="75" spans="1:17" x14ac:dyDescent="0.25">
      <c r="A75" s="23"/>
      <c r="B75" s="2"/>
      <c r="C75" s="47"/>
      <c r="D75" s="62"/>
      <c r="E75" s="11"/>
      <c r="F75" s="5"/>
      <c r="G75" s="5"/>
      <c r="H75" s="5"/>
      <c r="I75" s="48"/>
      <c r="J75" s="49"/>
      <c r="K75" s="5"/>
      <c r="L75" s="5"/>
      <c r="M75" s="84"/>
      <c r="N75" s="50"/>
    </row>
    <row r="76" spans="1:17" x14ac:dyDescent="0.25">
      <c r="A76" s="8">
        <v>1</v>
      </c>
      <c r="B76" s="9" t="s">
        <v>67</v>
      </c>
      <c r="C76" s="10">
        <f>N52+N53</f>
        <v>31151888.552116744</v>
      </c>
      <c r="D76" s="63">
        <v>0</v>
      </c>
      <c r="E76" s="11"/>
      <c r="F76" s="6"/>
      <c r="G76" s="6"/>
      <c r="H76" s="7">
        <f>SUM(D76+G76)/2</f>
        <v>0</v>
      </c>
      <c r="I76" s="56">
        <f>C76+H76</f>
        <v>31151888.552116744</v>
      </c>
      <c r="J76" s="55">
        <v>0.04</v>
      </c>
      <c r="K76" s="6"/>
      <c r="L76" s="6"/>
      <c r="M76" s="85">
        <f>I76*J76</f>
        <v>1246075.5420846697</v>
      </c>
      <c r="N76" s="7">
        <f>H76+I76-M76</f>
        <v>29905813.010032073</v>
      </c>
      <c r="P76" s="74"/>
      <c r="Q76" s="74"/>
    </row>
    <row r="77" spans="1:17" x14ac:dyDescent="0.25">
      <c r="A77" s="8">
        <v>1</v>
      </c>
      <c r="B77" s="9" t="s">
        <v>72</v>
      </c>
      <c r="C77" s="10">
        <v>0</v>
      </c>
      <c r="D77" s="63">
        <v>0</v>
      </c>
      <c r="E77" s="11">
        <v>0</v>
      </c>
      <c r="F77" s="6" t="s">
        <v>0</v>
      </c>
      <c r="G77" s="6"/>
      <c r="H77" s="56">
        <f>SUM(D77+E77+G77)/2</f>
        <v>0</v>
      </c>
      <c r="I77" s="56">
        <f>E77</f>
        <v>0</v>
      </c>
      <c r="J77" s="55">
        <f>J76*1.5</f>
        <v>0.06</v>
      </c>
      <c r="K77" s="6"/>
      <c r="L77" s="6"/>
      <c r="M77" s="85">
        <f>I77*J77</f>
        <v>0</v>
      </c>
      <c r="N77" s="56">
        <f>C77+E77-M77</f>
        <v>0</v>
      </c>
      <c r="P77" s="74"/>
      <c r="Q77" s="74"/>
    </row>
    <row r="78" spans="1:17" x14ac:dyDescent="0.25">
      <c r="A78" s="14">
        <v>2</v>
      </c>
      <c r="B78" s="9" t="s">
        <v>68</v>
      </c>
      <c r="C78" s="10">
        <f>N54</f>
        <v>4376201.5227872841</v>
      </c>
      <c r="D78" s="63">
        <v>0</v>
      </c>
      <c r="E78" s="11"/>
      <c r="F78" s="6"/>
      <c r="G78" s="6"/>
      <c r="H78" s="56">
        <f>SUM(D78+G78)/2</f>
        <v>0</v>
      </c>
      <c r="I78" s="76">
        <f>C78+H78</f>
        <v>4376201.5227872841</v>
      </c>
      <c r="J78" s="55">
        <v>0.06</v>
      </c>
      <c r="K78" s="6"/>
      <c r="L78" s="6"/>
      <c r="M78" s="85">
        <f>(I78*J78)</f>
        <v>262572.09136723704</v>
      </c>
      <c r="N78" s="7">
        <f>H78+I78-M78</f>
        <v>4113629.4314200468</v>
      </c>
      <c r="P78" s="74"/>
      <c r="Q78" s="74"/>
    </row>
    <row r="79" spans="1:17" x14ac:dyDescent="0.25">
      <c r="A79" s="15">
        <v>8</v>
      </c>
      <c r="B79" s="16" t="s">
        <v>69</v>
      </c>
      <c r="C79" s="10">
        <f>N55+N56</f>
        <v>2178809.151254457</v>
      </c>
      <c r="D79" s="1">
        <v>0</v>
      </c>
      <c r="E79" s="63"/>
      <c r="F79" s="6"/>
      <c r="G79" s="6"/>
      <c r="H79" s="56">
        <f>SUM(E79+G79)/2</f>
        <v>0</v>
      </c>
      <c r="I79" s="76">
        <f>C79+H79</f>
        <v>2178809.151254457</v>
      </c>
      <c r="J79" s="55">
        <v>0.2</v>
      </c>
      <c r="K79" s="6"/>
      <c r="L79" s="6"/>
      <c r="M79" s="85">
        <f>I79*J79</f>
        <v>435761.83025089139</v>
      </c>
      <c r="N79" s="7">
        <f>H79+I79-M79</f>
        <v>1743047.3210035656</v>
      </c>
      <c r="P79" s="74"/>
      <c r="Q79" s="74"/>
    </row>
    <row r="80" spans="1:17" x14ac:dyDescent="0.25">
      <c r="A80" s="15">
        <v>8</v>
      </c>
      <c r="B80" s="16" t="s">
        <v>62</v>
      </c>
      <c r="C80" s="10">
        <v>0</v>
      </c>
      <c r="D80" s="63">
        <v>0</v>
      </c>
      <c r="E80" s="11">
        <v>92730.89</v>
      </c>
      <c r="F80" s="6"/>
      <c r="G80" s="6"/>
      <c r="H80" s="56">
        <f>SUM(D80+E80+G80)/2</f>
        <v>46365.445</v>
      </c>
      <c r="I80" s="56">
        <f>E80</f>
        <v>92730.89</v>
      </c>
      <c r="J80" s="55">
        <f>J79*1.5</f>
        <v>0.30000000000000004</v>
      </c>
      <c r="K80" s="6"/>
      <c r="L80" s="6"/>
      <c r="M80" s="85">
        <f>I80*J80</f>
        <v>27819.267000000003</v>
      </c>
      <c r="N80" s="56">
        <f>C80+E80-M80</f>
        <v>64911.622999999992</v>
      </c>
      <c r="P80" s="74"/>
      <c r="Q80" s="74"/>
    </row>
    <row r="81" spans="1:19" x14ac:dyDescent="0.25">
      <c r="A81" s="8">
        <v>10</v>
      </c>
      <c r="B81" s="9" t="s">
        <v>70</v>
      </c>
      <c r="C81" s="10">
        <f>N57</f>
        <v>1873.3623043723028</v>
      </c>
      <c r="D81" s="63">
        <v>0</v>
      </c>
      <c r="E81" s="11"/>
      <c r="F81" s="6"/>
      <c r="G81" s="6">
        <v>0</v>
      </c>
      <c r="H81" s="7">
        <f>SUM(D81+G81)/2</f>
        <v>0</v>
      </c>
      <c r="I81" s="56">
        <f>C81+H81</f>
        <v>1873.3623043723028</v>
      </c>
      <c r="J81" s="55">
        <v>0.3</v>
      </c>
      <c r="K81" s="6"/>
      <c r="L81" s="6"/>
      <c r="M81" s="85">
        <f>I81*J81</f>
        <v>562.00869131169077</v>
      </c>
      <c r="N81" s="7">
        <f>H81+I81-M81</f>
        <v>1311.3536130606121</v>
      </c>
      <c r="P81" s="74"/>
      <c r="Q81" s="74"/>
    </row>
    <row r="82" spans="1:19" x14ac:dyDescent="0.25">
      <c r="A82" s="15">
        <v>12</v>
      </c>
      <c r="B82" s="17" t="s">
        <v>71</v>
      </c>
      <c r="C82" s="10">
        <v>0</v>
      </c>
      <c r="D82" s="63">
        <v>0</v>
      </c>
      <c r="E82" s="11"/>
      <c r="F82" s="6"/>
      <c r="G82" s="6"/>
      <c r="H82" s="7"/>
      <c r="I82" s="56">
        <f>C82+E82+H82</f>
        <v>0</v>
      </c>
      <c r="J82" s="55">
        <v>1</v>
      </c>
      <c r="K82" s="6"/>
      <c r="L82" s="6"/>
      <c r="M82" s="85">
        <f>I82*J82</f>
        <v>0</v>
      </c>
      <c r="N82" s="7">
        <f>H82+I82-M82</f>
        <v>0</v>
      </c>
      <c r="P82" s="78"/>
      <c r="Q82" s="74"/>
    </row>
    <row r="83" spans="1:19" x14ac:dyDescent="0.25">
      <c r="A83" s="15">
        <v>12</v>
      </c>
      <c r="B83" s="9" t="s">
        <v>79</v>
      </c>
      <c r="C83" s="10">
        <f>N58+N59</f>
        <v>17377.20135109777</v>
      </c>
      <c r="D83" s="63">
        <v>0</v>
      </c>
      <c r="E83" s="11">
        <v>0</v>
      </c>
      <c r="F83" s="6"/>
      <c r="G83" s="6"/>
      <c r="H83" s="7">
        <f>SUM(D83+G83)/2</f>
        <v>0</v>
      </c>
      <c r="I83" s="76">
        <f>C83+H83</f>
        <v>17377.20135109777</v>
      </c>
      <c r="J83" s="55">
        <f>J82</f>
        <v>1</v>
      </c>
      <c r="K83" s="6"/>
      <c r="L83" s="6"/>
      <c r="M83" s="85">
        <f>I83*J83</f>
        <v>17377.20135109777</v>
      </c>
      <c r="N83" s="7">
        <f>H83+I83-M83</f>
        <v>0</v>
      </c>
      <c r="P83" s="74"/>
      <c r="Q83" s="74"/>
    </row>
    <row r="84" spans="1:19" x14ac:dyDescent="0.25">
      <c r="A84" s="26">
        <v>14.1</v>
      </c>
      <c r="B84" s="9" t="s">
        <v>73</v>
      </c>
      <c r="C84" s="10">
        <f>N60</f>
        <v>395310.27783080499</v>
      </c>
      <c r="D84" s="63">
        <v>0</v>
      </c>
      <c r="E84" s="11"/>
      <c r="F84" s="6"/>
      <c r="G84" s="6"/>
      <c r="H84" s="7">
        <f>SUM(D84+G84)/2</f>
        <v>0</v>
      </c>
      <c r="I84" s="52">
        <f>C84+D84</f>
        <v>395310.27783080499</v>
      </c>
      <c r="J84" s="12">
        <v>7.0000000000000007E-2</v>
      </c>
      <c r="K84" s="6"/>
      <c r="L84" s="6"/>
      <c r="M84" s="85">
        <f t="shared" ref="M84:M89" si="8">(I84*J84)</f>
        <v>27671.719448156353</v>
      </c>
      <c r="N84" s="7">
        <f>H84+I84-M84</f>
        <v>367638.55838264863</v>
      </c>
      <c r="P84" s="74"/>
      <c r="Q84" s="74"/>
    </row>
    <row r="85" spans="1:19" x14ac:dyDescent="0.25">
      <c r="A85" s="26">
        <v>14.1</v>
      </c>
      <c r="B85" s="9" t="s">
        <v>74</v>
      </c>
      <c r="C85" s="10">
        <f>N61+N62</f>
        <v>593103.90983979171</v>
      </c>
      <c r="D85" s="63">
        <v>0</v>
      </c>
      <c r="E85" s="11"/>
      <c r="F85" s="6"/>
      <c r="G85" s="6"/>
      <c r="H85" s="7">
        <f>SUM(D85+G85)/2</f>
        <v>0</v>
      </c>
      <c r="I85" s="52">
        <f>C85+H85</f>
        <v>593103.90983979171</v>
      </c>
      <c r="J85" s="12">
        <v>0.05</v>
      </c>
      <c r="K85" s="6"/>
      <c r="L85" s="6"/>
      <c r="M85" s="85">
        <f t="shared" si="8"/>
        <v>29655.195491989587</v>
      </c>
      <c r="N85" s="7">
        <f>H85+I85-M85</f>
        <v>563448.7143478021</v>
      </c>
      <c r="P85" s="74"/>
      <c r="Q85" s="74"/>
    </row>
    <row r="86" spans="1:19" x14ac:dyDescent="0.25">
      <c r="A86" s="26">
        <v>14.1</v>
      </c>
      <c r="B86" s="9" t="s">
        <v>82</v>
      </c>
      <c r="C86" s="10">
        <v>0</v>
      </c>
      <c r="D86" s="63">
        <v>0</v>
      </c>
      <c r="E86" s="11"/>
      <c r="F86" s="6"/>
      <c r="G86" s="6"/>
      <c r="H86" s="56">
        <f>SUM(D86+E86+G86)/2</f>
        <v>0</v>
      </c>
      <c r="I86" s="56">
        <f>E86</f>
        <v>0</v>
      </c>
      <c r="J86" s="55">
        <f>J85*1.5</f>
        <v>7.5000000000000011E-2</v>
      </c>
      <c r="K86" s="6"/>
      <c r="L86" s="6"/>
      <c r="M86" s="85">
        <f t="shared" si="8"/>
        <v>0</v>
      </c>
      <c r="N86" s="56">
        <f>C86+E86-M86</f>
        <v>0</v>
      </c>
      <c r="P86" s="74"/>
      <c r="Q86" s="74"/>
    </row>
    <row r="87" spans="1:19" x14ac:dyDescent="0.25">
      <c r="A87" s="15">
        <v>17</v>
      </c>
      <c r="B87" s="17" t="s">
        <v>75</v>
      </c>
      <c r="C87" s="10">
        <f>N63</f>
        <v>245674.0593578082</v>
      </c>
      <c r="D87" s="1">
        <v>0</v>
      </c>
      <c r="E87" s="63"/>
      <c r="F87" s="6"/>
      <c r="G87" s="6"/>
      <c r="H87" s="56">
        <f>SUM(E87+G87)/2</f>
        <v>0</v>
      </c>
      <c r="I87" s="56">
        <f>C87+D87</f>
        <v>245674.0593578082</v>
      </c>
      <c r="J87" s="55">
        <v>0.08</v>
      </c>
      <c r="K87" s="6"/>
      <c r="L87" s="6"/>
      <c r="M87" s="85">
        <f t="shared" si="8"/>
        <v>19653.924748624657</v>
      </c>
      <c r="N87" s="7">
        <f>H87+I87-M87</f>
        <v>226020.13460918356</v>
      </c>
      <c r="P87" s="74"/>
      <c r="Q87" s="74"/>
    </row>
    <row r="88" spans="1:19" x14ac:dyDescent="0.25">
      <c r="A88" s="26">
        <v>43.2</v>
      </c>
      <c r="B88" s="9" t="s">
        <v>76</v>
      </c>
      <c r="C88" s="10">
        <f>N64</f>
        <v>7390.654907112028</v>
      </c>
      <c r="D88" s="63">
        <v>0</v>
      </c>
      <c r="E88" s="11"/>
      <c r="F88" s="6"/>
      <c r="G88" s="6"/>
      <c r="H88" s="56"/>
      <c r="I88" s="52">
        <f>C88+H88</f>
        <v>7390.654907112028</v>
      </c>
      <c r="J88" s="12">
        <v>0.5</v>
      </c>
      <c r="K88" s="6"/>
      <c r="L88" s="6"/>
      <c r="M88" s="85">
        <f t="shared" si="8"/>
        <v>3695.327453556014</v>
      </c>
      <c r="N88" s="7">
        <f>H88+I88-M88</f>
        <v>3695.327453556014</v>
      </c>
      <c r="P88" s="74"/>
      <c r="Q88" s="74"/>
    </row>
    <row r="89" spans="1:19" x14ac:dyDescent="0.25">
      <c r="A89" s="8">
        <v>45</v>
      </c>
      <c r="B89" s="9" t="s">
        <v>77</v>
      </c>
      <c r="C89" s="10">
        <f>N65</f>
        <v>100.18914665040346</v>
      </c>
      <c r="D89" s="63">
        <v>0</v>
      </c>
      <c r="E89" s="11"/>
      <c r="F89" s="6"/>
      <c r="G89" s="6"/>
      <c r="H89" s="56">
        <v>0</v>
      </c>
      <c r="I89" s="56">
        <f>C89+H89</f>
        <v>100.18914665040346</v>
      </c>
      <c r="J89" s="55">
        <v>0.45</v>
      </c>
      <c r="K89" s="6"/>
      <c r="L89" s="51"/>
      <c r="M89" s="85">
        <f t="shared" si="8"/>
        <v>45.085115992681558</v>
      </c>
      <c r="N89" s="7">
        <f>H89+I89-M89</f>
        <v>55.1040306577219</v>
      </c>
      <c r="P89" s="74"/>
      <c r="Q89" s="74"/>
    </row>
    <row r="90" spans="1:19" x14ac:dyDescent="0.25">
      <c r="A90" s="15">
        <v>47</v>
      </c>
      <c r="B90" s="16" t="s">
        <v>78</v>
      </c>
      <c r="C90" s="10">
        <f>N66+N67</f>
        <v>49849307.817609973</v>
      </c>
      <c r="D90" s="63">
        <v>0</v>
      </c>
      <c r="E90" s="11"/>
      <c r="F90" s="6"/>
      <c r="G90" s="6"/>
      <c r="H90" s="56">
        <f>SUM(D90+G90)/2</f>
        <v>0</v>
      </c>
      <c r="I90" s="56">
        <f>C90+H90+F90</f>
        <v>49849307.817609973</v>
      </c>
      <c r="J90" s="55">
        <v>0.08</v>
      </c>
      <c r="K90" s="6"/>
      <c r="L90" s="6"/>
      <c r="M90" s="85">
        <f>I90*J90</f>
        <v>3987944.625408798</v>
      </c>
      <c r="N90" s="7">
        <f>H90+I90-M90</f>
        <v>45861363.192201175</v>
      </c>
      <c r="P90" s="74"/>
      <c r="Q90" s="74"/>
    </row>
    <row r="91" spans="1:19" x14ac:dyDescent="0.25">
      <c r="A91" s="15">
        <v>47</v>
      </c>
      <c r="B91" s="16" t="s">
        <v>80</v>
      </c>
      <c r="C91" s="10">
        <v>0</v>
      </c>
      <c r="D91" s="64">
        <v>0</v>
      </c>
      <c r="E91" s="11">
        <v>7677846.5999999987</v>
      </c>
      <c r="F91" s="6"/>
      <c r="G91" s="6"/>
      <c r="H91" s="56">
        <f>SUM(D91+E91+G91)/2</f>
        <v>3838923.2999999993</v>
      </c>
      <c r="I91" s="56">
        <f>E91</f>
        <v>7677846.5999999987</v>
      </c>
      <c r="J91" s="55">
        <f>J90*1.5</f>
        <v>0.12</v>
      </c>
      <c r="K91" s="6"/>
      <c r="L91" s="6"/>
      <c r="M91" s="85">
        <f>(I91*J91)</f>
        <v>921341.59199999983</v>
      </c>
      <c r="N91" s="56">
        <f>C91+E91-M91</f>
        <v>6756505.0079999985</v>
      </c>
      <c r="P91" s="74"/>
      <c r="Q91" s="74"/>
    </row>
    <row r="92" spans="1:19" x14ac:dyDescent="0.25">
      <c r="A92" s="8">
        <v>50</v>
      </c>
      <c r="B92" s="9" t="s">
        <v>77</v>
      </c>
      <c r="C92" s="10">
        <f>N68+N69</f>
        <v>33331.142556295737</v>
      </c>
      <c r="D92" s="1">
        <v>0</v>
      </c>
      <c r="E92" s="63"/>
      <c r="F92" s="6">
        <v>0</v>
      </c>
      <c r="G92" s="1">
        <v>0</v>
      </c>
      <c r="H92" s="56">
        <v>0</v>
      </c>
      <c r="I92" s="11">
        <f>C92+H92+F92</f>
        <v>33331.142556295737</v>
      </c>
      <c r="J92" s="12">
        <v>0.55000000000000004</v>
      </c>
      <c r="K92" s="6"/>
      <c r="L92" s="6"/>
      <c r="M92" s="85">
        <f>(I92+C93)*J92</f>
        <v>18332.128405962656</v>
      </c>
      <c r="N92" s="7">
        <f>H92+I92-M92</f>
        <v>14999.014150333081</v>
      </c>
      <c r="P92" s="74"/>
      <c r="Q92" s="74"/>
    </row>
    <row r="93" spans="1:19" x14ac:dyDescent="0.25">
      <c r="A93" s="66">
        <v>50</v>
      </c>
      <c r="B93" s="9" t="s">
        <v>81</v>
      </c>
      <c r="C93" s="10">
        <v>0</v>
      </c>
      <c r="D93" s="63">
        <v>0</v>
      </c>
      <c r="E93" s="11">
        <v>0</v>
      </c>
      <c r="F93" s="6"/>
      <c r="G93" s="6">
        <v>0</v>
      </c>
      <c r="H93" s="56">
        <f>SUM(D93+E93+G93)/2</f>
        <v>0</v>
      </c>
      <c r="I93" s="56">
        <f>E93</f>
        <v>0</v>
      </c>
      <c r="J93" s="55">
        <f>J92*1.5</f>
        <v>0.82500000000000007</v>
      </c>
      <c r="K93" s="6"/>
      <c r="L93" s="6"/>
      <c r="M93" s="85">
        <f>(I93*J93)</f>
        <v>0</v>
      </c>
      <c r="N93" s="76">
        <f>C93+E93-M93</f>
        <v>0</v>
      </c>
      <c r="P93" s="74"/>
      <c r="Q93" s="74"/>
    </row>
    <row r="94" spans="1:19" x14ac:dyDescent="0.25">
      <c r="A94" s="18">
        <v>95</v>
      </c>
      <c r="B94" s="19" t="s">
        <v>9</v>
      </c>
      <c r="C94" s="10">
        <f>N70</f>
        <v>0</v>
      </c>
      <c r="D94" s="63">
        <v>0</v>
      </c>
      <c r="E94" s="63"/>
      <c r="F94" s="6">
        <v>0</v>
      </c>
      <c r="G94" s="6"/>
      <c r="H94" s="52">
        <f>SUM(E94+G94)/2</f>
        <v>0</v>
      </c>
      <c r="I94" s="11">
        <f>C94+E94+F94</f>
        <v>0</v>
      </c>
      <c r="J94" s="12">
        <v>0</v>
      </c>
      <c r="K94" s="6"/>
      <c r="L94" s="6"/>
      <c r="M94" s="85">
        <f>(I94*J94)</f>
        <v>0</v>
      </c>
      <c r="N94" s="7">
        <f>I94-M94</f>
        <v>0</v>
      </c>
      <c r="P94" s="74"/>
      <c r="Q94" s="74"/>
    </row>
    <row r="95" spans="1:19" ht="15.75" thickBot="1" x14ac:dyDescent="0.3">
      <c r="A95" s="24" t="s">
        <v>10</v>
      </c>
      <c r="B95" s="21"/>
      <c r="C95" s="46">
        <f t="shared" ref="C95:I95" si="9">SUM(C76:C94)</f>
        <v>88850367.841062397</v>
      </c>
      <c r="D95" s="65">
        <f t="shared" si="9"/>
        <v>0</v>
      </c>
      <c r="E95" s="65">
        <f t="shared" si="9"/>
        <v>7770577.4899999984</v>
      </c>
      <c r="F95" s="46">
        <f t="shared" si="9"/>
        <v>0</v>
      </c>
      <c r="G95" s="61">
        <f t="shared" si="9"/>
        <v>0</v>
      </c>
      <c r="H95" s="22">
        <f t="shared" si="9"/>
        <v>3885288.7449999992</v>
      </c>
      <c r="I95" s="22">
        <f t="shared" si="9"/>
        <v>96620945.331062391</v>
      </c>
      <c r="J95" s="22" t="s">
        <v>0</v>
      </c>
      <c r="K95" s="22">
        <f>SUM(K76:K94)</f>
        <v>0</v>
      </c>
      <c r="L95" s="22">
        <f>SUM(L76:L94)</f>
        <v>0</v>
      </c>
      <c r="M95" s="22">
        <f>SUM(M76:M94)</f>
        <v>6998507.5388182877</v>
      </c>
      <c r="N95" s="22">
        <f>SUM(N76:N94)</f>
        <v>89622437.792244107</v>
      </c>
      <c r="P95" s="74"/>
      <c r="Q95" s="74"/>
      <c r="R95" s="25"/>
      <c r="S95" s="79"/>
    </row>
    <row r="96" spans="1:19" ht="15.75" thickTop="1" x14ac:dyDescent="0.25"/>
    <row r="97" spans="1:14" x14ac:dyDescent="0.25">
      <c r="A97">
        <v>2021</v>
      </c>
      <c r="B97" t="s">
        <v>66</v>
      </c>
    </row>
    <row r="98" spans="1:14" ht="30" x14ac:dyDescent="0.25">
      <c r="A98" s="23" t="s">
        <v>1</v>
      </c>
      <c r="B98" s="2" t="s">
        <v>2</v>
      </c>
      <c r="C98" s="2" t="s">
        <v>100</v>
      </c>
      <c r="D98" s="3"/>
      <c r="E98" s="3" t="s">
        <v>101</v>
      </c>
      <c r="F98" s="3" t="s">
        <v>3</v>
      </c>
      <c r="G98" s="3" t="s">
        <v>11</v>
      </c>
      <c r="H98" s="3" t="s">
        <v>4</v>
      </c>
      <c r="I98" s="3" t="s">
        <v>5</v>
      </c>
      <c r="J98" s="3" t="s">
        <v>56</v>
      </c>
      <c r="K98" s="3" t="s">
        <v>57</v>
      </c>
      <c r="L98" s="3" t="s">
        <v>6</v>
      </c>
      <c r="M98" s="83" t="s">
        <v>99</v>
      </c>
      <c r="N98" s="4" t="s">
        <v>7</v>
      </c>
    </row>
    <row r="99" spans="1:14" x14ac:dyDescent="0.25">
      <c r="A99" s="23"/>
      <c r="B99" s="2"/>
      <c r="C99" s="47"/>
      <c r="D99" s="62"/>
      <c r="E99" s="11"/>
      <c r="F99" s="5"/>
      <c r="G99" s="5"/>
      <c r="H99" s="5"/>
      <c r="I99" s="48"/>
      <c r="J99" s="49"/>
      <c r="K99" s="5"/>
      <c r="L99" s="5"/>
      <c r="M99" s="84"/>
      <c r="N99" s="50"/>
    </row>
    <row r="100" spans="1:14" x14ac:dyDescent="0.25">
      <c r="A100" s="8">
        <v>1</v>
      </c>
      <c r="B100" s="9" t="s">
        <v>67</v>
      </c>
      <c r="C100" s="10">
        <f>N76+N77</f>
        <v>29905813.010032073</v>
      </c>
      <c r="D100" s="63">
        <v>0</v>
      </c>
      <c r="E100" s="11"/>
      <c r="F100" s="6"/>
      <c r="G100" s="6"/>
      <c r="H100" s="7">
        <f>SUM(D100+G100)/2</f>
        <v>0</v>
      </c>
      <c r="I100" s="56">
        <f>C100+H100</f>
        <v>29905813.010032073</v>
      </c>
      <c r="J100" s="55">
        <v>0.04</v>
      </c>
      <c r="K100" s="6"/>
      <c r="L100" s="6"/>
      <c r="M100" s="85">
        <f t="shared" ref="M100:M107" si="10">I100*J100</f>
        <v>1196232.5204012829</v>
      </c>
      <c r="N100" s="7">
        <f>H100+I100-M100</f>
        <v>28709580.489630789</v>
      </c>
    </row>
    <row r="101" spans="1:14" x14ac:dyDescent="0.25">
      <c r="A101" s="8">
        <v>1</v>
      </c>
      <c r="B101" s="9" t="s">
        <v>72</v>
      </c>
      <c r="C101" s="10">
        <v>0</v>
      </c>
      <c r="D101" s="63">
        <v>0</v>
      </c>
      <c r="E101" s="11">
        <v>198995.51</v>
      </c>
      <c r="F101" s="6" t="s">
        <v>0</v>
      </c>
      <c r="G101" s="6"/>
      <c r="H101" s="56">
        <f>SUM(D101+E101+G101)/2</f>
        <v>99497.755000000005</v>
      </c>
      <c r="I101" s="56">
        <f>E101</f>
        <v>198995.51</v>
      </c>
      <c r="J101" s="55">
        <f>J100*1.5</f>
        <v>0.06</v>
      </c>
      <c r="K101" s="6"/>
      <c r="L101" s="6"/>
      <c r="M101" s="85">
        <f t="shared" si="10"/>
        <v>11939.730600000001</v>
      </c>
      <c r="N101" s="56">
        <f>C101+E101-M101</f>
        <v>187055.7794</v>
      </c>
    </row>
    <row r="102" spans="1:14" x14ac:dyDescent="0.25">
      <c r="A102" s="14">
        <v>2</v>
      </c>
      <c r="B102" s="9" t="s">
        <v>68</v>
      </c>
      <c r="C102" s="10">
        <f>N78</f>
        <v>4113629.4314200468</v>
      </c>
      <c r="D102" s="63">
        <v>0</v>
      </c>
      <c r="E102" s="11"/>
      <c r="F102" s="6"/>
      <c r="G102" s="6"/>
      <c r="H102" s="56">
        <f>SUM(D102+G102)/2</f>
        <v>0</v>
      </c>
      <c r="I102" s="56">
        <f>C102+H102</f>
        <v>4113629.4314200468</v>
      </c>
      <c r="J102" s="55">
        <v>0.06</v>
      </c>
      <c r="K102" s="6"/>
      <c r="L102" s="6"/>
      <c r="M102" s="85">
        <f t="shared" si="10"/>
        <v>246817.7658852028</v>
      </c>
      <c r="N102" s="7">
        <f>H102+I102-M102</f>
        <v>3866811.6655348442</v>
      </c>
    </row>
    <row r="103" spans="1:14" x14ac:dyDescent="0.25">
      <c r="A103" s="15">
        <v>8</v>
      </c>
      <c r="B103" s="16" t="s">
        <v>69</v>
      </c>
      <c r="C103" s="10">
        <f>N79+N80</f>
        <v>1807958.9440035655</v>
      </c>
      <c r="D103" s="1">
        <v>0</v>
      </c>
      <c r="E103" s="63"/>
      <c r="F103" s="6"/>
      <c r="G103" s="6"/>
      <c r="H103" s="56">
        <f>SUM(E103+G103)/2</f>
        <v>0</v>
      </c>
      <c r="I103" s="56">
        <f>C103+H103</f>
        <v>1807958.9440035655</v>
      </c>
      <c r="J103" s="55">
        <v>0.2</v>
      </c>
      <c r="K103" s="6"/>
      <c r="L103" s="6"/>
      <c r="M103" s="85">
        <f t="shared" si="10"/>
        <v>361591.78880071314</v>
      </c>
      <c r="N103" s="7">
        <f>H103+I103-M103</f>
        <v>1446367.1552028523</v>
      </c>
    </row>
    <row r="104" spans="1:14" x14ac:dyDescent="0.25">
      <c r="A104" s="15">
        <v>8</v>
      </c>
      <c r="B104" s="16" t="s">
        <v>62</v>
      </c>
      <c r="C104" s="10">
        <v>0</v>
      </c>
      <c r="D104" s="63">
        <v>0</v>
      </c>
      <c r="E104" s="11">
        <v>220922.32</v>
      </c>
      <c r="F104" s="6"/>
      <c r="G104" s="6"/>
      <c r="H104" s="56">
        <f>SUM(D104+E104+G104)/2</f>
        <v>110461.16</v>
      </c>
      <c r="I104" s="56">
        <f>E104</f>
        <v>220922.32</v>
      </c>
      <c r="J104" s="55">
        <f>J103*1.5</f>
        <v>0.30000000000000004</v>
      </c>
      <c r="K104" s="6"/>
      <c r="L104" s="6"/>
      <c r="M104" s="85">
        <f t="shared" si="10"/>
        <v>66276.696000000011</v>
      </c>
      <c r="N104" s="56">
        <f>C104+E104-M104</f>
        <v>154645.62400000001</v>
      </c>
    </row>
    <row r="105" spans="1:14" x14ac:dyDescent="0.25">
      <c r="A105" s="8">
        <v>10</v>
      </c>
      <c r="B105" s="9" t="s">
        <v>102</v>
      </c>
      <c r="C105" s="10">
        <f>N81</f>
        <v>1311.3536130606121</v>
      </c>
      <c r="D105" s="63">
        <v>0</v>
      </c>
      <c r="E105" s="11"/>
      <c r="F105" s="6"/>
      <c r="G105" s="6">
        <v>0</v>
      </c>
      <c r="H105" s="7">
        <f>SUM(D105+G105)/2</f>
        <v>0</v>
      </c>
      <c r="I105" s="56">
        <f>C105+H105</f>
        <v>1311.3536130606121</v>
      </c>
      <c r="J105" s="55">
        <v>0.3</v>
      </c>
      <c r="K105" s="6"/>
      <c r="L105" s="6"/>
      <c r="M105" s="85">
        <f t="shared" si="10"/>
        <v>393.40608391818364</v>
      </c>
      <c r="N105" s="7">
        <f>H105+I105-M105</f>
        <v>917.94752914242849</v>
      </c>
    </row>
    <row r="106" spans="1:14" x14ac:dyDescent="0.25">
      <c r="A106" s="8">
        <v>10</v>
      </c>
      <c r="B106" s="9" t="s">
        <v>103</v>
      </c>
      <c r="C106" s="10">
        <v>0</v>
      </c>
      <c r="D106" s="63"/>
      <c r="E106" s="11">
        <v>61039.76</v>
      </c>
      <c r="F106" s="6"/>
      <c r="G106" s="6"/>
      <c r="H106" s="7"/>
      <c r="I106" s="56">
        <f>E106</f>
        <v>61039.76</v>
      </c>
      <c r="J106" s="55">
        <f>J105*1.5</f>
        <v>0.44999999999999996</v>
      </c>
      <c r="K106" s="6"/>
      <c r="L106" s="6"/>
      <c r="M106" s="85">
        <f t="shared" si="10"/>
        <v>27467.892</v>
      </c>
      <c r="N106" s="7">
        <f>H106+I106-M106</f>
        <v>33571.868000000002</v>
      </c>
    </row>
    <row r="107" spans="1:14" x14ac:dyDescent="0.25">
      <c r="A107" s="15">
        <v>12</v>
      </c>
      <c r="B107" s="17" t="s">
        <v>71</v>
      </c>
      <c r="C107" s="10">
        <f>N82+N83</f>
        <v>0</v>
      </c>
      <c r="D107" s="63">
        <v>0</v>
      </c>
      <c r="E107" s="11"/>
      <c r="F107" s="6"/>
      <c r="G107" s="6"/>
      <c r="H107" s="7"/>
      <c r="I107" s="56">
        <f>C107+E107+H107</f>
        <v>0</v>
      </c>
      <c r="J107" s="55">
        <v>1</v>
      </c>
      <c r="K107" s="6"/>
      <c r="L107" s="6"/>
      <c r="M107" s="85">
        <f t="shared" si="10"/>
        <v>0</v>
      </c>
      <c r="N107" s="7">
        <f>H107+I107-M107</f>
        <v>0</v>
      </c>
    </row>
    <row r="108" spans="1:14" x14ac:dyDescent="0.25">
      <c r="A108" s="15">
        <v>12</v>
      </c>
      <c r="B108" s="9" t="s">
        <v>79</v>
      </c>
      <c r="C108" s="10">
        <f t="shared" ref="C108:C114" si="11">N83</f>
        <v>0</v>
      </c>
      <c r="D108" s="63">
        <v>0</v>
      </c>
      <c r="E108" s="11">
        <v>0</v>
      </c>
      <c r="F108" s="6"/>
      <c r="G108" s="6"/>
      <c r="H108" s="7">
        <f>SUM(D108+G108)/2</f>
        <v>0</v>
      </c>
      <c r="I108" s="56">
        <f>E108</f>
        <v>0</v>
      </c>
      <c r="J108" s="55">
        <f>J107</f>
        <v>1</v>
      </c>
      <c r="K108" s="6"/>
      <c r="L108" s="6"/>
      <c r="M108" s="85">
        <f>(I108*J108)</f>
        <v>0</v>
      </c>
      <c r="N108" s="56">
        <f>C108+E108-M108</f>
        <v>0</v>
      </c>
    </row>
    <row r="109" spans="1:14" x14ac:dyDescent="0.25">
      <c r="A109" s="26">
        <v>14.1</v>
      </c>
      <c r="B109" s="9" t="s">
        <v>73</v>
      </c>
      <c r="C109" s="10">
        <f>N84</f>
        <v>367638.55838264863</v>
      </c>
      <c r="D109" s="63">
        <v>0</v>
      </c>
      <c r="E109" s="11"/>
      <c r="F109" s="6"/>
      <c r="G109" s="6"/>
      <c r="H109" s="7">
        <f>SUM(D109+G109)/2</f>
        <v>0</v>
      </c>
      <c r="I109" s="52">
        <f>C109+D109</f>
        <v>367638.55838264863</v>
      </c>
      <c r="J109" s="12">
        <v>7.0000000000000007E-2</v>
      </c>
      <c r="K109" s="6"/>
      <c r="L109" s="6"/>
      <c r="M109" s="85">
        <f>I109*J109</f>
        <v>25734.699086785407</v>
      </c>
      <c r="N109" s="7">
        <f>H109+I109-M109</f>
        <v>341903.85929586319</v>
      </c>
    </row>
    <row r="110" spans="1:14" x14ac:dyDescent="0.25">
      <c r="A110" s="26">
        <v>14.1</v>
      </c>
      <c r="B110" s="9" t="s">
        <v>74</v>
      </c>
      <c r="C110" s="10">
        <f>N85+N86</f>
        <v>563448.7143478021</v>
      </c>
      <c r="D110" s="63">
        <v>0</v>
      </c>
      <c r="E110" s="11"/>
      <c r="F110" s="6"/>
      <c r="G110" s="6"/>
      <c r="H110" s="7">
        <f>SUM(D110+G110)/2</f>
        <v>0</v>
      </c>
      <c r="I110" s="52">
        <f>C110+H110</f>
        <v>563448.7143478021</v>
      </c>
      <c r="J110" s="12">
        <v>0.05</v>
      </c>
      <c r="K110" s="6"/>
      <c r="L110" s="6"/>
      <c r="M110" s="85">
        <f>I110*J110</f>
        <v>28172.435717390108</v>
      </c>
      <c r="N110" s="7">
        <f>H110+I110-M110</f>
        <v>535276.27863041195</v>
      </c>
    </row>
    <row r="111" spans="1:14" x14ac:dyDescent="0.25">
      <c r="A111" s="26">
        <v>14.1</v>
      </c>
      <c r="B111" s="9" t="s">
        <v>82</v>
      </c>
      <c r="C111" s="10">
        <v>0</v>
      </c>
      <c r="D111" s="63">
        <v>0</v>
      </c>
      <c r="E111" s="11"/>
      <c r="F111" s="6"/>
      <c r="G111" s="6"/>
      <c r="H111" s="56">
        <f>SUM(D111+E111+G111)/2</f>
        <v>0</v>
      </c>
      <c r="I111" s="56">
        <f>E111</f>
        <v>0</v>
      </c>
      <c r="J111" s="55">
        <f>J110*1.5</f>
        <v>7.5000000000000011E-2</v>
      </c>
      <c r="K111" s="6"/>
      <c r="L111" s="6"/>
      <c r="M111" s="85">
        <f>(I111*J111)</f>
        <v>0</v>
      </c>
      <c r="N111" s="56">
        <f>C111+E111-M111</f>
        <v>0</v>
      </c>
    </row>
    <row r="112" spans="1:14" x14ac:dyDescent="0.25">
      <c r="A112" s="15">
        <v>17</v>
      </c>
      <c r="B112" s="17" t="s">
        <v>75</v>
      </c>
      <c r="C112" s="10">
        <f t="shared" si="11"/>
        <v>226020.13460918356</v>
      </c>
      <c r="D112" s="1">
        <v>0</v>
      </c>
      <c r="E112" s="63"/>
      <c r="F112" s="6"/>
      <c r="G112" s="6"/>
      <c r="H112" s="56">
        <f>SUM(E112+G112)/2</f>
        <v>0</v>
      </c>
      <c r="I112" s="56">
        <f>C112+D112</f>
        <v>226020.13460918356</v>
      </c>
      <c r="J112" s="55">
        <v>0.08</v>
      </c>
      <c r="K112" s="6"/>
      <c r="L112" s="6"/>
      <c r="M112" s="85">
        <f>I112*J112</f>
        <v>18081.610768734685</v>
      </c>
      <c r="N112" s="7">
        <f>H112+I112-M112</f>
        <v>207938.52384044888</v>
      </c>
    </row>
    <row r="113" spans="1:18" x14ac:dyDescent="0.25">
      <c r="A113" s="26">
        <v>43.2</v>
      </c>
      <c r="B113" s="9" t="s">
        <v>76</v>
      </c>
      <c r="C113" s="10">
        <f t="shared" si="11"/>
        <v>3695.327453556014</v>
      </c>
      <c r="D113" s="63">
        <v>0</v>
      </c>
      <c r="E113" s="11"/>
      <c r="F113" s="6"/>
      <c r="G113" s="6"/>
      <c r="H113" s="56"/>
      <c r="I113" s="52">
        <f>C113+H113</f>
        <v>3695.327453556014</v>
      </c>
      <c r="J113" s="12">
        <v>0.5</v>
      </c>
      <c r="K113" s="6"/>
      <c r="L113" s="6"/>
      <c r="M113" s="85">
        <f>I113*J113</f>
        <v>1847.663726778007</v>
      </c>
      <c r="N113" s="7">
        <f>H113+I113-M113</f>
        <v>1847.663726778007</v>
      </c>
    </row>
    <row r="114" spans="1:18" x14ac:dyDescent="0.25">
      <c r="A114" s="8">
        <v>45</v>
      </c>
      <c r="B114" s="9" t="s">
        <v>77</v>
      </c>
      <c r="C114" s="10">
        <f t="shared" si="11"/>
        <v>55.1040306577219</v>
      </c>
      <c r="D114" s="63">
        <v>0</v>
      </c>
      <c r="E114" s="11"/>
      <c r="F114" s="6"/>
      <c r="G114" s="6"/>
      <c r="H114" s="56">
        <v>0</v>
      </c>
      <c r="I114" s="56">
        <f>C114+H114</f>
        <v>55.1040306577219</v>
      </c>
      <c r="J114" s="55">
        <v>0.45</v>
      </c>
      <c r="K114" s="6"/>
      <c r="L114" s="51"/>
      <c r="M114" s="85">
        <f>I114*J114</f>
        <v>24.796813795974856</v>
      </c>
      <c r="N114" s="7">
        <f>H114+I114-M114</f>
        <v>30.307216861747044</v>
      </c>
    </row>
    <row r="115" spans="1:18" x14ac:dyDescent="0.25">
      <c r="A115" s="15">
        <v>47</v>
      </c>
      <c r="B115" s="16" t="s">
        <v>78</v>
      </c>
      <c r="C115" s="10">
        <f>N90+N91</f>
        <v>52617868.200201176</v>
      </c>
      <c r="D115" s="63">
        <v>0</v>
      </c>
      <c r="E115" s="11"/>
      <c r="F115" s="6"/>
      <c r="G115" s="6"/>
      <c r="H115" s="56">
        <f>SUM(D115+G115)/2</f>
        <v>0</v>
      </c>
      <c r="I115" s="56">
        <f>C115+H115+F115</f>
        <v>52617868.200201176</v>
      </c>
      <c r="J115" s="55">
        <v>0.08</v>
      </c>
      <c r="K115" s="6"/>
      <c r="L115" s="6"/>
      <c r="M115" s="85">
        <f>I115*J115</f>
        <v>4209429.4560160944</v>
      </c>
      <c r="N115" s="7">
        <f>H115+I115-M115</f>
        <v>48408438.744185083</v>
      </c>
    </row>
    <row r="116" spans="1:18" x14ac:dyDescent="0.25">
      <c r="A116" s="15">
        <v>47</v>
      </c>
      <c r="B116" s="16" t="s">
        <v>80</v>
      </c>
      <c r="C116" s="10">
        <v>0</v>
      </c>
      <c r="D116" s="64">
        <v>0</v>
      </c>
      <c r="E116" s="11">
        <v>12964766.439999999</v>
      </c>
      <c r="F116" s="6"/>
      <c r="G116" s="6"/>
      <c r="H116" s="56">
        <f>SUM(D116+E116+G116)/2</f>
        <v>6482383.2199999997</v>
      </c>
      <c r="I116" s="56">
        <f>E116</f>
        <v>12964766.439999999</v>
      </c>
      <c r="J116" s="55">
        <f>J115*1.5</f>
        <v>0.12</v>
      </c>
      <c r="K116" s="6"/>
      <c r="L116" s="6"/>
      <c r="M116" s="85">
        <f>(I116*J116)</f>
        <v>1555771.9727999999</v>
      </c>
      <c r="N116" s="56">
        <f>C116+E116-M116</f>
        <v>11408994.4672</v>
      </c>
    </row>
    <row r="117" spans="1:18" x14ac:dyDescent="0.25">
      <c r="A117" s="8">
        <v>50</v>
      </c>
      <c r="B117" s="9" t="s">
        <v>77</v>
      </c>
      <c r="C117" s="10">
        <f>N92+N93</f>
        <v>14999.014150333081</v>
      </c>
      <c r="D117" s="1">
        <v>0</v>
      </c>
      <c r="E117" s="63"/>
      <c r="F117" s="6">
        <v>0</v>
      </c>
      <c r="G117" s="1">
        <v>0</v>
      </c>
      <c r="H117" s="56">
        <v>0</v>
      </c>
      <c r="I117" s="11">
        <f>C117+H117+F117</f>
        <v>14999.014150333081</v>
      </c>
      <c r="J117" s="12">
        <v>0.55000000000000004</v>
      </c>
      <c r="K117" s="6"/>
      <c r="L117" s="6"/>
      <c r="M117" s="87">
        <f>I117*J117</f>
        <v>8249.4577826831955</v>
      </c>
      <c r="N117" s="7">
        <f>H117+I117-M117</f>
        <v>6749.5563676498859</v>
      </c>
    </row>
    <row r="118" spans="1:18" x14ac:dyDescent="0.25">
      <c r="A118" s="66">
        <v>50</v>
      </c>
      <c r="B118" s="9" t="s">
        <v>81</v>
      </c>
      <c r="C118" s="10">
        <v>0</v>
      </c>
      <c r="D118" s="63">
        <v>0</v>
      </c>
      <c r="E118" s="11">
        <v>0</v>
      </c>
      <c r="F118" s="6"/>
      <c r="G118" s="6">
        <v>0</v>
      </c>
      <c r="H118" s="56">
        <f>SUM(D118+E118+G118)/2</f>
        <v>0</v>
      </c>
      <c r="I118" s="56">
        <f>E118</f>
        <v>0</v>
      </c>
      <c r="J118" s="55">
        <f>J117*1.5</f>
        <v>0.82500000000000007</v>
      </c>
      <c r="K118" s="6"/>
      <c r="L118" s="6"/>
      <c r="M118" s="85">
        <f>(I118*J118)</f>
        <v>0</v>
      </c>
      <c r="N118" s="76">
        <f>C118+E118-M118</f>
        <v>0</v>
      </c>
    </row>
    <row r="119" spans="1:18" x14ac:dyDescent="0.25">
      <c r="A119" s="18">
        <v>95</v>
      </c>
      <c r="B119" s="19" t="s">
        <v>9</v>
      </c>
      <c r="C119" s="10">
        <f>N94</f>
        <v>0</v>
      </c>
      <c r="D119" s="63">
        <v>0</v>
      </c>
      <c r="E119" s="63"/>
      <c r="F119" s="6">
        <v>0</v>
      </c>
      <c r="G119" s="6"/>
      <c r="H119" s="52">
        <f>SUM(E119+G119)/2</f>
        <v>0</v>
      </c>
      <c r="I119" s="11">
        <f>C119+E119+F119</f>
        <v>0</v>
      </c>
      <c r="J119" s="12">
        <v>0</v>
      </c>
      <c r="K119" s="6"/>
      <c r="L119" s="6"/>
      <c r="M119" s="85">
        <f>(I119*J119)</f>
        <v>0</v>
      </c>
      <c r="N119" s="7">
        <f>I119-M119</f>
        <v>0</v>
      </c>
    </row>
    <row r="120" spans="1:18" ht="15.75" thickBot="1" x14ac:dyDescent="0.3">
      <c r="A120" s="24" t="s">
        <v>10</v>
      </c>
      <c r="B120" s="21"/>
      <c r="C120" s="22">
        <f t="shared" ref="C120:H120" si="12">SUM(C100:C119)</f>
        <v>89622437.792244107</v>
      </c>
      <c r="D120" s="65">
        <f t="shared" si="12"/>
        <v>0</v>
      </c>
      <c r="E120" s="65">
        <f t="shared" si="12"/>
        <v>13445724.029999999</v>
      </c>
      <c r="F120" s="46">
        <f t="shared" si="12"/>
        <v>0</v>
      </c>
      <c r="G120" s="61">
        <f t="shared" si="12"/>
        <v>0</v>
      </c>
      <c r="H120" s="22">
        <f t="shared" si="12"/>
        <v>6692342.1349999998</v>
      </c>
      <c r="I120" s="22">
        <f>SUM(I100:I119)</f>
        <v>103068161.82224411</v>
      </c>
      <c r="J120" s="22" t="s">
        <v>0</v>
      </c>
      <c r="K120" s="22">
        <f>SUM(K100:K119)</f>
        <v>0</v>
      </c>
      <c r="L120" s="22">
        <f>SUM(L100:L119)</f>
        <v>0</v>
      </c>
      <c r="M120" s="22">
        <f>SUM(M100:M119)</f>
        <v>7758031.8924833788</v>
      </c>
      <c r="N120" s="22">
        <f>SUM(N100:N119)</f>
        <v>95310129.929760724</v>
      </c>
      <c r="Q120" s="74"/>
    </row>
    <row r="121" spans="1:18" ht="15.75" thickTop="1" x14ac:dyDescent="0.25"/>
    <row r="122" spans="1:18" x14ac:dyDescent="0.25">
      <c r="A122">
        <v>2022</v>
      </c>
      <c r="B122" t="s">
        <v>66</v>
      </c>
    </row>
    <row r="123" spans="1:18" ht="30" x14ac:dyDescent="0.25">
      <c r="A123" s="23" t="s">
        <v>1</v>
      </c>
      <c r="B123" s="2" t="s">
        <v>2</v>
      </c>
      <c r="C123" s="2" t="s">
        <v>106</v>
      </c>
      <c r="D123" s="3"/>
      <c r="E123" s="3" t="s">
        <v>105</v>
      </c>
      <c r="F123" s="3" t="s">
        <v>3</v>
      </c>
      <c r="G123" s="3" t="s">
        <v>11</v>
      </c>
      <c r="H123" s="3" t="s">
        <v>4</v>
      </c>
      <c r="I123" s="3" t="s">
        <v>5</v>
      </c>
      <c r="J123" s="3" t="s">
        <v>56</v>
      </c>
      <c r="K123" s="3" t="s">
        <v>57</v>
      </c>
      <c r="L123" s="3" t="s">
        <v>6</v>
      </c>
      <c r="M123" s="83" t="s">
        <v>99</v>
      </c>
      <c r="N123" s="4" t="s">
        <v>7</v>
      </c>
    </row>
    <row r="124" spans="1:18" x14ac:dyDescent="0.25">
      <c r="A124" s="23"/>
      <c r="B124" s="2"/>
      <c r="C124" s="47"/>
      <c r="D124" s="62"/>
      <c r="E124" s="11"/>
      <c r="F124" s="5"/>
      <c r="G124" s="5"/>
      <c r="H124" s="5"/>
      <c r="I124" s="48"/>
      <c r="J124" s="49"/>
      <c r="K124" s="5"/>
      <c r="L124" s="5"/>
      <c r="M124" s="84"/>
      <c r="N124" s="50"/>
    </row>
    <row r="125" spans="1:18" x14ac:dyDescent="0.25">
      <c r="A125" s="8">
        <v>1</v>
      </c>
      <c r="B125" s="9" t="s">
        <v>67</v>
      </c>
      <c r="C125" s="10">
        <f>N100+N101</f>
        <v>28896636.269030787</v>
      </c>
      <c r="D125" s="63">
        <v>0</v>
      </c>
      <c r="E125" s="11"/>
      <c r="F125" s="6"/>
      <c r="G125" s="6"/>
      <c r="H125" s="7">
        <f>SUM(D125+G125)/2</f>
        <v>0</v>
      </c>
      <c r="I125" s="56">
        <f>C125+H125</f>
        <v>28896636.269030787</v>
      </c>
      <c r="J125" s="55">
        <v>0.04</v>
      </c>
      <c r="K125" s="6"/>
      <c r="L125" s="6"/>
      <c r="M125" s="85">
        <f>I125*J125</f>
        <v>1155865.4507612316</v>
      </c>
      <c r="N125" s="7">
        <f>H125+I125-M125</f>
        <v>27740770.818269555</v>
      </c>
      <c r="Q125" s="74"/>
      <c r="R125" s="74"/>
    </row>
    <row r="126" spans="1:18" x14ac:dyDescent="0.25">
      <c r="A126" s="8">
        <v>1</v>
      </c>
      <c r="B126" s="9" t="s">
        <v>72</v>
      </c>
      <c r="C126" s="10">
        <v>0</v>
      </c>
      <c r="D126" s="63">
        <v>0</v>
      </c>
      <c r="E126" s="11">
        <v>1299182.4500000007</v>
      </c>
      <c r="F126" s="6" t="s">
        <v>0</v>
      </c>
      <c r="G126" s="6"/>
      <c r="H126" s="56">
        <f>SUM(D126+E126+G126)/2</f>
        <v>649591.22500000033</v>
      </c>
      <c r="I126" s="56">
        <f>E126</f>
        <v>1299182.4500000007</v>
      </c>
      <c r="J126" s="55">
        <f>J125*1.5</f>
        <v>0.06</v>
      </c>
      <c r="K126" s="6"/>
      <c r="L126" s="6"/>
      <c r="M126" s="85">
        <f>I126*J126</f>
        <v>77950.947000000029</v>
      </c>
      <c r="N126" s="56">
        <f>C126+E126-M126</f>
        <v>1221231.5030000007</v>
      </c>
      <c r="Q126" s="74"/>
      <c r="R126" s="74"/>
    </row>
    <row r="127" spans="1:18" x14ac:dyDescent="0.25">
      <c r="A127" s="14">
        <v>2</v>
      </c>
      <c r="B127" s="9" t="s">
        <v>68</v>
      </c>
      <c r="C127" s="10">
        <f>N102</f>
        <v>3866811.6655348442</v>
      </c>
      <c r="D127" s="63">
        <v>0</v>
      </c>
      <c r="E127" s="11"/>
      <c r="F127" s="6"/>
      <c r="G127" s="6"/>
      <c r="H127" s="56">
        <f>SUM(D127+G127)/2</f>
        <v>0</v>
      </c>
      <c r="I127" s="56">
        <f>C127+H127</f>
        <v>3866811.6655348442</v>
      </c>
      <c r="J127" s="55">
        <v>0.06</v>
      </c>
      <c r="K127" s="6"/>
      <c r="L127" s="6"/>
      <c r="M127" s="85">
        <f>(I127*J127)</f>
        <v>232008.69993209065</v>
      </c>
      <c r="N127" s="7">
        <f>H127+I127-M127</f>
        <v>3634802.9656027537</v>
      </c>
      <c r="Q127" s="74"/>
      <c r="R127" s="74"/>
    </row>
    <row r="128" spans="1:18" x14ac:dyDescent="0.25">
      <c r="A128" s="15">
        <v>8</v>
      </c>
      <c r="B128" s="16" t="s">
        <v>69</v>
      </c>
      <c r="C128" s="10">
        <f>N103+N104</f>
        <v>1601012.7792028524</v>
      </c>
      <c r="D128" s="1">
        <v>0</v>
      </c>
      <c r="E128" s="63"/>
      <c r="F128" s="6"/>
      <c r="G128" s="6"/>
      <c r="H128" s="56">
        <f>SUM(E128+G128)/2</f>
        <v>0</v>
      </c>
      <c r="I128" s="56">
        <f>C128+H128</f>
        <v>1601012.7792028524</v>
      </c>
      <c r="J128" s="55">
        <v>0.2</v>
      </c>
      <c r="K128" s="6"/>
      <c r="L128" s="6"/>
      <c r="M128" s="85">
        <f>I128*J128</f>
        <v>320202.55584057048</v>
      </c>
      <c r="N128" s="7">
        <f>H128+I128-M128</f>
        <v>1280810.2233622819</v>
      </c>
      <c r="Q128" s="74"/>
      <c r="R128" s="74"/>
    </row>
    <row r="129" spans="1:18" x14ac:dyDescent="0.25">
      <c r="A129" s="15">
        <v>8</v>
      </c>
      <c r="B129" s="16" t="s">
        <v>62</v>
      </c>
      <c r="C129" s="10">
        <v>0</v>
      </c>
      <c r="D129" s="63">
        <v>0</v>
      </c>
      <c r="E129" s="11">
        <v>328488.09999999986</v>
      </c>
      <c r="F129" s="6"/>
      <c r="G129" s="6"/>
      <c r="H129" s="56">
        <v>0</v>
      </c>
      <c r="I129" s="56">
        <f>E129-279296</f>
        <v>49192.09999999986</v>
      </c>
      <c r="J129" s="55">
        <f>J128*1.5</f>
        <v>0.30000000000000004</v>
      </c>
      <c r="K129" s="6"/>
      <c r="L129" s="6"/>
      <c r="M129" s="85">
        <f>(I129*J129)+279296</f>
        <v>294053.62999999995</v>
      </c>
      <c r="N129" s="7">
        <f>C129+E129-M129</f>
        <v>34434.469999999914</v>
      </c>
      <c r="O129" t="s">
        <v>0</v>
      </c>
      <c r="Q129" s="74"/>
      <c r="R129" s="74"/>
    </row>
    <row r="130" spans="1:18" x14ac:dyDescent="0.25">
      <c r="A130" s="8">
        <v>10</v>
      </c>
      <c r="B130" s="9" t="s">
        <v>102</v>
      </c>
      <c r="C130" s="10">
        <f>N105+N106</f>
        <v>34489.815529142434</v>
      </c>
      <c r="D130" s="63">
        <v>0</v>
      </c>
      <c r="E130" s="11"/>
      <c r="F130" s="6"/>
      <c r="G130" s="6">
        <v>0</v>
      </c>
      <c r="H130" s="7">
        <f>SUM(D130+G130)/2</f>
        <v>0</v>
      </c>
      <c r="I130" s="56">
        <f>C130+H130</f>
        <v>34489.815529142434</v>
      </c>
      <c r="J130" s="55">
        <v>0.3</v>
      </c>
      <c r="K130" s="6"/>
      <c r="L130" s="6"/>
      <c r="M130" s="85">
        <f>(I130*J130)</f>
        <v>10346.94465874273</v>
      </c>
      <c r="N130" s="7">
        <f>H130+I130-M130</f>
        <v>24142.870870399704</v>
      </c>
      <c r="Q130" s="74"/>
      <c r="R130" s="74"/>
    </row>
    <row r="131" spans="1:18" x14ac:dyDescent="0.25">
      <c r="A131" s="8">
        <v>10</v>
      </c>
      <c r="B131" s="9" t="s">
        <v>103</v>
      </c>
      <c r="C131" s="10">
        <v>0</v>
      </c>
      <c r="D131" s="63"/>
      <c r="E131" s="11">
        <v>678741.41</v>
      </c>
      <c r="F131" s="6"/>
      <c r="G131" s="6"/>
      <c r="H131" s="7"/>
      <c r="I131" s="56">
        <f>E131</f>
        <v>678741.41</v>
      </c>
      <c r="J131" s="55">
        <f>J130*1.5</f>
        <v>0.44999999999999996</v>
      </c>
      <c r="K131" s="6"/>
      <c r="L131" s="6"/>
      <c r="M131" s="85">
        <f>I131*J131</f>
        <v>305433.63449999999</v>
      </c>
      <c r="N131" s="7">
        <f>H131+I131-M131</f>
        <v>373307.77550000005</v>
      </c>
      <c r="Q131" s="74"/>
      <c r="R131" s="74"/>
    </row>
    <row r="132" spans="1:18" x14ac:dyDescent="0.25">
      <c r="A132" s="15">
        <v>12</v>
      </c>
      <c r="B132" s="17" t="s">
        <v>71</v>
      </c>
      <c r="C132" s="10">
        <f>N107+N108</f>
        <v>0</v>
      </c>
      <c r="D132" s="63">
        <v>0</v>
      </c>
      <c r="E132" s="11"/>
      <c r="F132" s="6"/>
      <c r="G132" s="6"/>
      <c r="H132" s="7"/>
      <c r="I132" s="56">
        <f>C132+E132+H132</f>
        <v>0</v>
      </c>
      <c r="J132" s="55">
        <v>1</v>
      </c>
      <c r="K132" s="6"/>
      <c r="L132" s="6"/>
      <c r="M132" s="85">
        <f>I132*J132</f>
        <v>0</v>
      </c>
      <c r="N132" s="7">
        <f>H132+I132-M132</f>
        <v>0</v>
      </c>
      <c r="Q132" s="74"/>
      <c r="R132" s="74"/>
    </row>
    <row r="133" spans="1:18" x14ac:dyDescent="0.25">
      <c r="A133" s="15">
        <v>12</v>
      </c>
      <c r="B133" s="9" t="s">
        <v>79</v>
      </c>
      <c r="C133" s="10">
        <f>N108</f>
        <v>0</v>
      </c>
      <c r="D133" s="63">
        <v>0</v>
      </c>
      <c r="E133" s="11">
        <v>655827.49</v>
      </c>
      <c r="F133" s="6"/>
      <c r="G133" s="6"/>
      <c r="H133" s="7">
        <f>SUM(D133+G133)/2</f>
        <v>0</v>
      </c>
      <c r="I133" s="56">
        <f>E133</f>
        <v>655827.49</v>
      </c>
      <c r="J133" s="55">
        <f>J132</f>
        <v>1</v>
      </c>
      <c r="K133" s="6"/>
      <c r="L133" s="6"/>
      <c r="M133" s="85">
        <f>(I133*J133)</f>
        <v>655827.49</v>
      </c>
      <c r="N133" s="56">
        <f>C133+E133-M133</f>
        <v>0</v>
      </c>
      <c r="Q133" s="74"/>
      <c r="R133" s="74"/>
    </row>
    <row r="134" spans="1:18" x14ac:dyDescent="0.25">
      <c r="A134" s="26">
        <v>14.1</v>
      </c>
      <c r="B134" s="9" t="s">
        <v>73</v>
      </c>
      <c r="C134" s="10">
        <f>N109</f>
        <v>341903.85929586319</v>
      </c>
      <c r="D134" s="63">
        <v>0</v>
      </c>
      <c r="E134" s="11"/>
      <c r="F134" s="6"/>
      <c r="G134" s="6"/>
      <c r="H134" s="7">
        <f>SUM(D134+G134)/2</f>
        <v>0</v>
      </c>
      <c r="I134" s="52">
        <f>C134+D134</f>
        <v>341903.85929586319</v>
      </c>
      <c r="J134" s="12">
        <v>7.0000000000000007E-2</v>
      </c>
      <c r="K134" s="6"/>
      <c r="L134" s="6"/>
      <c r="M134" s="85">
        <f>(I134*J134)</f>
        <v>23933.270150710425</v>
      </c>
      <c r="N134" s="7">
        <f>H134+I134-M134</f>
        <v>317970.58914515277</v>
      </c>
      <c r="Q134" s="74"/>
      <c r="R134" s="74"/>
    </row>
    <row r="135" spans="1:18" x14ac:dyDescent="0.25">
      <c r="A135" s="26">
        <v>14.1</v>
      </c>
      <c r="B135" s="9" t="s">
        <v>74</v>
      </c>
      <c r="C135" s="10">
        <f>N110+N111</f>
        <v>535276.27863041195</v>
      </c>
      <c r="D135" s="63">
        <v>0</v>
      </c>
      <c r="E135" s="11"/>
      <c r="F135" s="6"/>
      <c r="G135" s="6"/>
      <c r="H135" s="7">
        <f>SUM(D135+G135)/2</f>
        <v>0</v>
      </c>
      <c r="I135" s="52">
        <f>C135+H135</f>
        <v>535276.27863041195</v>
      </c>
      <c r="J135" s="12">
        <v>0.05</v>
      </c>
      <c r="K135" s="6"/>
      <c r="L135" s="6"/>
      <c r="M135" s="85">
        <f>I135*J135</f>
        <v>26763.813931520599</v>
      </c>
      <c r="N135" s="7">
        <f>H135+I135-M135</f>
        <v>508512.46469889133</v>
      </c>
      <c r="Q135" s="74"/>
      <c r="R135" s="74"/>
    </row>
    <row r="136" spans="1:18" x14ac:dyDescent="0.25">
      <c r="A136" s="26">
        <v>14.1</v>
      </c>
      <c r="B136" s="9" t="s">
        <v>82</v>
      </c>
      <c r="C136" s="10">
        <v>0</v>
      </c>
      <c r="D136" s="63">
        <v>0</v>
      </c>
      <c r="E136" s="11">
        <v>0</v>
      </c>
      <c r="F136" s="6"/>
      <c r="G136" s="6"/>
      <c r="H136" s="56">
        <f>SUM(D136+E136+G136)/2</f>
        <v>0</v>
      </c>
      <c r="I136" s="56">
        <f>E136</f>
        <v>0</v>
      </c>
      <c r="J136" s="55">
        <f>J135*1.5</f>
        <v>7.5000000000000011E-2</v>
      </c>
      <c r="K136" s="6"/>
      <c r="L136" s="6"/>
      <c r="M136" s="85">
        <f>(I136*J136)</f>
        <v>0</v>
      </c>
      <c r="N136" s="56">
        <f>C136+E136-M136</f>
        <v>0</v>
      </c>
      <c r="Q136" s="74"/>
      <c r="R136" s="74"/>
    </row>
    <row r="137" spans="1:18" x14ac:dyDescent="0.25">
      <c r="A137" s="15">
        <v>17</v>
      </c>
      <c r="B137" s="17" t="s">
        <v>75</v>
      </c>
      <c r="C137" s="10">
        <f>N112</f>
        <v>207938.52384044888</v>
      </c>
      <c r="D137" s="1">
        <v>0</v>
      </c>
      <c r="E137" s="63"/>
      <c r="F137" s="6"/>
      <c r="G137" s="6"/>
      <c r="H137" s="56">
        <f>SUM(E137+G137)/2</f>
        <v>0</v>
      </c>
      <c r="I137" s="56">
        <f>C137+D137</f>
        <v>207938.52384044888</v>
      </c>
      <c r="J137" s="55">
        <v>0.08</v>
      </c>
      <c r="K137" s="6"/>
      <c r="L137" s="6"/>
      <c r="M137" s="85">
        <f>(I137*J137)</f>
        <v>16635.081907235912</v>
      </c>
      <c r="N137" s="7">
        <f>H137+I137-M137</f>
        <v>191303.44193321298</v>
      </c>
      <c r="Q137" s="74"/>
      <c r="R137" s="74"/>
    </row>
    <row r="138" spans="1:18" x14ac:dyDescent="0.25">
      <c r="A138" s="26">
        <v>43.2</v>
      </c>
      <c r="B138" s="9" t="s">
        <v>76</v>
      </c>
      <c r="C138" s="10">
        <f>N113</f>
        <v>1847.663726778007</v>
      </c>
      <c r="D138" s="63">
        <v>0</v>
      </c>
      <c r="E138" s="11"/>
      <c r="F138" s="6"/>
      <c r="G138" s="6"/>
      <c r="H138" s="56"/>
      <c r="I138" s="52">
        <f>C138+H138</f>
        <v>1847.663726778007</v>
      </c>
      <c r="J138" s="12">
        <v>0.5</v>
      </c>
      <c r="K138" s="6"/>
      <c r="L138" s="6"/>
      <c r="M138" s="85">
        <f>(I138*J138)</f>
        <v>923.8318633890035</v>
      </c>
      <c r="N138" s="7">
        <f>H138+I138-M138</f>
        <v>923.8318633890035</v>
      </c>
      <c r="Q138" s="74"/>
      <c r="R138" s="74"/>
    </row>
    <row r="139" spans="1:18" x14ac:dyDescent="0.25">
      <c r="A139" s="8">
        <v>45</v>
      </c>
      <c r="B139" s="9" t="s">
        <v>77</v>
      </c>
      <c r="C139" s="10">
        <f>N114</f>
        <v>30.307216861747044</v>
      </c>
      <c r="D139" s="63">
        <v>0</v>
      </c>
      <c r="E139" s="11"/>
      <c r="F139" s="6"/>
      <c r="G139" s="6"/>
      <c r="H139" s="56">
        <v>0</v>
      </c>
      <c r="I139" s="56">
        <f>C139+H139</f>
        <v>30.307216861747044</v>
      </c>
      <c r="J139" s="55">
        <v>0.45</v>
      </c>
      <c r="K139" s="6"/>
      <c r="L139" s="51"/>
      <c r="M139" s="85">
        <f>(I139*J139)</f>
        <v>13.63824758778617</v>
      </c>
      <c r="N139" s="7">
        <f>H139+I139-M139</f>
        <v>16.668969273960876</v>
      </c>
      <c r="Q139" s="74"/>
      <c r="R139" s="74"/>
    </row>
    <row r="140" spans="1:18" x14ac:dyDescent="0.25">
      <c r="A140" s="15">
        <v>47</v>
      </c>
      <c r="B140" s="16" t="s">
        <v>78</v>
      </c>
      <c r="C140" s="10">
        <f>N115+N116</f>
        <v>59817433.211385086</v>
      </c>
      <c r="D140" s="63">
        <v>0</v>
      </c>
      <c r="E140" s="11"/>
      <c r="F140" s="6"/>
      <c r="G140" s="6"/>
      <c r="H140" s="56">
        <f>SUM(D140+G140)/2</f>
        <v>0</v>
      </c>
      <c r="I140" s="56">
        <f>C140+H140+F140</f>
        <v>59817433.211385086</v>
      </c>
      <c r="J140" s="55">
        <v>0.08</v>
      </c>
      <c r="K140" s="6"/>
      <c r="L140" s="6"/>
      <c r="M140" s="85">
        <f>I140*J140</f>
        <v>4785394.6569108069</v>
      </c>
      <c r="N140" s="7">
        <f>H140+I140-M140</f>
        <v>55032038.554474279</v>
      </c>
      <c r="Q140" s="74"/>
      <c r="R140" s="74"/>
    </row>
    <row r="141" spans="1:18" x14ac:dyDescent="0.25">
      <c r="A141" s="15">
        <v>47</v>
      </c>
      <c r="B141" s="16" t="s">
        <v>80</v>
      </c>
      <c r="C141" s="10">
        <v>0</v>
      </c>
      <c r="D141" s="64">
        <v>0</v>
      </c>
      <c r="E141" s="11">
        <v>9937175.759999983</v>
      </c>
      <c r="F141" s="6"/>
      <c r="G141" s="6"/>
      <c r="H141" s="56">
        <f>SUM(D141+E141+G141)/2</f>
        <v>4968587.8799999915</v>
      </c>
      <c r="I141" s="56">
        <f>E141</f>
        <v>9937175.759999983</v>
      </c>
      <c r="J141" s="55">
        <f>J140*1.5</f>
        <v>0.12</v>
      </c>
      <c r="K141" s="6"/>
      <c r="L141" s="6"/>
      <c r="M141" s="85">
        <f>(I141*J141)</f>
        <v>1192461.0911999978</v>
      </c>
      <c r="N141" s="56">
        <f>C141+E141-M141</f>
        <v>8744714.6687999852</v>
      </c>
      <c r="Q141" s="74"/>
      <c r="R141" s="74"/>
    </row>
    <row r="142" spans="1:18" x14ac:dyDescent="0.25">
      <c r="A142" s="8">
        <v>50</v>
      </c>
      <c r="B142" s="9" t="s">
        <v>77</v>
      </c>
      <c r="C142" s="10">
        <f>N117+N118</f>
        <v>6749.5563676498859</v>
      </c>
      <c r="D142" s="1">
        <v>0</v>
      </c>
      <c r="E142" s="63"/>
      <c r="F142" s="6">
        <v>0</v>
      </c>
      <c r="G142" s="1">
        <v>0</v>
      </c>
      <c r="H142" s="56">
        <v>0</v>
      </c>
      <c r="I142" s="77">
        <f>C142+H142+F142</f>
        <v>6749.5563676498859</v>
      </c>
      <c r="J142" s="12">
        <v>0.55000000000000004</v>
      </c>
      <c r="K142" s="6"/>
      <c r="L142" s="6"/>
      <c r="M142" s="85">
        <f>I142*J142</f>
        <v>3712.2560022074376</v>
      </c>
      <c r="N142" s="7">
        <f>H142+I142-M142</f>
        <v>3037.3003654424483</v>
      </c>
      <c r="Q142" s="74"/>
      <c r="R142" s="74"/>
    </row>
    <row r="143" spans="1:18" x14ac:dyDescent="0.25">
      <c r="A143" s="66">
        <v>50</v>
      </c>
      <c r="B143" s="9" t="s">
        <v>81</v>
      </c>
      <c r="C143" s="10">
        <v>0</v>
      </c>
      <c r="D143" s="63">
        <v>0</v>
      </c>
      <c r="E143" s="11">
        <v>706634.14</v>
      </c>
      <c r="F143" s="6"/>
      <c r="G143" s="6">
        <v>0</v>
      </c>
      <c r="H143" s="56">
        <f>SUM(D143+E143+G143)/2</f>
        <v>353317.07</v>
      </c>
      <c r="I143" s="56">
        <f>E143</f>
        <v>706634.14</v>
      </c>
      <c r="J143" s="55">
        <f>J142*1.5</f>
        <v>0.82500000000000007</v>
      </c>
      <c r="K143" s="6"/>
      <c r="L143" s="6"/>
      <c r="M143" s="85">
        <f>(I143*J143)</f>
        <v>582973.1655</v>
      </c>
      <c r="N143" s="7">
        <f>C143+E143-M143</f>
        <v>123660.97450000001</v>
      </c>
      <c r="Q143" s="74"/>
      <c r="R143" s="74"/>
    </row>
    <row r="144" spans="1:18" x14ac:dyDescent="0.25">
      <c r="A144" s="18">
        <v>95</v>
      </c>
      <c r="B144" s="19" t="s">
        <v>9</v>
      </c>
      <c r="C144" s="10">
        <f>N119</f>
        <v>0</v>
      </c>
      <c r="D144" s="63">
        <v>0</v>
      </c>
      <c r="E144" s="63"/>
      <c r="F144" s="6">
        <v>0</v>
      </c>
      <c r="G144" s="6"/>
      <c r="H144" s="52">
        <f>SUM(E144+G144)/2</f>
        <v>0</v>
      </c>
      <c r="I144" s="11">
        <f>C144+E144+F144</f>
        <v>0</v>
      </c>
      <c r="J144" s="12">
        <v>0</v>
      </c>
      <c r="K144" s="6"/>
      <c r="L144" s="6"/>
      <c r="M144" s="85">
        <f>(I144*J144)</f>
        <v>0</v>
      </c>
      <c r="N144" s="7">
        <f>I144-M144</f>
        <v>0</v>
      </c>
      <c r="Q144" s="74"/>
      <c r="R144" s="74"/>
    </row>
    <row r="145" spans="1:18" ht="15.75" thickBot="1" x14ac:dyDescent="0.3">
      <c r="A145" s="24" t="s">
        <v>10</v>
      </c>
      <c r="B145" s="21"/>
      <c r="C145" s="22">
        <f t="shared" ref="C145:I145" si="13">SUM(C125:C144)</f>
        <v>95310129.929760724</v>
      </c>
      <c r="D145" s="65">
        <f t="shared" si="13"/>
        <v>0</v>
      </c>
      <c r="E145" s="65">
        <f t="shared" si="13"/>
        <v>13606049.349999983</v>
      </c>
      <c r="F145" s="46">
        <f t="shared" si="13"/>
        <v>0</v>
      </c>
      <c r="G145" s="61">
        <f t="shared" si="13"/>
        <v>0</v>
      </c>
      <c r="H145" s="22">
        <f t="shared" si="13"/>
        <v>5971496.1749999924</v>
      </c>
      <c r="I145" s="22">
        <f t="shared" si="13"/>
        <v>108636883.27976072</v>
      </c>
      <c r="J145" s="22" t="s">
        <v>0</v>
      </c>
      <c r="K145" s="22">
        <f>SUM(K125:K144)</f>
        <v>0</v>
      </c>
      <c r="L145" s="22">
        <f>SUM(L125:L144)</f>
        <v>0</v>
      </c>
      <c r="M145" s="22">
        <f>SUM(M125:M144)</f>
        <v>9684500.1584060919</v>
      </c>
      <c r="N145" s="22">
        <f>SUM(N125:N144)</f>
        <v>99231679.121354625</v>
      </c>
      <c r="Q145" s="74"/>
      <c r="R145" s="74"/>
    </row>
    <row r="146" spans="1:18" ht="15.75" thickTop="1" x14ac:dyDescent="0.25"/>
    <row r="147" spans="1:18" x14ac:dyDescent="0.25">
      <c r="A147">
        <v>2023</v>
      </c>
      <c r="B147" t="s">
        <v>122</v>
      </c>
    </row>
    <row r="148" spans="1:18" ht="30" x14ac:dyDescent="0.25">
      <c r="A148" s="23" t="s">
        <v>1</v>
      </c>
      <c r="B148" s="2" t="s">
        <v>2</v>
      </c>
      <c r="C148" s="2" t="s">
        <v>107</v>
      </c>
      <c r="D148" s="3"/>
      <c r="E148" s="3" t="s">
        <v>108</v>
      </c>
      <c r="F148" s="3" t="s">
        <v>3</v>
      </c>
      <c r="G148" s="3" t="s">
        <v>11</v>
      </c>
      <c r="H148" s="3" t="s">
        <v>4</v>
      </c>
      <c r="I148" s="3" t="s">
        <v>5</v>
      </c>
      <c r="J148" s="3" t="s">
        <v>56</v>
      </c>
      <c r="K148" s="3" t="s">
        <v>57</v>
      </c>
      <c r="L148" s="3" t="s">
        <v>6</v>
      </c>
      <c r="M148" s="83" t="s">
        <v>99</v>
      </c>
      <c r="N148" s="4" t="s">
        <v>7</v>
      </c>
    </row>
    <row r="149" spans="1:18" x14ac:dyDescent="0.25">
      <c r="A149" s="23"/>
      <c r="B149" s="2"/>
      <c r="C149" s="47"/>
      <c r="D149" s="62"/>
      <c r="E149" s="11"/>
      <c r="F149" s="5"/>
      <c r="G149" s="5"/>
      <c r="H149" s="5"/>
      <c r="I149" s="48"/>
      <c r="J149" s="49"/>
      <c r="K149" s="5"/>
      <c r="L149" s="5"/>
      <c r="M149" s="84"/>
      <c r="N149" s="50"/>
    </row>
    <row r="150" spans="1:18" x14ac:dyDescent="0.25">
      <c r="A150" s="8">
        <v>1</v>
      </c>
      <c r="B150" s="9" t="s">
        <v>67</v>
      </c>
      <c r="C150" s="10">
        <f>N125+N126</f>
        <v>28962002.321269557</v>
      </c>
      <c r="D150" s="63">
        <v>0</v>
      </c>
      <c r="E150" s="11"/>
      <c r="F150" s="6"/>
      <c r="G150" s="6"/>
      <c r="H150" s="7">
        <f>SUM(D150+G150)/2</f>
        <v>0</v>
      </c>
      <c r="I150" s="56">
        <f>C150+H150</f>
        <v>28962002.321269557</v>
      </c>
      <c r="J150" s="55">
        <v>0.04</v>
      </c>
      <c r="K150" s="6"/>
      <c r="L150" s="6"/>
      <c r="M150" s="85">
        <f>I150*J150</f>
        <v>1158480.0928507822</v>
      </c>
      <c r="N150" s="7">
        <f>H150+I150-M150</f>
        <v>27803522.228418775</v>
      </c>
      <c r="Q150" s="74"/>
      <c r="R150" s="74"/>
    </row>
    <row r="151" spans="1:18" x14ac:dyDescent="0.25">
      <c r="A151" s="8">
        <v>1</v>
      </c>
      <c r="B151" s="9" t="s">
        <v>72</v>
      </c>
      <c r="C151" s="10">
        <v>0</v>
      </c>
      <c r="D151" s="63">
        <v>0</v>
      </c>
      <c r="E151" s="11">
        <v>113815.00000000006</v>
      </c>
      <c r="F151" s="6" t="s">
        <v>0</v>
      </c>
      <c r="G151" s="6"/>
      <c r="H151" s="56">
        <f>SUM(D151+E151+G151)/2</f>
        <v>56907.500000000029</v>
      </c>
      <c r="I151" s="56">
        <f>E151</f>
        <v>113815.00000000006</v>
      </c>
      <c r="J151" s="55">
        <f>J150*1.5</f>
        <v>0.06</v>
      </c>
      <c r="K151" s="6"/>
      <c r="L151" s="6"/>
      <c r="M151" s="85">
        <f>I151*J151</f>
        <v>6828.9000000000033</v>
      </c>
      <c r="N151" s="56">
        <f>C151+E151-M151</f>
        <v>106986.10000000005</v>
      </c>
      <c r="Q151" s="74"/>
      <c r="R151" s="74"/>
    </row>
    <row r="152" spans="1:18" x14ac:dyDescent="0.25">
      <c r="A152" s="14">
        <v>2</v>
      </c>
      <c r="B152" s="9" t="s">
        <v>68</v>
      </c>
      <c r="C152" s="10">
        <f>N127</f>
        <v>3634802.9656027537</v>
      </c>
      <c r="D152" s="63">
        <v>0</v>
      </c>
      <c r="E152" s="11"/>
      <c r="F152" s="6"/>
      <c r="G152" s="6"/>
      <c r="H152" s="56">
        <f>SUM(D152+G152)/2</f>
        <v>0</v>
      </c>
      <c r="I152" s="56">
        <f>C152+H152</f>
        <v>3634802.9656027537</v>
      </c>
      <c r="J152" s="55">
        <v>0.06</v>
      </c>
      <c r="K152" s="6"/>
      <c r="L152" s="6"/>
      <c r="M152" s="85">
        <f>(I152*J152)</f>
        <v>218088.17793616522</v>
      </c>
      <c r="N152" s="7">
        <f>H152+I152-M152</f>
        <v>3416714.7876665886</v>
      </c>
      <c r="Q152" s="74"/>
      <c r="R152" s="74"/>
    </row>
    <row r="153" spans="1:18" x14ac:dyDescent="0.25">
      <c r="A153" s="15">
        <v>8</v>
      </c>
      <c r="B153" s="16" t="s">
        <v>69</v>
      </c>
      <c r="C153" s="10">
        <f>N128+N129</f>
        <v>1315244.6933622819</v>
      </c>
      <c r="D153" s="1">
        <v>0</v>
      </c>
      <c r="E153" s="63"/>
      <c r="F153" s="6"/>
      <c r="G153" s="6"/>
      <c r="H153" s="56">
        <f>SUM(E153+G153)/2</f>
        <v>0</v>
      </c>
      <c r="I153" s="56">
        <f>C153+H153</f>
        <v>1315244.6933622819</v>
      </c>
      <c r="J153" s="55">
        <v>0.2</v>
      </c>
      <c r="K153" s="6"/>
      <c r="L153" s="6"/>
      <c r="M153" s="85">
        <f>I153*J153</f>
        <v>263048.93867245637</v>
      </c>
      <c r="N153" s="7">
        <f>H153+I153-M153</f>
        <v>1052195.7546898255</v>
      </c>
      <c r="Q153" s="74"/>
      <c r="R153" s="74"/>
    </row>
    <row r="154" spans="1:18" x14ac:dyDescent="0.25">
      <c r="A154" s="15">
        <v>8</v>
      </c>
      <c r="B154" s="16" t="s">
        <v>62</v>
      </c>
      <c r="C154" s="10">
        <v>0</v>
      </c>
      <c r="D154" s="63">
        <v>0</v>
      </c>
      <c r="E154" s="11">
        <v>157617.06999999966</v>
      </c>
      <c r="F154" s="6"/>
      <c r="G154" s="6"/>
      <c r="H154" s="56">
        <f>SUM(D154+E154+G154)/2</f>
        <v>78808.534999999829</v>
      </c>
      <c r="I154" s="56">
        <f>E154-157617</f>
        <v>6.9999999657738954E-2</v>
      </c>
      <c r="J154" s="55">
        <f>J153*1.5</f>
        <v>0.30000000000000004</v>
      </c>
      <c r="K154" s="6"/>
      <c r="L154" s="6"/>
      <c r="M154" s="85">
        <f>(I154*J154)+157617</f>
        <v>157617.02099999989</v>
      </c>
      <c r="N154" s="56">
        <f>C154+E154-M154</f>
        <v>4.8999999766238034E-2</v>
      </c>
      <c r="O154" t="s">
        <v>118</v>
      </c>
      <c r="Q154" s="74"/>
      <c r="R154" s="74"/>
    </row>
    <row r="155" spans="1:18" x14ac:dyDescent="0.25">
      <c r="A155" s="8">
        <v>10</v>
      </c>
      <c r="B155" s="9" t="s">
        <v>102</v>
      </c>
      <c r="C155" s="10">
        <f>N130+N131</f>
        <v>397450.64637039974</v>
      </c>
      <c r="D155" s="63">
        <v>0</v>
      </c>
      <c r="E155" s="11"/>
      <c r="F155" s="6"/>
      <c r="G155" s="6">
        <v>0</v>
      </c>
      <c r="H155" s="7">
        <f>SUM(D155+G155)/2</f>
        <v>0</v>
      </c>
      <c r="I155" s="56">
        <f>C155+H155</f>
        <v>397450.64637039974</v>
      </c>
      <c r="J155" s="55">
        <v>0.3</v>
      </c>
      <c r="K155" s="6"/>
      <c r="L155" s="6"/>
      <c r="M155" s="85">
        <f>(I155*J155)</f>
        <v>119235.19391111992</v>
      </c>
      <c r="N155" s="7">
        <f>H155+I155-M155</f>
        <v>278215.4524592798</v>
      </c>
      <c r="Q155" s="74"/>
      <c r="R155" s="74"/>
    </row>
    <row r="156" spans="1:18" x14ac:dyDescent="0.25">
      <c r="A156" s="8">
        <v>10</v>
      </c>
      <c r="B156" s="9" t="s">
        <v>103</v>
      </c>
      <c r="C156" s="10">
        <v>0</v>
      </c>
      <c r="D156" s="63"/>
      <c r="E156" s="11">
        <v>538420.51</v>
      </c>
      <c r="F156" s="6"/>
      <c r="G156" s="6"/>
      <c r="H156" s="7"/>
      <c r="I156" s="56">
        <f>E156</f>
        <v>538420.51</v>
      </c>
      <c r="J156" s="55">
        <f>J155*1.5</f>
        <v>0.44999999999999996</v>
      </c>
      <c r="K156" s="6"/>
      <c r="L156" s="6"/>
      <c r="M156" s="85">
        <f>I156*J156</f>
        <v>242289.22949999999</v>
      </c>
      <c r="N156" s="7">
        <f>H156+I156-M156</f>
        <v>296131.28049999999</v>
      </c>
      <c r="Q156" s="74"/>
      <c r="R156" s="74"/>
    </row>
    <row r="157" spans="1:18" x14ac:dyDescent="0.25">
      <c r="A157" s="15">
        <v>12</v>
      </c>
      <c r="B157" s="17" t="s">
        <v>71</v>
      </c>
      <c r="C157" s="10">
        <f>N132+N133</f>
        <v>0</v>
      </c>
      <c r="D157" s="63">
        <v>0</v>
      </c>
      <c r="E157" s="11"/>
      <c r="F157" s="6"/>
      <c r="G157" s="6"/>
      <c r="H157" s="7"/>
      <c r="I157" s="56">
        <f>C157+E157+H157</f>
        <v>0</v>
      </c>
      <c r="J157" s="55">
        <v>1</v>
      </c>
      <c r="K157" s="6"/>
      <c r="L157" s="6"/>
      <c r="M157" s="85">
        <f>I157*J157</f>
        <v>0</v>
      </c>
      <c r="N157" s="7">
        <f>H157+I157-M157</f>
        <v>0</v>
      </c>
      <c r="Q157" s="74"/>
      <c r="R157" s="74"/>
    </row>
    <row r="158" spans="1:18" x14ac:dyDescent="0.25">
      <c r="A158" s="15">
        <v>12</v>
      </c>
      <c r="B158" s="9" t="s">
        <v>79</v>
      </c>
      <c r="C158" s="10">
        <f>N133</f>
        <v>0</v>
      </c>
      <c r="D158" s="63">
        <v>0</v>
      </c>
      <c r="E158" s="11">
        <v>547135.40000000037</v>
      </c>
      <c r="F158" s="6"/>
      <c r="G158" s="6"/>
      <c r="H158" s="7">
        <f>SUM(D158+G158)/2</f>
        <v>0</v>
      </c>
      <c r="I158" s="56">
        <f>E158</f>
        <v>547135.40000000037</v>
      </c>
      <c r="J158" s="55">
        <f>J157</f>
        <v>1</v>
      </c>
      <c r="K158" s="6"/>
      <c r="L158" s="6"/>
      <c r="M158" s="85">
        <f>(I158*J158)</f>
        <v>547135.40000000037</v>
      </c>
      <c r="N158" s="56">
        <f>C158+E158-M158</f>
        <v>0</v>
      </c>
      <c r="Q158" s="74"/>
      <c r="R158" s="74"/>
    </row>
    <row r="159" spans="1:18" x14ac:dyDescent="0.25">
      <c r="A159" s="26">
        <v>14.1</v>
      </c>
      <c r="B159" s="9" t="s">
        <v>73</v>
      </c>
      <c r="C159" s="10">
        <f>N134</f>
        <v>317970.58914515277</v>
      </c>
      <c r="D159" s="63">
        <v>0</v>
      </c>
      <c r="E159" s="11"/>
      <c r="F159" s="6"/>
      <c r="G159" s="6"/>
      <c r="H159" s="7">
        <f>SUM(D159+G159)/2</f>
        <v>0</v>
      </c>
      <c r="I159" s="52">
        <f>C159+D159</f>
        <v>317970.58914515277</v>
      </c>
      <c r="J159" s="12">
        <v>7.0000000000000007E-2</v>
      </c>
      <c r="K159" s="6"/>
      <c r="L159" s="6"/>
      <c r="M159" s="85">
        <f>(I159*J159)</f>
        <v>22257.941240160697</v>
      </c>
      <c r="N159" s="7">
        <f>H159+I159-M159</f>
        <v>295712.6479049921</v>
      </c>
      <c r="Q159" s="74"/>
      <c r="R159" s="74"/>
    </row>
    <row r="160" spans="1:18" x14ac:dyDescent="0.25">
      <c r="A160" s="26">
        <v>14.1</v>
      </c>
      <c r="B160" s="9" t="s">
        <v>74</v>
      </c>
      <c r="C160" s="10">
        <f>N135+N136</f>
        <v>508512.46469889133</v>
      </c>
      <c r="D160" s="63">
        <v>0</v>
      </c>
      <c r="E160" s="11"/>
      <c r="F160" s="6"/>
      <c r="G160" s="6"/>
      <c r="H160" s="7">
        <f>SUM(D160+G160)/2</f>
        <v>0</v>
      </c>
      <c r="I160" s="52">
        <f>C160+H160</f>
        <v>508512.46469889133</v>
      </c>
      <c r="J160" s="12">
        <v>0.05</v>
      </c>
      <c r="K160" s="6"/>
      <c r="L160" s="6"/>
      <c r="M160" s="85">
        <f>I160*J160</f>
        <v>25425.623234944567</v>
      </c>
      <c r="N160" s="7">
        <f>H160+I160-M160</f>
        <v>483086.84146394674</v>
      </c>
      <c r="Q160" s="74"/>
      <c r="R160" s="74"/>
    </row>
    <row r="161" spans="1:18" x14ac:dyDescent="0.25">
      <c r="A161" s="26">
        <v>14.1</v>
      </c>
      <c r="B161" s="9" t="s">
        <v>82</v>
      </c>
      <c r="C161" s="10">
        <v>0</v>
      </c>
      <c r="D161" s="63">
        <v>0</v>
      </c>
      <c r="E161" s="11">
        <v>0</v>
      </c>
      <c r="F161" s="6"/>
      <c r="G161" s="6"/>
      <c r="H161" s="56">
        <f>SUM(D161+E161+G161)/2</f>
        <v>0</v>
      </c>
      <c r="I161" s="56">
        <f>E161</f>
        <v>0</v>
      </c>
      <c r="J161" s="55">
        <f>J160*1.5</f>
        <v>7.5000000000000011E-2</v>
      </c>
      <c r="K161" s="6"/>
      <c r="L161" s="6"/>
      <c r="M161" s="85">
        <f t="shared" ref="M161:M166" si="14">(I161*J161)</f>
        <v>0</v>
      </c>
      <c r="N161" s="56">
        <f>C161+E161-M161</f>
        <v>0</v>
      </c>
      <c r="Q161" s="74"/>
      <c r="R161" s="74"/>
    </row>
    <row r="162" spans="1:18" x14ac:dyDescent="0.25">
      <c r="A162" s="15">
        <v>17</v>
      </c>
      <c r="B162" s="17" t="s">
        <v>75</v>
      </c>
      <c r="C162" s="10">
        <f>N137</f>
        <v>191303.44193321298</v>
      </c>
      <c r="D162" s="1">
        <v>0</v>
      </c>
      <c r="E162" s="63"/>
      <c r="F162" s="6"/>
      <c r="G162" s="6"/>
      <c r="H162" s="56">
        <f>SUM(E162+G162)/2</f>
        <v>0</v>
      </c>
      <c r="I162" s="56">
        <f>C162+D162</f>
        <v>191303.44193321298</v>
      </c>
      <c r="J162" s="55">
        <v>0.08</v>
      </c>
      <c r="K162" s="6"/>
      <c r="L162" s="6"/>
      <c r="M162" s="85">
        <f t="shared" si="14"/>
        <v>15304.275354657038</v>
      </c>
      <c r="N162" s="7">
        <f t="shared" ref="N162:N167" si="15">H162+I162-M162</f>
        <v>175999.16657855595</v>
      </c>
      <c r="Q162" s="74"/>
      <c r="R162" s="74"/>
    </row>
    <row r="163" spans="1:18" x14ac:dyDescent="0.25">
      <c r="A163" s="26">
        <v>43.2</v>
      </c>
      <c r="B163" s="9" t="s">
        <v>76</v>
      </c>
      <c r="C163" s="10">
        <f>N138</f>
        <v>923.8318633890035</v>
      </c>
      <c r="D163" s="63">
        <v>0</v>
      </c>
      <c r="E163" s="11"/>
      <c r="F163" s="6"/>
      <c r="G163" s="6"/>
      <c r="H163" s="56"/>
      <c r="I163" s="52">
        <f>C163+H163</f>
        <v>923.8318633890035</v>
      </c>
      <c r="J163" s="12">
        <v>0.5</v>
      </c>
      <c r="K163" s="6"/>
      <c r="L163" s="6"/>
      <c r="M163" s="85">
        <f t="shared" si="14"/>
        <v>461.91593169450175</v>
      </c>
      <c r="N163" s="7">
        <f t="shared" si="15"/>
        <v>461.91593169450175</v>
      </c>
      <c r="Q163" s="74"/>
      <c r="R163" s="74"/>
    </row>
    <row r="164" spans="1:18" x14ac:dyDescent="0.25">
      <c r="A164" s="8">
        <v>45</v>
      </c>
      <c r="B164" s="9" t="s">
        <v>77</v>
      </c>
      <c r="C164" s="10">
        <f>N139</f>
        <v>16.668969273960876</v>
      </c>
      <c r="D164" s="63">
        <v>0</v>
      </c>
      <c r="E164" s="11"/>
      <c r="F164" s="6"/>
      <c r="G164" s="6"/>
      <c r="H164" s="56">
        <v>0</v>
      </c>
      <c r="I164" s="76">
        <f>C164+H164</f>
        <v>16.668969273960876</v>
      </c>
      <c r="J164" s="55">
        <v>0.45</v>
      </c>
      <c r="K164" s="6"/>
      <c r="L164" s="51"/>
      <c r="M164" s="85">
        <f t="shared" si="14"/>
        <v>7.5010361732823947</v>
      </c>
      <c r="N164" s="7">
        <f t="shared" si="15"/>
        <v>9.1679331006784821</v>
      </c>
      <c r="Q164" s="74"/>
      <c r="R164" s="74"/>
    </row>
    <row r="165" spans="1:18" x14ac:dyDescent="0.25">
      <c r="A165" s="26">
        <v>46</v>
      </c>
      <c r="B165" s="9" t="s">
        <v>119</v>
      </c>
      <c r="C165" s="10">
        <v>0</v>
      </c>
      <c r="D165" s="63">
        <v>0</v>
      </c>
      <c r="E165" s="11"/>
      <c r="F165" s="6"/>
      <c r="G165" s="6"/>
      <c r="H165" s="56"/>
      <c r="I165" s="56">
        <f>C165+H165</f>
        <v>0</v>
      </c>
      <c r="J165" s="12">
        <v>0.3</v>
      </c>
      <c r="K165" s="6"/>
      <c r="L165" s="51"/>
      <c r="M165" s="85">
        <f t="shared" si="14"/>
        <v>0</v>
      </c>
      <c r="N165" s="7">
        <f t="shared" si="15"/>
        <v>0</v>
      </c>
      <c r="Q165" s="74"/>
      <c r="R165" s="74"/>
    </row>
    <row r="166" spans="1:18" x14ac:dyDescent="0.25">
      <c r="A166" s="26">
        <v>46</v>
      </c>
      <c r="B166" s="9" t="s">
        <v>120</v>
      </c>
      <c r="C166" s="10">
        <v>0</v>
      </c>
      <c r="D166" s="63">
        <v>0</v>
      </c>
      <c r="E166" s="11">
        <v>132011.56</v>
      </c>
      <c r="F166" s="6"/>
      <c r="G166" s="6"/>
      <c r="H166" s="56"/>
      <c r="I166" s="56">
        <f>E166</f>
        <v>132011.56</v>
      </c>
      <c r="J166" s="55">
        <f>J165*1.5</f>
        <v>0.44999999999999996</v>
      </c>
      <c r="K166" s="6"/>
      <c r="L166" s="51"/>
      <c r="M166" s="85">
        <f t="shared" si="14"/>
        <v>59405.20199999999</v>
      </c>
      <c r="N166" s="7">
        <f t="shared" si="15"/>
        <v>72606.358000000007</v>
      </c>
      <c r="Q166" s="74"/>
      <c r="R166" s="74"/>
    </row>
    <row r="167" spans="1:18" x14ac:dyDescent="0.25">
      <c r="A167" s="15">
        <v>47</v>
      </c>
      <c r="B167" s="16" t="s">
        <v>78</v>
      </c>
      <c r="C167" s="10">
        <f>N140+N141</f>
        <v>63776753.223274261</v>
      </c>
      <c r="D167" s="63">
        <v>0</v>
      </c>
      <c r="E167" s="11"/>
      <c r="F167" s="6"/>
      <c r="G167" s="6"/>
      <c r="H167" s="56">
        <f>SUM(D167+G167)/2</f>
        <v>0</v>
      </c>
      <c r="I167" s="56">
        <f>C167+H167+F167</f>
        <v>63776753.223274261</v>
      </c>
      <c r="J167" s="55">
        <v>0.08</v>
      </c>
      <c r="K167" s="6"/>
      <c r="L167" s="6"/>
      <c r="M167" s="85">
        <f>I167*J167</f>
        <v>5102140.2578619411</v>
      </c>
      <c r="N167" s="7">
        <f t="shared" si="15"/>
        <v>58674612.965412319</v>
      </c>
      <c r="Q167" s="74"/>
      <c r="R167" s="74"/>
    </row>
    <row r="168" spans="1:18" x14ac:dyDescent="0.25">
      <c r="A168" s="15">
        <v>47</v>
      </c>
      <c r="B168" s="16" t="s">
        <v>80</v>
      </c>
      <c r="C168" s="10">
        <v>0</v>
      </c>
      <c r="D168" s="64">
        <v>0</v>
      </c>
      <c r="E168" s="11">
        <v>10010654.469999988</v>
      </c>
      <c r="F168" s="6"/>
      <c r="G168" s="6"/>
      <c r="H168" s="56">
        <f>SUM(D168+E168+G168)/2</f>
        <v>5005327.2349999938</v>
      </c>
      <c r="I168" s="56">
        <f>E168</f>
        <v>10010654.469999988</v>
      </c>
      <c r="J168" s="55">
        <f>J167*1.5</f>
        <v>0.12</v>
      </c>
      <c r="K168" s="6"/>
      <c r="L168" s="6"/>
      <c r="M168" s="85">
        <f>(I168*J168)</f>
        <v>1201278.5363999985</v>
      </c>
      <c r="N168" s="56">
        <f>C168+E168-M168</f>
        <v>8809375.9335999899</v>
      </c>
      <c r="Q168" s="74"/>
      <c r="R168" s="74"/>
    </row>
    <row r="169" spans="1:18" x14ac:dyDescent="0.25">
      <c r="A169" s="8">
        <v>50</v>
      </c>
      <c r="B169" s="9" t="s">
        <v>77</v>
      </c>
      <c r="C169" s="10">
        <f>N142+N143</f>
        <v>126698.27486544246</v>
      </c>
      <c r="D169" s="1">
        <v>0</v>
      </c>
      <c r="E169" s="63"/>
      <c r="F169" s="6">
        <v>0</v>
      </c>
      <c r="G169" s="1">
        <v>0</v>
      </c>
      <c r="H169" s="56">
        <v>0</v>
      </c>
      <c r="I169" s="52">
        <f>C169+H169+F169</f>
        <v>126698.27486544246</v>
      </c>
      <c r="J169" s="12">
        <v>0.55000000000000004</v>
      </c>
      <c r="K169" s="6"/>
      <c r="L169" s="6"/>
      <c r="M169" s="85">
        <f>I169*J169</f>
        <v>69684.051175993358</v>
      </c>
      <c r="N169" s="7">
        <f>H169+I169-M169</f>
        <v>57014.223689449107</v>
      </c>
      <c r="Q169" s="74"/>
      <c r="R169" s="74"/>
    </row>
    <row r="170" spans="1:18" x14ac:dyDescent="0.25">
      <c r="A170" s="66">
        <v>50</v>
      </c>
      <c r="B170" s="9" t="s">
        <v>81</v>
      </c>
      <c r="C170" s="10">
        <v>0</v>
      </c>
      <c r="D170" s="63">
        <v>0</v>
      </c>
      <c r="E170" s="11">
        <v>458849.89999999997</v>
      </c>
      <c r="F170" s="6"/>
      <c r="G170" s="6">
        <v>0</v>
      </c>
      <c r="H170" s="56">
        <f>SUM(D170+E170+G170)/2</f>
        <v>229424.94999999998</v>
      </c>
      <c r="I170" s="56">
        <f>E170</f>
        <v>458849.89999999997</v>
      </c>
      <c r="J170" s="55">
        <f>J169*1.5</f>
        <v>0.82500000000000007</v>
      </c>
      <c r="K170" s="6"/>
      <c r="L170" s="6"/>
      <c r="M170" s="85">
        <f>(I170*J170)</f>
        <v>378551.16749999998</v>
      </c>
      <c r="N170" s="7">
        <f>C170+E170-M170</f>
        <v>80298.732499999984</v>
      </c>
      <c r="Q170" s="74"/>
      <c r="R170" s="74"/>
    </row>
    <row r="171" spans="1:18" x14ac:dyDescent="0.25">
      <c r="A171" s="18">
        <v>95</v>
      </c>
      <c r="B171" s="19" t="s">
        <v>9</v>
      </c>
      <c r="C171" s="10">
        <f>N144</f>
        <v>0</v>
      </c>
      <c r="D171" s="63">
        <v>0</v>
      </c>
      <c r="E171" s="63"/>
      <c r="F171" s="6">
        <v>0</v>
      </c>
      <c r="G171" s="6"/>
      <c r="H171" s="52">
        <f>SUM(E171+G171)/2</f>
        <v>0</v>
      </c>
      <c r="I171" s="11">
        <f>C171+E171+F171</f>
        <v>0</v>
      </c>
      <c r="J171" s="12">
        <v>0</v>
      </c>
      <c r="K171" s="6"/>
      <c r="L171" s="6"/>
      <c r="M171" s="85">
        <f>(I171*J171)</f>
        <v>0</v>
      </c>
      <c r="N171" s="7">
        <f>I171-M171</f>
        <v>0</v>
      </c>
      <c r="Q171" s="74"/>
      <c r="R171" s="74"/>
    </row>
    <row r="172" spans="1:18" ht="15.75" thickBot="1" x14ac:dyDescent="0.3">
      <c r="A172" s="24" t="s">
        <v>10</v>
      </c>
      <c r="B172" s="21"/>
      <c r="C172" s="22">
        <f t="shared" ref="C172:I172" si="16">SUM(C150:C171)</f>
        <v>99231679.12135461</v>
      </c>
      <c r="D172" s="65">
        <f t="shared" si="16"/>
        <v>0</v>
      </c>
      <c r="E172" s="65">
        <f t="shared" si="16"/>
        <v>11958503.909999987</v>
      </c>
      <c r="F172" s="46">
        <f t="shared" si="16"/>
        <v>0</v>
      </c>
      <c r="G172" s="61">
        <f t="shared" si="16"/>
        <v>0</v>
      </c>
      <c r="H172" s="22">
        <f t="shared" si="16"/>
        <v>5370468.2199999942</v>
      </c>
      <c r="I172" s="22">
        <f t="shared" si="16"/>
        <v>111032566.03135462</v>
      </c>
      <c r="J172" s="22" t="s">
        <v>0</v>
      </c>
      <c r="K172" s="22">
        <f>SUM(K150:K171)</f>
        <v>0</v>
      </c>
      <c r="L172" s="22">
        <f>SUM(L150:L171)</f>
        <v>0</v>
      </c>
      <c r="M172" s="22">
        <f>SUM(M150:M171)</f>
        <v>9587239.4256060869</v>
      </c>
      <c r="N172" s="22">
        <f>SUM(N150:N171)</f>
        <v>101602943.60574852</v>
      </c>
      <c r="Q172" s="74"/>
      <c r="R172" s="74"/>
    </row>
    <row r="173" spans="1:18" ht="15.75" thickTop="1" x14ac:dyDescent="0.25"/>
    <row r="174" spans="1:18" x14ac:dyDescent="0.25">
      <c r="A174">
        <v>2024</v>
      </c>
      <c r="B174" t="s">
        <v>124</v>
      </c>
    </row>
    <row r="175" spans="1:18" ht="30" x14ac:dyDescent="0.25">
      <c r="A175" s="23" t="s">
        <v>1</v>
      </c>
      <c r="B175" s="2" t="s">
        <v>2</v>
      </c>
      <c r="C175" s="2" t="s">
        <v>111</v>
      </c>
      <c r="D175" s="3"/>
      <c r="E175" s="3" t="s">
        <v>112</v>
      </c>
      <c r="F175" s="3" t="s">
        <v>3</v>
      </c>
      <c r="G175" s="3" t="s">
        <v>11</v>
      </c>
      <c r="H175" s="3" t="s">
        <v>4</v>
      </c>
      <c r="I175" s="3" t="s">
        <v>5</v>
      </c>
      <c r="J175" s="3" t="s">
        <v>56</v>
      </c>
      <c r="K175" s="3" t="s">
        <v>57</v>
      </c>
      <c r="L175" s="3" t="s">
        <v>6</v>
      </c>
      <c r="M175" s="83" t="s">
        <v>99</v>
      </c>
      <c r="N175" s="4" t="s">
        <v>7</v>
      </c>
    </row>
    <row r="176" spans="1:18" x14ac:dyDescent="0.25">
      <c r="A176" s="23"/>
      <c r="B176" s="2"/>
      <c r="C176" s="47"/>
      <c r="D176" s="62"/>
      <c r="E176" s="11"/>
      <c r="F176" s="5"/>
      <c r="G176" s="5"/>
      <c r="H176" s="5"/>
      <c r="I176" s="48"/>
      <c r="J176" s="49"/>
      <c r="K176" s="5"/>
      <c r="L176" s="5"/>
      <c r="M176" s="84"/>
      <c r="N176" s="50"/>
    </row>
    <row r="177" spans="1:14" x14ac:dyDescent="0.25">
      <c r="A177" s="8">
        <v>1</v>
      </c>
      <c r="B177" s="9" t="s">
        <v>67</v>
      </c>
      <c r="C177" s="10">
        <f>N150+N151</f>
        <v>27910508.328418776</v>
      </c>
      <c r="D177" s="63">
        <v>0</v>
      </c>
      <c r="E177" s="11"/>
      <c r="F177" s="6"/>
      <c r="G177" s="6"/>
      <c r="H177" s="7">
        <f>SUM(D177+G177)/2</f>
        <v>0</v>
      </c>
      <c r="I177" s="56">
        <f>C177+H177</f>
        <v>27910508.328418776</v>
      </c>
      <c r="J177" s="55">
        <v>0.04</v>
      </c>
      <c r="K177" s="6"/>
      <c r="L177" s="6"/>
      <c r="M177" s="85">
        <f>I177*J177</f>
        <v>1116420.3331367511</v>
      </c>
      <c r="N177" s="7">
        <f>H177+I177-M177</f>
        <v>26794087.995282024</v>
      </c>
    </row>
    <row r="178" spans="1:14" x14ac:dyDescent="0.25">
      <c r="A178" s="8">
        <v>1</v>
      </c>
      <c r="B178" s="9" t="s">
        <v>72</v>
      </c>
      <c r="C178" s="10">
        <v>0</v>
      </c>
      <c r="D178" s="63">
        <v>0</v>
      </c>
      <c r="E178" s="11">
        <v>169360.35000000009</v>
      </c>
      <c r="F178" s="6" t="s">
        <v>0</v>
      </c>
      <c r="G178" s="6"/>
      <c r="H178" s="56">
        <f>SUM(D178+E178+G178)/2</f>
        <v>84680.175000000047</v>
      </c>
      <c r="I178" s="56">
        <f>E178</f>
        <v>169360.35000000009</v>
      </c>
      <c r="J178" s="55">
        <f>J177</f>
        <v>0.04</v>
      </c>
      <c r="K178" s="6"/>
      <c r="L178" s="6"/>
      <c r="M178" s="85">
        <f>I178*J178</f>
        <v>6774.4140000000043</v>
      </c>
      <c r="N178" s="56">
        <f>C178+E178-M178</f>
        <v>162585.9360000001</v>
      </c>
    </row>
    <row r="179" spans="1:14" x14ac:dyDescent="0.25">
      <c r="A179" s="14">
        <v>2</v>
      </c>
      <c r="B179" s="9" t="s">
        <v>68</v>
      </c>
      <c r="C179" s="10">
        <f>N152</f>
        <v>3416714.7876665886</v>
      </c>
      <c r="D179" s="63">
        <v>0</v>
      </c>
      <c r="E179" s="11"/>
      <c r="F179" s="6"/>
      <c r="G179" s="6"/>
      <c r="H179" s="56">
        <f>SUM(D179+G179)/2</f>
        <v>0</v>
      </c>
      <c r="I179" s="56">
        <f>C179+H179</f>
        <v>3416714.7876665886</v>
      </c>
      <c r="J179" s="55">
        <v>0.06</v>
      </c>
      <c r="K179" s="6"/>
      <c r="L179" s="6"/>
      <c r="M179" s="85">
        <f>(I179*J179)</f>
        <v>205002.8872599953</v>
      </c>
      <c r="N179" s="7">
        <f>H179+I179-M179</f>
        <v>3211711.9004065935</v>
      </c>
    </row>
    <row r="180" spans="1:14" x14ac:dyDescent="0.25">
      <c r="A180" s="15">
        <v>8</v>
      </c>
      <c r="B180" s="16" t="s">
        <v>69</v>
      </c>
      <c r="C180" s="10">
        <f>N153+N154</f>
        <v>1052195.8036898253</v>
      </c>
      <c r="D180" s="1">
        <v>0</v>
      </c>
      <c r="E180" s="63"/>
      <c r="F180" s="6"/>
      <c r="G180" s="6"/>
      <c r="H180" s="56">
        <f>SUM(E180+G180)/2</f>
        <v>0</v>
      </c>
      <c r="I180" s="56">
        <f>C180+H180</f>
        <v>1052195.8036898253</v>
      </c>
      <c r="J180" s="55">
        <v>0.2</v>
      </c>
      <c r="K180" s="6"/>
      <c r="L180" s="6"/>
      <c r="M180" s="85">
        <f>I180*J180</f>
        <v>210439.16073796508</v>
      </c>
      <c r="N180" s="7">
        <f>H180+I180-M180</f>
        <v>841756.64295186033</v>
      </c>
    </row>
    <row r="181" spans="1:14" x14ac:dyDescent="0.25">
      <c r="A181" s="15">
        <v>8</v>
      </c>
      <c r="B181" s="9" t="s">
        <v>62</v>
      </c>
      <c r="C181" s="10">
        <v>0</v>
      </c>
      <c r="D181" s="63">
        <v>0</v>
      </c>
      <c r="E181" s="11">
        <v>150937.20000000042</v>
      </c>
      <c r="F181" s="6"/>
      <c r="G181" s="6"/>
      <c r="H181" s="56">
        <f>SUM(D181+E181+G181)/2</f>
        <v>75468.60000000021</v>
      </c>
      <c r="I181" s="56">
        <f>E181</f>
        <v>150937.20000000042</v>
      </c>
      <c r="J181" s="55">
        <f>J180</f>
        <v>0.2</v>
      </c>
      <c r="K181" s="6"/>
      <c r="L181" s="6"/>
      <c r="M181" s="85">
        <f>(I181*J181)</f>
        <v>30187.440000000086</v>
      </c>
      <c r="N181" s="56">
        <f>C181+E181-M181</f>
        <v>120749.76000000033</v>
      </c>
    </row>
    <row r="182" spans="1:14" x14ac:dyDescent="0.25">
      <c r="A182" s="8">
        <v>10</v>
      </c>
      <c r="B182" s="9" t="s">
        <v>102</v>
      </c>
      <c r="C182" s="10">
        <f>N155+N156</f>
        <v>574346.73295927979</v>
      </c>
      <c r="D182" s="63">
        <v>0</v>
      </c>
      <c r="E182" s="11"/>
      <c r="F182" s="6"/>
      <c r="G182" s="6">
        <v>0</v>
      </c>
      <c r="H182" s="7">
        <f>SUM(D182+G182)/2</f>
        <v>0</v>
      </c>
      <c r="I182" s="56">
        <f>C182+H182</f>
        <v>574346.73295927979</v>
      </c>
      <c r="J182" s="55">
        <v>0.3</v>
      </c>
      <c r="K182" s="6"/>
      <c r="L182" s="6"/>
      <c r="M182" s="85">
        <f>(I182*J182)</f>
        <v>172304.01988778394</v>
      </c>
      <c r="N182" s="7">
        <f>H182+I182-M182</f>
        <v>402042.71307149588</v>
      </c>
    </row>
    <row r="183" spans="1:14" x14ac:dyDescent="0.25">
      <c r="A183" s="8">
        <v>10</v>
      </c>
      <c r="B183" s="9" t="s">
        <v>103</v>
      </c>
      <c r="C183" s="10">
        <v>0</v>
      </c>
      <c r="D183" s="63"/>
      <c r="E183" s="11">
        <v>211613.97999999998</v>
      </c>
      <c r="F183" s="6"/>
      <c r="G183" s="6"/>
      <c r="H183" s="7"/>
      <c r="I183" s="56">
        <f>E183</f>
        <v>211613.97999999998</v>
      </c>
      <c r="J183" s="55">
        <f>J182</f>
        <v>0.3</v>
      </c>
      <c r="K183" s="6"/>
      <c r="L183" s="6"/>
      <c r="M183" s="85">
        <f>I183*J183</f>
        <v>63484.193999999989</v>
      </c>
      <c r="N183" s="7">
        <f>H183+I183-M183</f>
        <v>148129.78599999999</v>
      </c>
    </row>
    <row r="184" spans="1:14" x14ac:dyDescent="0.25">
      <c r="A184" s="15">
        <v>12</v>
      </c>
      <c r="B184" s="17" t="s">
        <v>71</v>
      </c>
      <c r="C184" s="10">
        <f>N157+N158</f>
        <v>0</v>
      </c>
      <c r="D184" s="63">
        <v>0</v>
      </c>
      <c r="E184" s="11"/>
      <c r="F184" s="6"/>
      <c r="G184" s="6"/>
      <c r="H184" s="7"/>
      <c r="I184" s="56">
        <f>C184+E184+H184</f>
        <v>0</v>
      </c>
      <c r="J184" s="55">
        <v>1</v>
      </c>
      <c r="K184" s="6"/>
      <c r="L184" s="6"/>
      <c r="M184" s="85">
        <f>I184*J184</f>
        <v>0</v>
      </c>
      <c r="N184" s="7">
        <f>H184+I184-M184</f>
        <v>0</v>
      </c>
    </row>
    <row r="185" spans="1:14" x14ac:dyDescent="0.25">
      <c r="A185" s="15">
        <v>12</v>
      </c>
      <c r="B185" s="9" t="s">
        <v>79</v>
      </c>
      <c r="C185" s="10">
        <f>N158</f>
        <v>0</v>
      </c>
      <c r="D185" s="63">
        <v>0</v>
      </c>
      <c r="E185" s="11">
        <v>281555.75000000023</v>
      </c>
      <c r="F185" s="6"/>
      <c r="G185" s="6"/>
      <c r="H185" s="7">
        <f>SUM(D185+G185)/2</f>
        <v>0</v>
      </c>
      <c r="I185" s="56">
        <f>E185</f>
        <v>281555.75000000023</v>
      </c>
      <c r="J185" s="55">
        <f>J184</f>
        <v>1</v>
      </c>
      <c r="K185" s="6"/>
      <c r="L185" s="6"/>
      <c r="M185" s="85">
        <f>(I185*J185)</f>
        <v>281555.75000000023</v>
      </c>
      <c r="N185" s="56">
        <f>C185+E185-M185</f>
        <v>0</v>
      </c>
    </row>
    <row r="186" spans="1:14" x14ac:dyDescent="0.25">
      <c r="A186" s="26">
        <v>14.1</v>
      </c>
      <c r="B186" s="9" t="s">
        <v>73</v>
      </c>
      <c r="C186" s="10">
        <f>N159</f>
        <v>295712.6479049921</v>
      </c>
      <c r="D186" s="63">
        <v>0</v>
      </c>
      <c r="E186" s="11"/>
      <c r="F186" s="6"/>
      <c r="G186" s="6"/>
      <c r="H186" s="7">
        <f>SUM(D186+G186)/2</f>
        <v>0</v>
      </c>
      <c r="I186" s="52">
        <f>C186+D186</f>
        <v>295712.6479049921</v>
      </c>
      <c r="J186" s="12">
        <v>7.0000000000000007E-2</v>
      </c>
      <c r="K186" s="6"/>
      <c r="L186" s="6"/>
      <c r="M186" s="85">
        <f>(I186*J186)</f>
        <v>20699.885353349448</v>
      </c>
      <c r="N186" s="7">
        <f>H186+I186-M186</f>
        <v>275012.76255164266</v>
      </c>
    </row>
    <row r="187" spans="1:14" x14ac:dyDescent="0.25">
      <c r="A187" s="26">
        <v>14.1</v>
      </c>
      <c r="B187" s="9" t="s">
        <v>74</v>
      </c>
      <c r="C187" s="10">
        <f>N160+N161</f>
        <v>483086.84146394674</v>
      </c>
      <c r="D187" s="63">
        <v>0</v>
      </c>
      <c r="E187" s="11"/>
      <c r="F187" s="6"/>
      <c r="G187" s="6"/>
      <c r="H187" s="7">
        <f>SUM(D187+G187)/2</f>
        <v>0</v>
      </c>
      <c r="I187" s="52">
        <f>C187+H187</f>
        <v>483086.84146394674</v>
      </c>
      <c r="J187" s="12">
        <v>0.05</v>
      </c>
      <c r="K187" s="6"/>
      <c r="L187" s="6"/>
      <c r="M187" s="85">
        <f>I187*J187</f>
        <v>24154.342073197338</v>
      </c>
      <c r="N187" s="7">
        <f>H187+I187-M187</f>
        <v>458932.49939074938</v>
      </c>
    </row>
    <row r="188" spans="1:14" x14ac:dyDescent="0.25">
      <c r="A188" s="26">
        <v>14.1</v>
      </c>
      <c r="B188" s="9" t="s">
        <v>82</v>
      </c>
      <c r="C188" s="10">
        <v>0</v>
      </c>
      <c r="D188" s="63">
        <v>0</v>
      </c>
      <c r="E188" s="11">
        <v>0</v>
      </c>
      <c r="F188" s="6"/>
      <c r="G188" s="6"/>
      <c r="H188" s="56">
        <f>SUM(D188+E188+G188)/2</f>
        <v>0</v>
      </c>
      <c r="I188" s="56">
        <f>E188</f>
        <v>0</v>
      </c>
      <c r="J188" s="55">
        <f>J187</f>
        <v>0.05</v>
      </c>
      <c r="K188" s="6"/>
      <c r="L188" s="6"/>
      <c r="M188" s="85">
        <f t="shared" ref="M188:M193" si="17">(I188*J188)</f>
        <v>0</v>
      </c>
      <c r="N188" s="56">
        <f>C188+E188-M188</f>
        <v>0</v>
      </c>
    </row>
    <row r="189" spans="1:14" x14ac:dyDescent="0.25">
      <c r="A189" s="15">
        <v>17</v>
      </c>
      <c r="B189" s="9" t="s">
        <v>75</v>
      </c>
      <c r="C189" s="10">
        <f>N162</f>
        <v>175999.16657855595</v>
      </c>
      <c r="D189" s="1">
        <v>0</v>
      </c>
      <c r="E189" s="63"/>
      <c r="F189" s="6"/>
      <c r="G189" s="6"/>
      <c r="H189" s="56">
        <f>SUM(E189+G189)/2</f>
        <v>0</v>
      </c>
      <c r="I189" s="56">
        <f>C189+D189</f>
        <v>175999.16657855595</v>
      </c>
      <c r="J189" s="55">
        <v>0.08</v>
      </c>
      <c r="K189" s="6"/>
      <c r="L189" s="6"/>
      <c r="M189" s="85">
        <f t="shared" si="17"/>
        <v>14079.933326284476</v>
      </c>
      <c r="N189" s="7">
        <f t="shared" ref="N189:N194" si="18">H189+I189-M189</f>
        <v>161919.23325227146</v>
      </c>
    </row>
    <row r="190" spans="1:14" x14ac:dyDescent="0.25">
      <c r="A190" s="26">
        <v>43.2</v>
      </c>
      <c r="B190" s="9" t="s">
        <v>76</v>
      </c>
      <c r="C190" s="10">
        <f>N163</f>
        <v>461.91593169450175</v>
      </c>
      <c r="D190" s="63">
        <v>0</v>
      </c>
      <c r="E190" s="11"/>
      <c r="F190" s="6"/>
      <c r="G190" s="6"/>
      <c r="H190" s="56"/>
      <c r="I190" s="52">
        <f>C190+H190</f>
        <v>461.91593169450175</v>
      </c>
      <c r="J190" s="12">
        <v>0.5</v>
      </c>
      <c r="K190" s="6"/>
      <c r="L190" s="6"/>
      <c r="M190" s="85">
        <f t="shared" si="17"/>
        <v>230.95796584725088</v>
      </c>
      <c r="N190" s="7">
        <f t="shared" si="18"/>
        <v>230.95796584725088</v>
      </c>
    </row>
    <row r="191" spans="1:14" x14ac:dyDescent="0.25">
      <c r="A191" s="8">
        <v>45</v>
      </c>
      <c r="B191" s="9" t="s">
        <v>77</v>
      </c>
      <c r="C191" s="10">
        <f>N164</f>
        <v>9.1679331006784821</v>
      </c>
      <c r="D191" s="63">
        <v>0</v>
      </c>
      <c r="E191" s="11"/>
      <c r="F191" s="6"/>
      <c r="G191" s="6"/>
      <c r="H191" s="56">
        <v>0</v>
      </c>
      <c r="I191" s="56">
        <f>C191+H191</f>
        <v>9.1679331006784821</v>
      </c>
      <c r="J191" s="55">
        <v>0.45</v>
      </c>
      <c r="K191" s="6"/>
      <c r="L191" s="51"/>
      <c r="M191" s="85">
        <f t="shared" si="17"/>
        <v>4.1255698953053175</v>
      </c>
      <c r="N191" s="7">
        <f t="shared" si="18"/>
        <v>5.0423632053731646</v>
      </c>
    </row>
    <row r="192" spans="1:14" x14ac:dyDescent="0.25">
      <c r="A192" s="26">
        <v>46</v>
      </c>
      <c r="B192" s="9" t="s">
        <v>119</v>
      </c>
      <c r="C192" s="10">
        <f>SUM(N165:N166)</f>
        <v>72606.358000000007</v>
      </c>
      <c r="D192" s="63">
        <v>0</v>
      </c>
      <c r="E192" s="11"/>
      <c r="F192" s="6"/>
      <c r="G192" s="6"/>
      <c r="H192" s="56"/>
      <c r="I192" s="56">
        <f>C192+H192</f>
        <v>72606.358000000007</v>
      </c>
      <c r="J192" s="12">
        <v>0.3</v>
      </c>
      <c r="K192" s="6"/>
      <c r="L192" s="51"/>
      <c r="M192" s="85">
        <f t="shared" si="17"/>
        <v>21781.9074</v>
      </c>
      <c r="N192" s="7">
        <f t="shared" si="18"/>
        <v>50824.450600000011</v>
      </c>
    </row>
    <row r="193" spans="1:14" x14ac:dyDescent="0.25">
      <c r="A193" s="26">
        <v>46</v>
      </c>
      <c r="B193" s="9" t="s">
        <v>120</v>
      </c>
      <c r="C193" s="10">
        <v>0</v>
      </c>
      <c r="D193" s="63">
        <v>0</v>
      </c>
      <c r="E193" s="11">
        <v>0</v>
      </c>
      <c r="F193" s="6"/>
      <c r="G193" s="6"/>
      <c r="H193" s="56"/>
      <c r="I193" s="56">
        <f>E193</f>
        <v>0</v>
      </c>
      <c r="J193" s="55">
        <f>J192</f>
        <v>0.3</v>
      </c>
      <c r="K193" s="6"/>
      <c r="L193" s="51"/>
      <c r="M193" s="85">
        <f t="shared" si="17"/>
        <v>0</v>
      </c>
      <c r="N193" s="7">
        <f t="shared" si="18"/>
        <v>0</v>
      </c>
    </row>
    <row r="194" spans="1:14" x14ac:dyDescent="0.25">
      <c r="A194" s="15">
        <v>47</v>
      </c>
      <c r="B194" s="16" t="s">
        <v>78</v>
      </c>
      <c r="C194" s="10">
        <f>N167+N168</f>
        <v>67483988.899012312</v>
      </c>
      <c r="D194" s="63">
        <v>0</v>
      </c>
      <c r="E194" s="11"/>
      <c r="F194" s="6"/>
      <c r="G194" s="6"/>
      <c r="H194" s="56">
        <f>SUM(D194+G194)/2</f>
        <v>0</v>
      </c>
      <c r="I194" s="56">
        <f>C194+H194+F194</f>
        <v>67483988.899012312</v>
      </c>
      <c r="J194" s="55">
        <v>0.08</v>
      </c>
      <c r="K194" s="6"/>
      <c r="L194" s="6"/>
      <c r="M194" s="85">
        <f>I194*J194</f>
        <v>5398719.1119209854</v>
      </c>
      <c r="N194" s="7">
        <f t="shared" si="18"/>
        <v>62085269.78709133</v>
      </c>
    </row>
    <row r="195" spans="1:14" x14ac:dyDescent="0.25">
      <c r="A195" s="15">
        <v>47</v>
      </c>
      <c r="B195" s="16" t="s">
        <v>80</v>
      </c>
      <c r="C195" s="10">
        <v>0</v>
      </c>
      <c r="D195" s="64">
        <v>0</v>
      </c>
      <c r="E195" s="11">
        <v>7867855.3599999798</v>
      </c>
      <c r="F195" s="6"/>
      <c r="G195" s="6"/>
      <c r="H195" s="56">
        <f>SUM(D195+E195+G195)/2</f>
        <v>3933927.6799999899</v>
      </c>
      <c r="I195" s="56">
        <f>E195</f>
        <v>7867855.3599999798</v>
      </c>
      <c r="J195" s="55">
        <f>J194</f>
        <v>0.08</v>
      </c>
      <c r="K195" s="6"/>
      <c r="L195" s="6"/>
      <c r="M195" s="85">
        <f>(I195*J195)</f>
        <v>629428.42879999836</v>
      </c>
      <c r="N195" s="56">
        <f>C195+E195-M195</f>
        <v>7238426.9311999818</v>
      </c>
    </row>
    <row r="196" spans="1:14" x14ac:dyDescent="0.25">
      <c r="A196" s="8">
        <v>50</v>
      </c>
      <c r="B196" s="9" t="s">
        <v>77</v>
      </c>
      <c r="C196" s="10">
        <f>N169+N170</f>
        <v>137312.95618944909</v>
      </c>
      <c r="D196" s="1">
        <v>0</v>
      </c>
      <c r="E196" s="63"/>
      <c r="F196" s="6">
        <v>0</v>
      </c>
      <c r="G196" s="1">
        <v>0</v>
      </c>
      <c r="H196" s="56">
        <v>0</v>
      </c>
      <c r="I196" s="52">
        <f>C196+H196+F196</f>
        <v>137312.95618944909</v>
      </c>
      <c r="J196" s="12">
        <v>0.55000000000000004</v>
      </c>
      <c r="K196" s="6"/>
      <c r="L196" s="6"/>
      <c r="M196" s="85">
        <f>I196*J196</f>
        <v>75522.125904197004</v>
      </c>
      <c r="N196" s="7">
        <f>H196+I196-M196</f>
        <v>61790.830285252086</v>
      </c>
    </row>
    <row r="197" spans="1:14" x14ac:dyDescent="0.25">
      <c r="A197" s="66">
        <v>50</v>
      </c>
      <c r="B197" s="9" t="s">
        <v>81</v>
      </c>
      <c r="C197" s="10">
        <v>0</v>
      </c>
      <c r="D197" s="63">
        <v>0</v>
      </c>
      <c r="E197" s="11">
        <v>768757.60000000009</v>
      </c>
      <c r="F197" s="6"/>
      <c r="G197" s="6">
        <v>0</v>
      </c>
      <c r="H197" s="56">
        <f>SUM(D197+E197+G197)/2</f>
        <v>384378.80000000005</v>
      </c>
      <c r="I197" s="56">
        <f>E197</f>
        <v>768757.60000000009</v>
      </c>
      <c r="J197" s="55">
        <f>J196</f>
        <v>0.55000000000000004</v>
      </c>
      <c r="K197" s="6"/>
      <c r="L197" s="6"/>
      <c r="M197" s="85">
        <f>(I197*J197)</f>
        <v>422816.68000000011</v>
      </c>
      <c r="N197" s="7">
        <f>C197+E197-M197</f>
        <v>345940.92</v>
      </c>
    </row>
    <row r="198" spans="1:14" x14ac:dyDescent="0.25">
      <c r="A198" s="18">
        <v>95</v>
      </c>
      <c r="B198" s="19" t="s">
        <v>9</v>
      </c>
      <c r="C198" s="10">
        <f>N171</f>
        <v>0</v>
      </c>
      <c r="D198" s="63">
        <v>0</v>
      </c>
      <c r="E198" s="63"/>
      <c r="F198" s="6">
        <v>0</v>
      </c>
      <c r="G198" s="6"/>
      <c r="H198" s="52">
        <f>SUM(E198+G198)/2</f>
        <v>0</v>
      </c>
      <c r="I198" s="11">
        <f>C198+E198+F198</f>
        <v>0</v>
      </c>
      <c r="J198" s="12">
        <v>0</v>
      </c>
      <c r="K198" s="6"/>
      <c r="L198" s="6"/>
      <c r="M198" s="85">
        <f>(I198*J198)</f>
        <v>0</v>
      </c>
      <c r="N198" s="7">
        <f>I198-M198</f>
        <v>0</v>
      </c>
    </row>
    <row r="199" spans="1:14" ht="15.75" thickBot="1" x14ac:dyDescent="0.3">
      <c r="A199" s="24" t="s">
        <v>10</v>
      </c>
      <c r="B199" s="21"/>
      <c r="C199" s="22">
        <f t="shared" ref="C199:I199" si="19">SUM(C177:C198)</f>
        <v>101602943.60574853</v>
      </c>
      <c r="D199" s="65">
        <f t="shared" si="19"/>
        <v>0</v>
      </c>
      <c r="E199" s="65">
        <f t="shared" si="19"/>
        <v>9450080.2399999797</v>
      </c>
      <c r="F199" s="46">
        <f t="shared" si="19"/>
        <v>0</v>
      </c>
      <c r="G199" s="61">
        <f t="shared" si="19"/>
        <v>0</v>
      </c>
      <c r="H199" s="22">
        <f t="shared" si="19"/>
        <v>4478455.2549999906</v>
      </c>
      <c r="I199" s="22">
        <f t="shared" si="19"/>
        <v>111053023.84574851</v>
      </c>
      <c r="J199" s="22" t="s">
        <v>0</v>
      </c>
      <c r="K199" s="22">
        <f>SUM(K177:K198)</f>
        <v>0</v>
      </c>
      <c r="L199" s="22">
        <f>SUM(L177:L198)</f>
        <v>0</v>
      </c>
      <c r="M199" s="22">
        <f>SUM(M177:M198)</f>
        <v>8693605.6973362491</v>
      </c>
      <c r="N199" s="22">
        <f>SUM(N177:N198)</f>
        <v>102359418.14841226</v>
      </c>
    </row>
    <row r="200" spans="1:14" ht="15.75" thickTop="1" x14ac:dyDescent="0.25"/>
    <row r="201" spans="1:14" x14ac:dyDescent="0.25">
      <c r="A201">
        <v>2025</v>
      </c>
      <c r="B201" t="s">
        <v>110</v>
      </c>
    </row>
    <row r="202" spans="1:14" ht="30" x14ac:dyDescent="0.25">
      <c r="A202" s="23" t="s">
        <v>1</v>
      </c>
      <c r="B202" s="2" t="s">
        <v>2</v>
      </c>
      <c r="C202" s="2" t="s">
        <v>113</v>
      </c>
      <c r="D202" s="3"/>
      <c r="E202" s="3" t="s">
        <v>114</v>
      </c>
      <c r="F202" s="3" t="s">
        <v>3</v>
      </c>
      <c r="G202" s="3" t="s">
        <v>11</v>
      </c>
      <c r="H202" s="3" t="s">
        <v>4</v>
      </c>
      <c r="I202" s="3" t="s">
        <v>5</v>
      </c>
      <c r="J202" s="3" t="s">
        <v>56</v>
      </c>
      <c r="K202" s="3" t="s">
        <v>57</v>
      </c>
      <c r="L202" s="3" t="s">
        <v>6</v>
      </c>
      <c r="M202" s="83" t="s">
        <v>99</v>
      </c>
      <c r="N202" s="4" t="s">
        <v>7</v>
      </c>
    </row>
    <row r="203" spans="1:14" x14ac:dyDescent="0.25">
      <c r="A203" s="23"/>
      <c r="B203" s="2"/>
      <c r="C203" s="47"/>
      <c r="D203" s="62"/>
      <c r="E203" s="11"/>
      <c r="F203" s="5"/>
      <c r="G203" s="5"/>
      <c r="H203" s="5"/>
      <c r="I203" s="48"/>
      <c r="J203" s="49"/>
      <c r="K203" s="5"/>
      <c r="L203" s="5"/>
      <c r="M203" s="84"/>
      <c r="N203" s="50"/>
    </row>
    <row r="204" spans="1:14" x14ac:dyDescent="0.25">
      <c r="A204" s="8">
        <v>1</v>
      </c>
      <c r="B204" s="9" t="s">
        <v>67</v>
      </c>
      <c r="C204" s="10">
        <f>N177+N178</f>
        <v>26956673.931282025</v>
      </c>
      <c r="D204" s="63">
        <v>0</v>
      </c>
      <c r="E204" s="11"/>
      <c r="F204" s="6"/>
      <c r="G204" s="6"/>
      <c r="H204" s="7">
        <f>SUM(D204+G204)/2</f>
        <v>0</v>
      </c>
      <c r="I204" s="56">
        <f>C204+H204</f>
        <v>26956673.931282025</v>
      </c>
      <c r="J204" s="55">
        <v>0.04</v>
      </c>
      <c r="K204" s="6"/>
      <c r="L204" s="6"/>
      <c r="M204" s="85">
        <f>I204*J204</f>
        <v>1078266.957251281</v>
      </c>
      <c r="N204" s="7">
        <f>H204+I204-M204</f>
        <v>25878406.974030744</v>
      </c>
    </row>
    <row r="205" spans="1:14" x14ac:dyDescent="0.25">
      <c r="A205" s="8">
        <v>1</v>
      </c>
      <c r="B205" s="9" t="s">
        <v>72</v>
      </c>
      <c r="C205" s="10">
        <v>0</v>
      </c>
      <c r="D205" s="63">
        <v>0</v>
      </c>
      <c r="E205" s="11">
        <v>77282.340000000084</v>
      </c>
      <c r="F205" s="6" t="s">
        <v>0</v>
      </c>
      <c r="G205" s="6"/>
      <c r="H205" s="56">
        <f>SUM(D205+E205+G205)/2</f>
        <v>38641.170000000042</v>
      </c>
      <c r="I205" s="56">
        <f>E205</f>
        <v>77282.340000000084</v>
      </c>
      <c r="J205" s="55">
        <f>J204</f>
        <v>0.04</v>
      </c>
      <c r="K205" s="6"/>
      <c r="L205" s="6"/>
      <c r="M205" s="85">
        <f>I205*J205</f>
        <v>3091.2936000000036</v>
      </c>
      <c r="N205" s="56">
        <f>C205+E205-M205</f>
        <v>74191.046400000079</v>
      </c>
    </row>
    <row r="206" spans="1:14" x14ac:dyDescent="0.25">
      <c r="A206" s="14">
        <v>2</v>
      </c>
      <c r="B206" s="9" t="s">
        <v>68</v>
      </c>
      <c r="C206" s="10">
        <f>N179</f>
        <v>3211711.9004065935</v>
      </c>
      <c r="D206" s="63">
        <v>0</v>
      </c>
      <c r="E206" s="11"/>
      <c r="F206" s="6"/>
      <c r="G206" s="6"/>
      <c r="H206" s="56">
        <f>SUM(D206+G206)/2</f>
        <v>0</v>
      </c>
      <c r="I206" s="56">
        <f>C206+H206</f>
        <v>3211711.9004065935</v>
      </c>
      <c r="J206" s="55">
        <v>0.06</v>
      </c>
      <c r="K206" s="6"/>
      <c r="L206" s="6"/>
      <c r="M206" s="85">
        <f>(I206*J206)</f>
        <v>192702.71402439559</v>
      </c>
      <c r="N206" s="7">
        <f>H206+I206-M206</f>
        <v>3019009.1863821978</v>
      </c>
    </row>
    <row r="207" spans="1:14" x14ac:dyDescent="0.25">
      <c r="A207" s="15">
        <v>8</v>
      </c>
      <c r="B207" s="16" t="s">
        <v>69</v>
      </c>
      <c r="C207" s="10">
        <f>N180+N181</f>
        <v>962506.40295186068</v>
      </c>
      <c r="D207" s="1">
        <v>0</v>
      </c>
      <c r="E207" s="63"/>
      <c r="F207" s="6"/>
      <c r="G207" s="6"/>
      <c r="H207" s="56">
        <f>SUM(E207+G207)/2</f>
        <v>0</v>
      </c>
      <c r="I207" s="56">
        <f>C207+H207</f>
        <v>962506.40295186068</v>
      </c>
      <c r="J207" s="55">
        <v>0.2</v>
      </c>
      <c r="K207" s="6"/>
      <c r="L207" s="6"/>
      <c r="M207" s="85">
        <f>I207*J207</f>
        <v>192501.28059037216</v>
      </c>
      <c r="N207" s="7">
        <f>H207+I207-M207</f>
        <v>770005.12236148852</v>
      </c>
    </row>
    <row r="208" spans="1:14" x14ac:dyDescent="0.25">
      <c r="A208" s="15">
        <v>8</v>
      </c>
      <c r="B208" s="16" t="s">
        <v>62</v>
      </c>
      <c r="C208" s="10">
        <v>0</v>
      </c>
      <c r="D208" s="63">
        <v>0</v>
      </c>
      <c r="E208" s="11">
        <v>211151.28000000003</v>
      </c>
      <c r="F208" s="6"/>
      <c r="G208" s="6"/>
      <c r="H208" s="56">
        <f>SUM(D208+E208+G208)/2</f>
        <v>105575.64000000001</v>
      </c>
      <c r="I208" s="56">
        <f>E208</f>
        <v>211151.28000000003</v>
      </c>
      <c r="J208" s="55">
        <f>J207</f>
        <v>0.2</v>
      </c>
      <c r="K208" s="6"/>
      <c r="L208" s="6"/>
      <c r="M208" s="85">
        <f>(I208*J208)</f>
        <v>42230.256000000008</v>
      </c>
      <c r="N208" s="56">
        <f>C208+E208-M208</f>
        <v>168921.02400000003</v>
      </c>
    </row>
    <row r="209" spans="1:14" x14ac:dyDescent="0.25">
      <c r="A209" s="8">
        <v>10</v>
      </c>
      <c r="B209" s="9" t="s">
        <v>102</v>
      </c>
      <c r="C209" s="10">
        <f>N182+N183</f>
        <v>550172.49907149584</v>
      </c>
      <c r="D209" s="63">
        <v>0</v>
      </c>
      <c r="E209" s="11"/>
      <c r="F209" s="6"/>
      <c r="G209" s="6">
        <v>0</v>
      </c>
      <c r="H209" s="7">
        <f>SUM(D209+G209)/2</f>
        <v>0</v>
      </c>
      <c r="I209" s="56">
        <f>C209+H209</f>
        <v>550172.49907149584</v>
      </c>
      <c r="J209" s="55">
        <v>0.3</v>
      </c>
      <c r="K209" s="6"/>
      <c r="L209" s="6"/>
      <c r="M209" s="85">
        <f>(I209*J209)</f>
        <v>165051.74972144875</v>
      </c>
      <c r="N209" s="7">
        <f>H209+I209-M209</f>
        <v>385120.74935004709</v>
      </c>
    </row>
    <row r="210" spans="1:14" x14ac:dyDescent="0.25">
      <c r="A210" s="8">
        <v>10</v>
      </c>
      <c r="B210" s="9" t="s">
        <v>103</v>
      </c>
      <c r="C210" s="10">
        <v>0</v>
      </c>
      <c r="D210" s="63"/>
      <c r="E210" s="11">
        <v>859549.92</v>
      </c>
      <c r="F210" s="6"/>
      <c r="G210" s="6"/>
      <c r="H210" s="7"/>
      <c r="I210" s="56">
        <f>E210</f>
        <v>859549.92</v>
      </c>
      <c r="J210" s="55">
        <f>J209</f>
        <v>0.3</v>
      </c>
      <c r="K210" s="6"/>
      <c r="L210" s="6"/>
      <c r="M210" s="85">
        <f>I210*J210</f>
        <v>257864.976</v>
      </c>
      <c r="N210" s="7">
        <f>H210+I210-M210</f>
        <v>601684.94400000002</v>
      </c>
    </row>
    <row r="211" spans="1:14" x14ac:dyDescent="0.25">
      <c r="A211" s="15">
        <v>12</v>
      </c>
      <c r="B211" s="17" t="s">
        <v>71</v>
      </c>
      <c r="C211" s="10">
        <f>N184+N185</f>
        <v>0</v>
      </c>
      <c r="D211" s="63">
        <v>0</v>
      </c>
      <c r="E211" s="11"/>
      <c r="F211" s="6"/>
      <c r="G211" s="6"/>
      <c r="H211" s="7"/>
      <c r="I211" s="56">
        <f>C211+E211+H211</f>
        <v>0</v>
      </c>
      <c r="J211" s="55">
        <v>1</v>
      </c>
      <c r="K211" s="6"/>
      <c r="L211" s="6"/>
      <c r="M211" s="85">
        <f>I211*J211</f>
        <v>0</v>
      </c>
      <c r="N211" s="7">
        <f>H211+I211-M211</f>
        <v>0</v>
      </c>
    </row>
    <row r="212" spans="1:14" x14ac:dyDescent="0.25">
      <c r="A212" s="15">
        <v>12</v>
      </c>
      <c r="B212" s="9" t="s">
        <v>79</v>
      </c>
      <c r="C212" s="10">
        <f>N185</f>
        <v>0</v>
      </c>
      <c r="D212" s="63">
        <v>0</v>
      </c>
      <c r="E212" s="11">
        <v>336357.07999999914</v>
      </c>
      <c r="F212" s="6"/>
      <c r="G212" s="6"/>
      <c r="H212" s="7">
        <f>SUM(D212+G212)/2</f>
        <v>0</v>
      </c>
      <c r="I212" s="56">
        <f>E212</f>
        <v>336357.07999999914</v>
      </c>
      <c r="J212" s="55">
        <f>J211</f>
        <v>1</v>
      </c>
      <c r="K212" s="6"/>
      <c r="L212" s="6"/>
      <c r="M212" s="85">
        <f>(I212*J212)</f>
        <v>336357.07999999914</v>
      </c>
      <c r="N212" s="56">
        <f>C212+E212-M212</f>
        <v>0</v>
      </c>
    </row>
    <row r="213" spans="1:14" x14ac:dyDescent="0.25">
      <c r="A213" s="26">
        <v>14.1</v>
      </c>
      <c r="B213" s="9" t="s">
        <v>73</v>
      </c>
      <c r="C213" s="10">
        <f>N186</f>
        <v>275012.76255164266</v>
      </c>
      <c r="D213" s="63">
        <v>0</v>
      </c>
      <c r="E213" s="11"/>
      <c r="F213" s="6"/>
      <c r="G213" s="6"/>
      <c r="H213" s="7">
        <f>SUM(D213+G213)/2</f>
        <v>0</v>
      </c>
      <c r="I213" s="52">
        <f>C213+D213</f>
        <v>275012.76255164266</v>
      </c>
      <c r="J213" s="12">
        <v>7.0000000000000007E-2</v>
      </c>
      <c r="K213" s="6"/>
      <c r="L213" s="6"/>
      <c r="M213" s="85">
        <f>(I213*J213)</f>
        <v>19250.89337861499</v>
      </c>
      <c r="N213" s="7">
        <f>H213+I213-M213</f>
        <v>255761.86917302766</v>
      </c>
    </row>
    <row r="214" spans="1:14" x14ac:dyDescent="0.25">
      <c r="A214" s="26">
        <v>14.1</v>
      </c>
      <c r="B214" s="9" t="s">
        <v>74</v>
      </c>
      <c r="C214" s="10">
        <f>N187+N188</f>
        <v>458932.49939074938</v>
      </c>
      <c r="D214" s="63">
        <v>0</v>
      </c>
      <c r="E214" s="11"/>
      <c r="F214" s="6"/>
      <c r="G214" s="6"/>
      <c r="H214" s="7">
        <f>SUM(D214+G214)/2</f>
        <v>0</v>
      </c>
      <c r="I214" s="52">
        <f>C214+H214</f>
        <v>458932.49939074938</v>
      </c>
      <c r="J214" s="12">
        <v>0.05</v>
      </c>
      <c r="K214" s="6"/>
      <c r="L214" s="6"/>
      <c r="M214" s="85">
        <f>I214*J214</f>
        <v>22946.624969537472</v>
      </c>
      <c r="N214" s="7">
        <f>H214+I214-M214</f>
        <v>435985.87442121189</v>
      </c>
    </row>
    <row r="215" spans="1:14" x14ac:dyDescent="0.25">
      <c r="A215" s="26">
        <v>14.1</v>
      </c>
      <c r="B215" s="9" t="s">
        <v>82</v>
      </c>
      <c r="C215" s="10">
        <v>0</v>
      </c>
      <c r="D215" s="63">
        <v>0</v>
      </c>
      <c r="E215" s="11">
        <v>0</v>
      </c>
      <c r="F215" s="6"/>
      <c r="G215" s="6"/>
      <c r="H215" s="56">
        <f>SUM(D215+E215+G215)/2</f>
        <v>0</v>
      </c>
      <c r="I215" s="56">
        <f>E215</f>
        <v>0</v>
      </c>
      <c r="J215" s="55">
        <f>J214</f>
        <v>0.05</v>
      </c>
      <c r="K215" s="6"/>
      <c r="L215" s="6"/>
      <c r="M215" s="85">
        <f t="shared" ref="M215:M220" si="20">(I215*J215)</f>
        <v>0</v>
      </c>
      <c r="N215" s="56">
        <f>C215+E215-M215</f>
        <v>0</v>
      </c>
    </row>
    <row r="216" spans="1:14" x14ac:dyDescent="0.25">
      <c r="A216" s="15">
        <v>17</v>
      </c>
      <c r="B216" s="9" t="s">
        <v>75</v>
      </c>
      <c r="C216" s="10">
        <f>N189</f>
        <v>161919.23325227146</v>
      </c>
      <c r="D216" s="1">
        <v>0</v>
      </c>
      <c r="E216" s="63"/>
      <c r="F216" s="6"/>
      <c r="G216" s="6"/>
      <c r="H216" s="56">
        <f>SUM(E216+G216)/2</f>
        <v>0</v>
      </c>
      <c r="I216" s="56">
        <f>C216+D216</f>
        <v>161919.23325227146</v>
      </c>
      <c r="J216" s="55">
        <v>0.08</v>
      </c>
      <c r="K216" s="6"/>
      <c r="L216" s="6"/>
      <c r="M216" s="85">
        <f t="shared" si="20"/>
        <v>12953.538660181717</v>
      </c>
      <c r="N216" s="7">
        <f t="shared" ref="N216:N221" si="21">H216+I216-M216</f>
        <v>148965.69459208974</v>
      </c>
    </row>
    <row r="217" spans="1:14" x14ac:dyDescent="0.25">
      <c r="A217" s="26">
        <v>43.2</v>
      </c>
      <c r="B217" s="9" t="s">
        <v>76</v>
      </c>
      <c r="C217" s="10">
        <f>N190</f>
        <v>230.95796584725088</v>
      </c>
      <c r="D217" s="63">
        <v>0</v>
      </c>
      <c r="E217" s="11"/>
      <c r="F217" s="6"/>
      <c r="G217" s="6"/>
      <c r="H217" s="56"/>
      <c r="I217" s="52">
        <f>C217+H217</f>
        <v>230.95796584725088</v>
      </c>
      <c r="J217" s="12">
        <v>0.5</v>
      </c>
      <c r="K217" s="6"/>
      <c r="L217" s="6"/>
      <c r="M217" s="85">
        <f t="shared" si="20"/>
        <v>115.47898292362544</v>
      </c>
      <c r="N217" s="7">
        <f t="shared" si="21"/>
        <v>115.47898292362544</v>
      </c>
    </row>
    <row r="218" spans="1:14" x14ac:dyDescent="0.25">
      <c r="A218" s="8">
        <v>45</v>
      </c>
      <c r="B218" s="9" t="s">
        <v>77</v>
      </c>
      <c r="C218" s="10">
        <f>N191</f>
        <v>5.0423632053731646</v>
      </c>
      <c r="D218" s="63">
        <v>0</v>
      </c>
      <c r="E218" s="11"/>
      <c r="F218" s="6"/>
      <c r="G218" s="6"/>
      <c r="H218" s="56">
        <v>0</v>
      </c>
      <c r="I218" s="56">
        <f>C218+H218</f>
        <v>5.0423632053731646</v>
      </c>
      <c r="J218" s="55">
        <v>0.45</v>
      </c>
      <c r="K218" s="6"/>
      <c r="L218" s="51"/>
      <c r="M218" s="85">
        <f t="shared" si="20"/>
        <v>2.2690634424179241</v>
      </c>
      <c r="N218" s="7">
        <f t="shared" si="21"/>
        <v>2.7732997629552405</v>
      </c>
    </row>
    <row r="219" spans="1:14" x14ac:dyDescent="0.25">
      <c r="A219" s="26">
        <v>46</v>
      </c>
      <c r="B219" s="9" t="s">
        <v>119</v>
      </c>
      <c r="C219" s="10">
        <f>SUM(N192:N193)</f>
        <v>50824.450600000011</v>
      </c>
      <c r="D219" s="63">
        <v>0</v>
      </c>
      <c r="E219" s="11"/>
      <c r="F219" s="6"/>
      <c r="G219" s="6"/>
      <c r="H219" s="56"/>
      <c r="I219" s="56">
        <f>C219+H219</f>
        <v>50824.450600000011</v>
      </c>
      <c r="J219" s="12">
        <v>0.3</v>
      </c>
      <c r="K219" s="6"/>
      <c r="L219" s="51"/>
      <c r="M219" s="85">
        <f t="shared" si="20"/>
        <v>15247.335180000002</v>
      </c>
      <c r="N219" s="7">
        <f t="shared" si="21"/>
        <v>35577.115420000009</v>
      </c>
    </row>
    <row r="220" spans="1:14" x14ac:dyDescent="0.25">
      <c r="A220" s="26">
        <v>46</v>
      </c>
      <c r="B220" s="9" t="s">
        <v>120</v>
      </c>
      <c r="C220" s="10">
        <v>0</v>
      </c>
      <c r="D220" s="63">
        <v>0</v>
      </c>
      <c r="E220" s="11">
        <v>1676475.58</v>
      </c>
      <c r="F220" s="6"/>
      <c r="G220" s="6"/>
      <c r="H220" s="56"/>
      <c r="I220" s="56">
        <f>E220</f>
        <v>1676475.58</v>
      </c>
      <c r="J220" s="55">
        <f>J219</f>
        <v>0.3</v>
      </c>
      <c r="K220" s="6"/>
      <c r="L220" s="51"/>
      <c r="M220" s="85">
        <f t="shared" si="20"/>
        <v>502942.674</v>
      </c>
      <c r="N220" s="7">
        <f t="shared" si="21"/>
        <v>1173532.906</v>
      </c>
    </row>
    <row r="221" spans="1:14" x14ac:dyDescent="0.25">
      <c r="A221" s="15">
        <v>47</v>
      </c>
      <c r="B221" s="16" t="s">
        <v>78</v>
      </c>
      <c r="C221" s="10">
        <f>N194+N195</f>
        <v>69323696.718291312</v>
      </c>
      <c r="D221" s="63">
        <v>0</v>
      </c>
      <c r="E221" s="11"/>
      <c r="F221" s="6"/>
      <c r="G221" s="6"/>
      <c r="H221" s="56">
        <f>SUM(D221+G221)/2</f>
        <v>0</v>
      </c>
      <c r="I221" s="56">
        <f>C221+H221+F221</f>
        <v>69323696.718291312</v>
      </c>
      <c r="J221" s="55">
        <v>0.08</v>
      </c>
      <c r="K221" s="6"/>
      <c r="L221" s="6"/>
      <c r="M221" s="85">
        <f>I221*J221</f>
        <v>5545895.7374633048</v>
      </c>
      <c r="N221" s="7">
        <f t="shared" si="21"/>
        <v>63777800.98082801</v>
      </c>
    </row>
    <row r="222" spans="1:14" x14ac:dyDescent="0.25">
      <c r="A222" s="15">
        <v>47</v>
      </c>
      <c r="B222" s="16" t="s">
        <v>80</v>
      </c>
      <c r="C222" s="10">
        <v>0</v>
      </c>
      <c r="D222" s="64">
        <v>0</v>
      </c>
      <c r="E222" s="11">
        <v>7770808.100000035</v>
      </c>
      <c r="F222" s="6"/>
      <c r="G222" s="6"/>
      <c r="H222" s="56">
        <f>SUM(D222+E222+G222)/2</f>
        <v>3885404.0500000175</v>
      </c>
      <c r="I222" s="56">
        <f>E222</f>
        <v>7770808.100000035</v>
      </c>
      <c r="J222" s="55">
        <f>J221</f>
        <v>0.08</v>
      </c>
      <c r="K222" s="6"/>
      <c r="L222" s="6"/>
      <c r="M222" s="85">
        <f>(I222*J222)</f>
        <v>621664.64800000284</v>
      </c>
      <c r="N222" s="56">
        <f>C222+E222-M222</f>
        <v>7149143.4520000322</v>
      </c>
    </row>
    <row r="223" spans="1:14" x14ac:dyDescent="0.25">
      <c r="A223" s="8">
        <v>50</v>
      </c>
      <c r="B223" s="9" t="s">
        <v>77</v>
      </c>
      <c r="C223" s="10">
        <f>N196+N197</f>
        <v>407731.75028525206</v>
      </c>
      <c r="D223" s="1">
        <v>0</v>
      </c>
      <c r="E223" s="63"/>
      <c r="F223" s="6">
        <v>0</v>
      </c>
      <c r="G223" s="1">
        <v>0</v>
      </c>
      <c r="H223" s="56">
        <v>0</v>
      </c>
      <c r="I223" s="11">
        <f>C223+H223+F223</f>
        <v>407731.75028525206</v>
      </c>
      <c r="J223" s="12">
        <v>0.55000000000000004</v>
      </c>
      <c r="K223" s="6"/>
      <c r="L223" s="6"/>
      <c r="M223" s="85">
        <f>I223*J223</f>
        <v>224252.46265688865</v>
      </c>
      <c r="N223" s="7">
        <f>H223+I223-M223</f>
        <v>183479.28762836341</v>
      </c>
    </row>
    <row r="224" spans="1:14" x14ac:dyDescent="0.25">
      <c r="A224" s="66">
        <v>50</v>
      </c>
      <c r="B224" s="9" t="s">
        <v>81</v>
      </c>
      <c r="C224" s="10">
        <v>0</v>
      </c>
      <c r="D224" s="63">
        <v>0</v>
      </c>
      <c r="E224" s="11">
        <v>1300614.3500000013</v>
      </c>
      <c r="F224" s="6"/>
      <c r="G224" s="6">
        <v>0</v>
      </c>
      <c r="H224" s="56">
        <f>SUM(D224+E224+G224)/2</f>
        <v>650307.17500000063</v>
      </c>
      <c r="I224" s="56">
        <f>E224</f>
        <v>1300614.3500000013</v>
      </c>
      <c r="J224" s="55">
        <f>J223</f>
        <v>0.55000000000000004</v>
      </c>
      <c r="K224" s="6"/>
      <c r="L224" s="6"/>
      <c r="M224" s="85">
        <f>(I224*J224)</f>
        <v>715337.89250000077</v>
      </c>
      <c r="N224" s="7">
        <f>C224+E224-M224</f>
        <v>585276.45750000048</v>
      </c>
    </row>
    <row r="225" spans="1:14" x14ac:dyDescent="0.25">
      <c r="A225" s="18">
        <v>95</v>
      </c>
      <c r="B225" s="19" t="s">
        <v>9</v>
      </c>
      <c r="C225" s="10">
        <f>N198</f>
        <v>0</v>
      </c>
      <c r="D225" s="63">
        <v>0</v>
      </c>
      <c r="E225" s="63"/>
      <c r="F225" s="6">
        <v>0</v>
      </c>
      <c r="G225" s="6"/>
      <c r="H225" s="52">
        <f>SUM(E225+G225)/2</f>
        <v>0</v>
      </c>
      <c r="I225" s="11">
        <f>C225+E225+F225</f>
        <v>0</v>
      </c>
      <c r="J225" s="12">
        <v>0</v>
      </c>
      <c r="K225" s="6"/>
      <c r="L225" s="6"/>
      <c r="M225" s="85">
        <f>(I225*J225)</f>
        <v>0</v>
      </c>
      <c r="N225" s="7">
        <f>I225-M225</f>
        <v>0</v>
      </c>
    </row>
    <row r="226" spans="1:14" ht="15.75" thickBot="1" x14ac:dyDescent="0.3">
      <c r="A226" s="24" t="s">
        <v>10</v>
      </c>
      <c r="B226" s="21"/>
      <c r="C226" s="22">
        <f t="shared" ref="C226:I226" si="22">SUM(C204:C225)</f>
        <v>102359418.14841226</v>
      </c>
      <c r="D226" s="65">
        <f t="shared" si="22"/>
        <v>0</v>
      </c>
      <c r="E226" s="65">
        <f>SUM(E204:E225)</f>
        <v>12232238.650000036</v>
      </c>
      <c r="F226" s="46">
        <f t="shared" si="22"/>
        <v>0</v>
      </c>
      <c r="G226" s="61">
        <f t="shared" si="22"/>
        <v>0</v>
      </c>
      <c r="H226" s="22">
        <f t="shared" si="22"/>
        <v>4679928.0350000178</v>
      </c>
      <c r="I226" s="22">
        <f t="shared" si="22"/>
        <v>114591656.79841229</v>
      </c>
      <c r="J226" s="22" t="s">
        <v>0</v>
      </c>
      <c r="K226" s="22">
        <f>SUM(K204:K225)</f>
        <v>0</v>
      </c>
      <c r="L226" s="22">
        <f>SUM(L204:L225)</f>
        <v>0</v>
      </c>
      <c r="M226" s="22">
        <f>SUM(M204:M225)</f>
        <v>9948675.8620423935</v>
      </c>
      <c r="N226" s="22">
        <f>SUM(N204:N225)</f>
        <v>104642980.9363699</v>
      </c>
    </row>
    <row r="227" spans="1:14" ht="15.75" thickTop="1" x14ac:dyDescent="0.25"/>
    <row r="228" spans="1:14" x14ac:dyDescent="0.25">
      <c r="A228">
        <v>2026</v>
      </c>
      <c r="B228" t="s">
        <v>110</v>
      </c>
    </row>
    <row r="229" spans="1:14" ht="30" x14ac:dyDescent="0.25">
      <c r="A229" s="23" t="s">
        <v>1</v>
      </c>
      <c r="B229" s="2" t="s">
        <v>2</v>
      </c>
      <c r="C229" s="2" t="s">
        <v>116</v>
      </c>
      <c r="D229" s="3"/>
      <c r="E229" s="3" t="s">
        <v>117</v>
      </c>
      <c r="F229" s="3" t="s">
        <v>3</v>
      </c>
      <c r="G229" s="3" t="s">
        <v>11</v>
      </c>
      <c r="H229" s="3" t="s">
        <v>4</v>
      </c>
      <c r="I229" s="3" t="s">
        <v>5</v>
      </c>
      <c r="J229" s="3" t="s">
        <v>56</v>
      </c>
      <c r="K229" s="3" t="s">
        <v>57</v>
      </c>
      <c r="L229" s="3" t="s">
        <v>6</v>
      </c>
      <c r="M229" s="83" t="s">
        <v>99</v>
      </c>
      <c r="N229" s="4" t="s">
        <v>7</v>
      </c>
    </row>
    <row r="230" spans="1:14" x14ac:dyDescent="0.25">
      <c r="A230" s="23"/>
      <c r="B230" s="2"/>
      <c r="C230" s="47"/>
      <c r="D230" s="62"/>
      <c r="E230" s="11"/>
      <c r="F230" s="5"/>
      <c r="G230" s="5"/>
      <c r="H230" s="5"/>
      <c r="I230" s="48"/>
      <c r="J230" s="49"/>
      <c r="K230" s="5"/>
      <c r="L230" s="5"/>
      <c r="M230" s="84"/>
      <c r="N230" s="50"/>
    </row>
    <row r="231" spans="1:14" x14ac:dyDescent="0.25">
      <c r="A231" s="8">
        <v>1</v>
      </c>
      <c r="B231" s="9" t="s">
        <v>67</v>
      </c>
      <c r="C231" s="10">
        <f>N204+N205</f>
        <v>25952598.020430744</v>
      </c>
      <c r="D231" s="63">
        <v>0</v>
      </c>
      <c r="E231" s="11"/>
      <c r="F231" s="6"/>
      <c r="G231" s="6"/>
      <c r="H231" s="7">
        <f>SUM(D231+G231)/2</f>
        <v>0</v>
      </c>
      <c r="I231" s="56">
        <f>C231+H231</f>
        <v>25952598.020430744</v>
      </c>
      <c r="J231" s="55">
        <v>0.04</v>
      </c>
      <c r="K231" s="6"/>
      <c r="L231" s="6"/>
      <c r="M231" s="85">
        <f>I231*J231</f>
        <v>1038103.9208172298</v>
      </c>
      <c r="N231" s="7">
        <f>H231+I231-M231</f>
        <v>24914494.099613514</v>
      </c>
    </row>
    <row r="232" spans="1:14" x14ac:dyDescent="0.25">
      <c r="A232" s="8">
        <v>1</v>
      </c>
      <c r="B232" s="9" t="s">
        <v>72</v>
      </c>
      <c r="C232" s="10">
        <v>0</v>
      </c>
      <c r="D232" s="63">
        <v>0</v>
      </c>
      <c r="E232" s="11">
        <v>73848.744311612041</v>
      </c>
      <c r="F232" s="6" t="s">
        <v>0</v>
      </c>
      <c r="G232" s="6"/>
      <c r="H232" s="56">
        <f>SUM(D232+E232+G232)/2</f>
        <v>36924.372155806021</v>
      </c>
      <c r="I232" s="56">
        <f>E232</f>
        <v>73848.744311612041</v>
      </c>
      <c r="J232" s="55">
        <f>J231</f>
        <v>0.04</v>
      </c>
      <c r="K232" s="6"/>
      <c r="L232" s="6"/>
      <c r="M232" s="85">
        <f>I232*J232</f>
        <v>2953.9497724644816</v>
      </c>
      <c r="N232" s="56">
        <f>C232+E232-M232</f>
        <v>70894.794539147566</v>
      </c>
    </row>
    <row r="233" spans="1:14" x14ac:dyDescent="0.25">
      <c r="A233" s="14">
        <v>2</v>
      </c>
      <c r="B233" s="9" t="s">
        <v>68</v>
      </c>
      <c r="C233" s="10">
        <f>N206</f>
        <v>3019009.1863821978</v>
      </c>
      <c r="D233" s="63">
        <v>0</v>
      </c>
      <c r="E233" s="11"/>
      <c r="F233" s="6"/>
      <c r="G233" s="6"/>
      <c r="H233" s="56">
        <f>SUM(D233+G233)/2</f>
        <v>0</v>
      </c>
      <c r="I233" s="56">
        <f>C233+H233</f>
        <v>3019009.1863821978</v>
      </c>
      <c r="J233" s="55">
        <v>0.06</v>
      </c>
      <c r="K233" s="6"/>
      <c r="L233" s="6"/>
      <c r="M233" s="85">
        <f>(I233*J233)</f>
        <v>181140.55118293187</v>
      </c>
      <c r="N233" s="7">
        <f>H233+I233-M233</f>
        <v>2837868.635199266</v>
      </c>
    </row>
    <row r="234" spans="1:14" x14ac:dyDescent="0.25">
      <c r="A234" s="15">
        <v>8</v>
      </c>
      <c r="B234" s="16" t="s">
        <v>69</v>
      </c>
      <c r="C234" s="10">
        <f>N207+N208</f>
        <v>938926.14636148862</v>
      </c>
      <c r="D234" s="1">
        <v>0</v>
      </c>
      <c r="E234" s="63"/>
      <c r="F234" s="6"/>
      <c r="G234" s="6"/>
      <c r="H234" s="56">
        <f>SUM(E234+G234)/2</f>
        <v>0</v>
      </c>
      <c r="I234" s="56">
        <f>C234+H234</f>
        <v>938926.14636148862</v>
      </c>
      <c r="J234" s="55">
        <v>0.2</v>
      </c>
      <c r="K234" s="6"/>
      <c r="L234" s="6"/>
      <c r="M234" s="85">
        <f>I234*J234</f>
        <v>187785.22927229773</v>
      </c>
      <c r="N234" s="7">
        <f>H234+I234-M234</f>
        <v>751140.91708919092</v>
      </c>
    </row>
    <row r="235" spans="1:14" x14ac:dyDescent="0.25">
      <c r="A235" s="15">
        <v>8</v>
      </c>
      <c r="B235" s="16" t="s">
        <v>62</v>
      </c>
      <c r="C235" s="10">
        <v>0</v>
      </c>
      <c r="D235" s="63">
        <v>0</v>
      </c>
      <c r="E235" s="11">
        <v>63992.0163463547</v>
      </c>
      <c r="F235" s="6"/>
      <c r="G235" s="6"/>
      <c r="H235" s="56">
        <f>SUM(D235+E235+G235)/2</f>
        <v>31996.00817317735</v>
      </c>
      <c r="I235" s="56">
        <f>E235</f>
        <v>63992.0163463547</v>
      </c>
      <c r="J235" s="55">
        <f>J234</f>
        <v>0.2</v>
      </c>
      <c r="K235" s="6"/>
      <c r="L235" s="6"/>
      <c r="M235" s="85">
        <f>(I235*J235)</f>
        <v>12798.403269270941</v>
      </c>
      <c r="N235" s="56">
        <f>C235+E235-M235</f>
        <v>51193.613077083763</v>
      </c>
    </row>
    <row r="236" spans="1:14" x14ac:dyDescent="0.25">
      <c r="A236" s="8">
        <v>10</v>
      </c>
      <c r="B236" s="9" t="s">
        <v>102</v>
      </c>
      <c r="C236" s="10">
        <f>N209+N210</f>
        <v>986805.69335004711</v>
      </c>
      <c r="D236" s="63">
        <v>0</v>
      </c>
      <c r="E236" s="11"/>
      <c r="F236" s="6"/>
      <c r="G236" s="6">
        <v>0</v>
      </c>
      <c r="H236" s="7">
        <f>SUM(D236+G236)/2</f>
        <v>0</v>
      </c>
      <c r="I236" s="56">
        <f>C236+H236</f>
        <v>986805.69335004711</v>
      </c>
      <c r="J236" s="55">
        <v>0.3</v>
      </c>
      <c r="K236" s="6"/>
      <c r="L236" s="6"/>
      <c r="M236" s="85">
        <f>(I236*J236)</f>
        <v>296041.70800501411</v>
      </c>
      <c r="N236" s="7">
        <f>H236+I236-M236</f>
        <v>690763.985345033</v>
      </c>
    </row>
    <row r="237" spans="1:14" x14ac:dyDescent="0.25">
      <c r="A237" s="8">
        <v>10</v>
      </c>
      <c r="B237" s="9" t="s">
        <v>103</v>
      </c>
      <c r="C237" s="10">
        <v>0</v>
      </c>
      <c r="D237" s="63"/>
      <c r="E237" s="11">
        <v>533180.71598354203</v>
      </c>
      <c r="F237" s="6"/>
      <c r="G237" s="6"/>
      <c r="H237" s="7"/>
      <c r="I237" s="56">
        <f>E237</f>
        <v>533180.71598354203</v>
      </c>
      <c r="J237" s="55">
        <f>J236</f>
        <v>0.3</v>
      </c>
      <c r="K237" s="6"/>
      <c r="L237" s="6"/>
      <c r="M237" s="85">
        <f>I237*J237</f>
        <v>159954.21479506261</v>
      </c>
      <c r="N237" s="7">
        <f>H237+I237-M237</f>
        <v>373226.50118847942</v>
      </c>
    </row>
    <row r="238" spans="1:14" x14ac:dyDescent="0.25">
      <c r="A238" s="15">
        <v>12</v>
      </c>
      <c r="B238" s="17" t="s">
        <v>71</v>
      </c>
      <c r="C238" s="10">
        <f>N211+N212</f>
        <v>0</v>
      </c>
      <c r="D238" s="63">
        <v>0</v>
      </c>
      <c r="E238" s="11"/>
      <c r="F238" s="6"/>
      <c r="G238" s="6"/>
      <c r="H238" s="7"/>
      <c r="I238" s="56">
        <f>C238+E238+H238</f>
        <v>0</v>
      </c>
      <c r="J238" s="55">
        <v>1</v>
      </c>
      <c r="K238" s="6"/>
      <c r="L238" s="6"/>
      <c r="M238" s="85">
        <f>I238*J238</f>
        <v>0</v>
      </c>
      <c r="N238" s="7">
        <f>H238+I238-M238</f>
        <v>0</v>
      </c>
    </row>
    <row r="239" spans="1:14" x14ac:dyDescent="0.25">
      <c r="A239" s="15">
        <v>12</v>
      </c>
      <c r="B239" s="9" t="s">
        <v>79</v>
      </c>
      <c r="C239" s="10">
        <f>N212</f>
        <v>0</v>
      </c>
      <c r="D239" s="63">
        <v>0</v>
      </c>
      <c r="E239" s="11">
        <v>87083.282041180326</v>
      </c>
      <c r="F239" s="6"/>
      <c r="G239" s="6"/>
      <c r="H239" s="7">
        <f>SUM(D239+G239)/2</f>
        <v>0</v>
      </c>
      <c r="I239" s="56">
        <f>E239</f>
        <v>87083.282041180326</v>
      </c>
      <c r="J239" s="55">
        <f>J238</f>
        <v>1</v>
      </c>
      <c r="K239" s="6"/>
      <c r="L239" s="6"/>
      <c r="M239" s="85">
        <f>(I239*J239)</f>
        <v>87083.282041180326</v>
      </c>
      <c r="N239" s="56">
        <f>C239+E239-M239</f>
        <v>0</v>
      </c>
    </row>
    <row r="240" spans="1:14" x14ac:dyDescent="0.25">
      <c r="A240" s="26">
        <v>14.1</v>
      </c>
      <c r="B240" s="9" t="s">
        <v>73</v>
      </c>
      <c r="C240" s="10">
        <f>N213</f>
        <v>255761.86917302766</v>
      </c>
      <c r="D240" s="63">
        <v>0</v>
      </c>
      <c r="E240" s="11"/>
      <c r="F240" s="6"/>
      <c r="G240" s="6"/>
      <c r="H240" s="7">
        <f>SUM(D240+G240)/2</f>
        <v>0</v>
      </c>
      <c r="I240" s="52">
        <f>C240+D240</f>
        <v>255761.86917302766</v>
      </c>
      <c r="J240" s="12">
        <v>7.0000000000000007E-2</v>
      </c>
      <c r="K240" s="6"/>
      <c r="L240" s="6"/>
      <c r="M240" s="85">
        <f>(I240*J240)</f>
        <v>17903.330842111936</v>
      </c>
      <c r="N240" s="7">
        <f>H240+I240-M240</f>
        <v>237858.53833091573</v>
      </c>
    </row>
    <row r="241" spans="1:14" x14ac:dyDescent="0.25">
      <c r="A241" s="26">
        <v>14.1</v>
      </c>
      <c r="B241" s="9" t="s">
        <v>74</v>
      </c>
      <c r="C241" s="10">
        <f>N214+N215</f>
        <v>435985.87442121189</v>
      </c>
      <c r="D241" s="63">
        <v>0</v>
      </c>
      <c r="E241" s="11"/>
      <c r="F241" s="6"/>
      <c r="G241" s="6"/>
      <c r="H241" s="7">
        <f>SUM(D241+G241)/2</f>
        <v>0</v>
      </c>
      <c r="I241" s="52">
        <f>C241+H241</f>
        <v>435985.87442121189</v>
      </c>
      <c r="J241" s="12">
        <v>0.05</v>
      </c>
      <c r="K241" s="6"/>
      <c r="L241" s="6"/>
      <c r="M241" s="85">
        <f>I241*J241</f>
        <v>21799.293721060596</v>
      </c>
      <c r="N241" s="7">
        <f>H241+I241-M241</f>
        <v>414186.58070015127</v>
      </c>
    </row>
    <row r="242" spans="1:14" x14ac:dyDescent="0.25">
      <c r="A242" s="26">
        <v>14.1</v>
      </c>
      <c r="B242" s="9" t="s">
        <v>82</v>
      </c>
      <c r="C242" s="10">
        <v>0</v>
      </c>
      <c r="D242" s="63">
        <v>0</v>
      </c>
      <c r="E242" s="11">
        <v>0</v>
      </c>
      <c r="F242" s="6"/>
      <c r="G242" s="6"/>
      <c r="H242" s="56">
        <f>SUM(D242+E242+G242)/2</f>
        <v>0</v>
      </c>
      <c r="I242" s="56">
        <f>E242</f>
        <v>0</v>
      </c>
      <c r="J242" s="55">
        <f>J241</f>
        <v>0.05</v>
      </c>
      <c r="K242" s="6"/>
      <c r="L242" s="6"/>
      <c r="M242" s="85">
        <f t="shared" ref="M242:M247" si="23">(I242*J242)</f>
        <v>0</v>
      </c>
      <c r="N242" s="56">
        <f>C242+E242-M242</f>
        <v>0</v>
      </c>
    </row>
    <row r="243" spans="1:14" x14ac:dyDescent="0.25">
      <c r="A243" s="15">
        <v>17</v>
      </c>
      <c r="B243" s="9" t="s">
        <v>75</v>
      </c>
      <c r="C243" s="10">
        <f>N216</f>
        <v>148965.69459208974</v>
      </c>
      <c r="D243" s="1">
        <v>0</v>
      </c>
      <c r="E243" s="63"/>
      <c r="F243" s="6"/>
      <c r="G243" s="6"/>
      <c r="H243" s="56">
        <f>SUM(E243+G243)/2</f>
        <v>0</v>
      </c>
      <c r="I243" s="56">
        <f>C243+D243</f>
        <v>148965.69459208974</v>
      </c>
      <c r="J243" s="55">
        <v>0.08</v>
      </c>
      <c r="K243" s="6"/>
      <c r="L243" s="6"/>
      <c r="M243" s="85">
        <f t="shared" si="23"/>
        <v>11917.25556736718</v>
      </c>
      <c r="N243" s="7">
        <f t="shared" ref="N243:N248" si="24">H243+I243-M243</f>
        <v>137048.43902472255</v>
      </c>
    </row>
    <row r="244" spans="1:14" x14ac:dyDescent="0.25">
      <c r="A244" s="26">
        <v>43.2</v>
      </c>
      <c r="B244" s="9" t="s">
        <v>76</v>
      </c>
      <c r="C244" s="10">
        <f>N217</f>
        <v>115.47898292362544</v>
      </c>
      <c r="D244" s="63">
        <v>0</v>
      </c>
      <c r="E244" s="11"/>
      <c r="F244" s="6"/>
      <c r="G244" s="6"/>
      <c r="H244" s="56"/>
      <c r="I244" s="52">
        <f>C244+H244</f>
        <v>115.47898292362544</v>
      </c>
      <c r="J244" s="12">
        <v>0.5</v>
      </c>
      <c r="K244" s="6"/>
      <c r="L244" s="6"/>
      <c r="M244" s="85">
        <f t="shared" si="23"/>
        <v>57.739491461812719</v>
      </c>
      <c r="N244" s="7">
        <f t="shared" si="24"/>
        <v>57.739491461812719</v>
      </c>
    </row>
    <row r="245" spans="1:14" x14ac:dyDescent="0.25">
      <c r="A245" s="8">
        <v>45</v>
      </c>
      <c r="B245" s="9" t="s">
        <v>77</v>
      </c>
      <c r="C245" s="10">
        <f>N218</f>
        <v>2.7732997629552405</v>
      </c>
      <c r="D245" s="63">
        <v>0</v>
      </c>
      <c r="E245" s="11"/>
      <c r="F245" s="6"/>
      <c r="G245" s="6"/>
      <c r="H245" s="56">
        <v>0</v>
      </c>
      <c r="I245" s="56">
        <f>C245+H245</f>
        <v>2.7732997629552405</v>
      </c>
      <c r="J245" s="55">
        <v>0.45</v>
      </c>
      <c r="K245" s="6"/>
      <c r="L245" s="51"/>
      <c r="M245" s="85">
        <f t="shared" si="23"/>
        <v>1.2479848933298583</v>
      </c>
      <c r="N245" s="7">
        <f t="shared" si="24"/>
        <v>1.5253148696253822</v>
      </c>
    </row>
    <row r="246" spans="1:14" x14ac:dyDescent="0.25">
      <c r="A246" s="26">
        <v>46</v>
      </c>
      <c r="B246" s="9" t="s">
        <v>119</v>
      </c>
      <c r="C246" s="10">
        <f>SUM(N219:N220)</f>
        <v>1209110.0214199999</v>
      </c>
      <c r="D246" s="63">
        <v>0</v>
      </c>
      <c r="E246" s="11"/>
      <c r="F246" s="6"/>
      <c r="G246" s="6"/>
      <c r="H246" s="56"/>
      <c r="I246" s="56">
        <f>C246+H246</f>
        <v>1209110.0214199999</v>
      </c>
      <c r="J246" s="12">
        <v>0.3</v>
      </c>
      <c r="K246" s="6"/>
      <c r="L246" s="51"/>
      <c r="M246" s="85">
        <f t="shared" si="23"/>
        <v>362733.00642599998</v>
      </c>
      <c r="N246" s="7">
        <f t="shared" si="24"/>
        <v>846377.01499399985</v>
      </c>
    </row>
    <row r="247" spans="1:14" x14ac:dyDescent="0.25">
      <c r="A247" s="26">
        <v>46</v>
      </c>
      <c r="B247" s="9" t="s">
        <v>120</v>
      </c>
      <c r="C247" s="10">
        <v>0</v>
      </c>
      <c r="D247" s="63">
        <v>0</v>
      </c>
      <c r="E247" s="11">
        <v>0</v>
      </c>
      <c r="F247" s="6"/>
      <c r="G247" s="6"/>
      <c r="H247" s="56"/>
      <c r="I247" s="56">
        <f>E247</f>
        <v>0</v>
      </c>
      <c r="J247" s="55">
        <f>J246</f>
        <v>0.3</v>
      </c>
      <c r="K247" s="6"/>
      <c r="L247" s="51"/>
      <c r="M247" s="85">
        <f t="shared" si="23"/>
        <v>0</v>
      </c>
      <c r="N247" s="7">
        <f t="shared" si="24"/>
        <v>0</v>
      </c>
    </row>
    <row r="248" spans="1:14" x14ac:dyDescent="0.25">
      <c r="A248" s="15">
        <v>47</v>
      </c>
      <c r="B248" s="16" t="s">
        <v>78</v>
      </c>
      <c r="C248" s="10">
        <f>N221+N222</f>
        <v>70926944.432828039</v>
      </c>
      <c r="D248" s="63">
        <v>0</v>
      </c>
      <c r="E248" s="11"/>
      <c r="F248" s="6"/>
      <c r="G248" s="6"/>
      <c r="H248" s="56">
        <f>SUM(D248+G248)/2</f>
        <v>0</v>
      </c>
      <c r="I248" s="56">
        <f>C248+H248+F248</f>
        <v>70926944.432828039</v>
      </c>
      <c r="J248" s="55">
        <v>0.08</v>
      </c>
      <c r="K248" s="6"/>
      <c r="L248" s="6"/>
      <c r="M248" s="85">
        <f>I248*J248</f>
        <v>5674155.5546262432</v>
      </c>
      <c r="N248" s="7">
        <f t="shared" si="24"/>
        <v>65252788.878201798</v>
      </c>
    </row>
    <row r="249" spans="1:14" x14ac:dyDescent="0.25">
      <c r="A249" s="15">
        <v>47</v>
      </c>
      <c r="B249" s="16" t="s">
        <v>80</v>
      </c>
      <c r="C249" s="10">
        <v>0</v>
      </c>
      <c r="D249" s="64">
        <v>0</v>
      </c>
      <c r="E249" s="11">
        <v>8120310.4015776655</v>
      </c>
      <c r="F249" s="6"/>
      <c r="G249" s="6"/>
      <c r="H249" s="56">
        <f>SUM(D249+E249+G249)/2</f>
        <v>4060155.2007888327</v>
      </c>
      <c r="I249" s="56">
        <f>E249</f>
        <v>8120310.4015776655</v>
      </c>
      <c r="J249" s="55">
        <f>J248</f>
        <v>0.08</v>
      </c>
      <c r="K249" s="6"/>
      <c r="L249" s="6"/>
      <c r="M249" s="85">
        <f>(I249*J249)</f>
        <v>649624.83212621324</v>
      </c>
      <c r="N249" s="56">
        <f>C249+E249-M249</f>
        <v>7470685.5694514522</v>
      </c>
    </row>
    <row r="250" spans="1:14" x14ac:dyDescent="0.25">
      <c r="A250" s="8">
        <v>50</v>
      </c>
      <c r="B250" s="9" t="s">
        <v>77</v>
      </c>
      <c r="C250" s="10">
        <f>N223+N224</f>
        <v>768755.74512836384</v>
      </c>
      <c r="D250" s="1">
        <v>0</v>
      </c>
      <c r="E250" s="63"/>
      <c r="F250" s="6">
        <v>0</v>
      </c>
      <c r="G250" s="1">
        <v>0</v>
      </c>
      <c r="H250" s="56">
        <v>0</v>
      </c>
      <c r="I250" s="11">
        <f>C250+H250+F250</f>
        <v>768755.74512836384</v>
      </c>
      <c r="J250" s="12">
        <v>0.55000000000000004</v>
      </c>
      <c r="K250" s="6"/>
      <c r="L250" s="6"/>
      <c r="M250" s="85">
        <f>I250*J250</f>
        <v>422815.65982060012</v>
      </c>
      <c r="N250" s="7">
        <f>H250+I250-M250</f>
        <v>345940.08530776371</v>
      </c>
    </row>
    <row r="251" spans="1:14" x14ac:dyDescent="0.25">
      <c r="A251" s="66">
        <v>50</v>
      </c>
      <c r="B251" s="9" t="s">
        <v>81</v>
      </c>
      <c r="C251" s="10">
        <v>0</v>
      </c>
      <c r="D251" s="63">
        <v>0</v>
      </c>
      <c r="E251" s="11">
        <v>691287.78639203182</v>
      </c>
      <c r="F251" s="6"/>
      <c r="G251" s="6">
        <v>0</v>
      </c>
      <c r="H251" s="56">
        <f>SUM(D251+E251+G251)/2</f>
        <v>345643.89319601591</v>
      </c>
      <c r="I251" s="56">
        <f>E251</f>
        <v>691287.78639203182</v>
      </c>
      <c r="J251" s="55">
        <f>J250</f>
        <v>0.55000000000000004</v>
      </c>
      <c r="K251" s="6"/>
      <c r="L251" s="6"/>
      <c r="M251" s="85">
        <f>(I251*J251)</f>
        <v>380208.28251561755</v>
      </c>
      <c r="N251" s="7">
        <f>C251+E251-M251</f>
        <v>311079.50387641427</v>
      </c>
    </row>
    <row r="252" spans="1:14" x14ac:dyDescent="0.25">
      <c r="A252" s="18">
        <v>95</v>
      </c>
      <c r="B252" s="19" t="s">
        <v>9</v>
      </c>
      <c r="C252" s="10">
        <f>N225</f>
        <v>0</v>
      </c>
      <c r="D252" s="63">
        <v>0</v>
      </c>
      <c r="E252" s="63"/>
      <c r="F252" s="6">
        <v>0</v>
      </c>
      <c r="G252" s="6"/>
      <c r="H252" s="52">
        <f>SUM(E252+G252)/2</f>
        <v>0</v>
      </c>
      <c r="I252" s="11">
        <f>C252+E252+F252</f>
        <v>0</v>
      </c>
      <c r="J252" s="12">
        <v>0</v>
      </c>
      <c r="K252" s="6"/>
      <c r="L252" s="6"/>
      <c r="M252" s="85">
        <f>(I252*J252)</f>
        <v>0</v>
      </c>
      <c r="N252" s="7">
        <f>I252-M252</f>
        <v>0</v>
      </c>
    </row>
    <row r="253" spans="1:14" ht="15.75" thickBot="1" x14ac:dyDescent="0.3">
      <c r="A253" s="24" t="s">
        <v>10</v>
      </c>
      <c r="B253" s="21"/>
      <c r="C253" s="22">
        <f t="shared" ref="C253:I253" si="25">SUM(C231:C252)</f>
        <v>104642980.9363699</v>
      </c>
      <c r="D253" s="65">
        <f t="shared" si="25"/>
        <v>0</v>
      </c>
      <c r="E253" s="65">
        <f t="shared" si="25"/>
        <v>9569702.9466523863</v>
      </c>
      <c r="F253" s="46">
        <f t="shared" si="25"/>
        <v>0</v>
      </c>
      <c r="G253" s="61">
        <f t="shared" si="25"/>
        <v>0</v>
      </c>
      <c r="H253" s="22">
        <f t="shared" si="25"/>
        <v>4474719.4743138319</v>
      </c>
      <c r="I253" s="22">
        <f t="shared" si="25"/>
        <v>114212683.88302229</v>
      </c>
      <c r="J253" s="22" t="s">
        <v>0</v>
      </c>
      <c r="K253" s="22">
        <f>SUM(K231:K252)</f>
        <v>0</v>
      </c>
      <c r="L253" s="22">
        <f>SUM(L231:L252)</f>
        <v>0</v>
      </c>
      <c r="M253" s="22">
        <f>SUM(M231:M252)</f>
        <v>9507077.4622770194</v>
      </c>
      <c r="N253" s="22">
        <f>SUM(N231:N252)</f>
        <v>104705606.42074527</v>
      </c>
    </row>
    <row r="254" spans="1:14" ht="15.75" thickTop="1" x14ac:dyDescent="0.25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99"/>
  <sheetViews>
    <sheetView topLeftCell="A214" zoomScale="85" zoomScaleNormal="85" workbookViewId="0">
      <selection activeCell="D226" sqref="D226"/>
    </sheetView>
  </sheetViews>
  <sheetFormatPr defaultRowHeight="15" x14ac:dyDescent="0.25"/>
  <cols>
    <col min="1" max="1" width="9" customWidth="1"/>
    <col min="2" max="2" width="43.7109375" bestFit="1" customWidth="1"/>
    <col min="3" max="3" width="15.7109375" customWidth="1"/>
    <col min="4" max="4" width="13.85546875" style="1" bestFit="1" customWidth="1"/>
    <col min="5" max="5" width="16" style="1" bestFit="1" customWidth="1"/>
    <col min="6" max="6" width="12.140625" style="1" bestFit="1" customWidth="1"/>
    <col min="7" max="7" width="13" style="1" bestFit="1" customWidth="1"/>
    <col min="8" max="8" width="14.42578125" style="1" bestFit="1" customWidth="1"/>
    <col min="9" max="9" width="15.28515625" style="1" bestFit="1" customWidth="1"/>
    <col min="10" max="10" width="10" style="1" customWidth="1"/>
    <col min="11" max="11" width="12.85546875" style="1" customWidth="1"/>
    <col min="12" max="12" width="13" style="1" bestFit="1" customWidth="1"/>
    <col min="13" max="13" width="14.42578125" style="82" bestFit="1" customWidth="1"/>
    <col min="14" max="14" width="14.7109375" bestFit="1" customWidth="1"/>
  </cols>
  <sheetData>
    <row r="1" spans="1:14" x14ac:dyDescent="0.25">
      <c r="A1">
        <v>2018</v>
      </c>
      <c r="B1" t="s">
        <v>66</v>
      </c>
    </row>
    <row r="2" spans="1:14" ht="30" x14ac:dyDescent="0.25">
      <c r="A2" s="23" t="s">
        <v>1</v>
      </c>
      <c r="B2" s="2" t="s">
        <v>2</v>
      </c>
      <c r="C2" s="2" t="s">
        <v>58</v>
      </c>
      <c r="D2" s="3" t="s">
        <v>60</v>
      </c>
      <c r="E2" s="3" t="s">
        <v>59</v>
      </c>
      <c r="F2" s="3" t="s">
        <v>3</v>
      </c>
      <c r="G2" s="3" t="s">
        <v>11</v>
      </c>
      <c r="H2" s="3" t="s">
        <v>4</v>
      </c>
      <c r="I2" s="3" t="s">
        <v>5</v>
      </c>
      <c r="J2" s="3" t="s">
        <v>56</v>
      </c>
      <c r="K2" s="3" t="s">
        <v>57</v>
      </c>
      <c r="L2" s="3" t="s">
        <v>6</v>
      </c>
      <c r="M2" s="83" t="s">
        <v>61</v>
      </c>
      <c r="N2" s="4" t="s">
        <v>7</v>
      </c>
    </row>
    <row r="3" spans="1:14" x14ac:dyDescent="0.25">
      <c r="A3" s="23"/>
      <c r="B3" s="2"/>
      <c r="C3" s="47"/>
      <c r="D3" s="62"/>
      <c r="E3" s="11"/>
      <c r="F3" s="5"/>
      <c r="G3" s="5"/>
      <c r="H3" s="5"/>
      <c r="I3" s="48"/>
      <c r="J3" s="49"/>
      <c r="K3" s="5"/>
      <c r="L3" s="5"/>
      <c r="M3" s="84"/>
      <c r="N3" s="50"/>
    </row>
    <row r="4" spans="1:14" x14ac:dyDescent="0.25">
      <c r="A4" s="8">
        <v>1</v>
      </c>
      <c r="B4" s="9" t="s">
        <v>67</v>
      </c>
      <c r="C4" s="10">
        <v>33378547</v>
      </c>
      <c r="D4" s="63">
        <f>59040+143224</f>
        <v>202264</v>
      </c>
      <c r="E4" s="11"/>
      <c r="F4" s="6"/>
      <c r="G4" s="6"/>
      <c r="H4" s="7">
        <f>SUM(D4+G4)/2</f>
        <v>101132</v>
      </c>
      <c r="I4" s="56">
        <f>C4+H4</f>
        <v>33479679</v>
      </c>
      <c r="J4" s="55">
        <v>0.04</v>
      </c>
      <c r="K4" s="6"/>
      <c r="L4" s="6"/>
      <c r="M4" s="85">
        <f t="shared" ref="M4:M22" si="0">I4*J4</f>
        <v>1339187.1599999999</v>
      </c>
      <c r="N4" s="7">
        <f t="shared" ref="N4:N22" si="1">H4+I4-M4</f>
        <v>32241623.84</v>
      </c>
    </row>
    <row r="5" spans="1:14" x14ac:dyDescent="0.25">
      <c r="A5" s="8">
        <v>1</v>
      </c>
      <c r="B5" s="9" t="s">
        <v>72</v>
      </c>
      <c r="C5" s="10"/>
      <c r="D5" s="63"/>
      <c r="E5" s="11">
        <v>0</v>
      </c>
      <c r="F5" s="6"/>
      <c r="G5" s="6"/>
      <c r="H5" s="7">
        <f>SUM(D5+G5)/2</f>
        <v>0</v>
      </c>
      <c r="I5" s="56">
        <f>E5</f>
        <v>0</v>
      </c>
      <c r="J5" s="55">
        <f>J4*1.5</f>
        <v>0.06</v>
      </c>
      <c r="K5" s="6"/>
      <c r="L5" s="6"/>
      <c r="M5" s="85">
        <f t="shared" si="0"/>
        <v>0</v>
      </c>
      <c r="N5" s="7">
        <f>H5+I5-M5</f>
        <v>0</v>
      </c>
    </row>
    <row r="6" spans="1:14" x14ac:dyDescent="0.25">
      <c r="A6" s="14">
        <v>2</v>
      </c>
      <c r="B6" s="9" t="s">
        <v>68</v>
      </c>
      <c r="C6" s="10">
        <v>4949174</v>
      </c>
      <c r="D6" s="63">
        <v>0</v>
      </c>
      <c r="E6" s="11">
        <v>0</v>
      </c>
      <c r="F6" s="6" t="s">
        <v>0</v>
      </c>
      <c r="G6" s="6"/>
      <c r="H6" s="7">
        <f>SUM(D6+G6)/2</f>
        <v>0</v>
      </c>
      <c r="I6" s="56">
        <f>C6+H6</f>
        <v>4949174</v>
      </c>
      <c r="J6" s="55">
        <v>0.06</v>
      </c>
      <c r="K6" s="6"/>
      <c r="L6" s="6"/>
      <c r="M6" s="85">
        <f t="shared" si="0"/>
        <v>296950.44</v>
      </c>
      <c r="N6" s="7">
        <f t="shared" si="1"/>
        <v>4652223.5599999996</v>
      </c>
    </row>
    <row r="7" spans="1:14" x14ac:dyDescent="0.25">
      <c r="A7" s="15">
        <v>8</v>
      </c>
      <c r="B7" s="16" t="s">
        <v>69</v>
      </c>
      <c r="C7" s="10">
        <v>2111506</v>
      </c>
      <c r="D7" s="63">
        <f>341775+65529</f>
        <v>407304</v>
      </c>
      <c r="E7" s="11">
        <v>0</v>
      </c>
      <c r="F7" s="6"/>
      <c r="G7" s="6"/>
      <c r="H7" s="7">
        <f>SUM(D7+G7)/2</f>
        <v>203652</v>
      </c>
      <c r="I7" s="56">
        <f>C7+H7</f>
        <v>2315158</v>
      </c>
      <c r="J7" s="55">
        <v>0.2</v>
      </c>
      <c r="K7" s="6"/>
      <c r="L7" s="6"/>
      <c r="M7" s="85">
        <f t="shared" si="0"/>
        <v>463031.60000000003</v>
      </c>
      <c r="N7" s="7">
        <f t="shared" si="1"/>
        <v>2055778.4</v>
      </c>
    </row>
    <row r="8" spans="1:14" x14ac:dyDescent="0.25">
      <c r="A8" s="15">
        <v>8</v>
      </c>
      <c r="B8" s="16" t="s">
        <v>62</v>
      </c>
      <c r="C8" s="10"/>
      <c r="D8" s="63"/>
      <c r="E8" s="11">
        <v>0</v>
      </c>
      <c r="F8" s="6"/>
      <c r="G8" s="6"/>
      <c r="H8" s="7">
        <f>SUM(D8+G8)/2</f>
        <v>0</v>
      </c>
      <c r="I8" s="56">
        <f>E8</f>
        <v>0</v>
      </c>
      <c r="J8" s="55">
        <f>J7*1.5</f>
        <v>0.30000000000000004</v>
      </c>
      <c r="K8" s="6"/>
      <c r="L8" s="6"/>
      <c r="M8" s="85">
        <f t="shared" si="0"/>
        <v>0</v>
      </c>
      <c r="N8" s="7">
        <f t="shared" si="1"/>
        <v>0</v>
      </c>
    </row>
    <row r="9" spans="1:14" x14ac:dyDescent="0.25">
      <c r="A9" s="8">
        <v>10</v>
      </c>
      <c r="B9" s="9" t="s">
        <v>70</v>
      </c>
      <c r="C9" s="10">
        <v>3734</v>
      </c>
      <c r="D9" s="63">
        <v>0</v>
      </c>
      <c r="E9" s="11">
        <v>0</v>
      </c>
      <c r="F9" s="6"/>
      <c r="G9" s="6">
        <v>0</v>
      </c>
      <c r="H9" s="7">
        <f t="shared" ref="H9:H21" si="2">SUM(D9+G9)/2</f>
        <v>0</v>
      </c>
      <c r="I9" s="56">
        <f>C9+H9</f>
        <v>3734</v>
      </c>
      <c r="J9" s="55">
        <v>0.3</v>
      </c>
      <c r="K9" s="6"/>
      <c r="L9" s="6"/>
      <c r="M9" s="85">
        <f t="shared" si="0"/>
        <v>1120.2</v>
      </c>
      <c r="N9" s="7">
        <f t="shared" si="1"/>
        <v>2613.8000000000002</v>
      </c>
    </row>
    <row r="10" spans="1:14" x14ac:dyDescent="0.25">
      <c r="A10" s="15">
        <v>12</v>
      </c>
      <c r="B10" s="17" t="s">
        <v>71</v>
      </c>
      <c r="C10" s="10">
        <v>73399</v>
      </c>
      <c r="D10" s="63">
        <f>109408+15188</f>
        <v>124596</v>
      </c>
      <c r="E10" s="11">
        <v>0</v>
      </c>
      <c r="F10" s="6">
        <v>137048</v>
      </c>
      <c r="G10" s="6"/>
      <c r="H10" s="7">
        <f t="shared" si="2"/>
        <v>62298</v>
      </c>
      <c r="I10" s="56">
        <f>C10+H10+F10</f>
        <v>272745</v>
      </c>
      <c r="J10" s="55">
        <v>1</v>
      </c>
      <c r="K10" s="6"/>
      <c r="L10" s="6"/>
      <c r="M10" s="86">
        <f t="shared" si="0"/>
        <v>272745</v>
      </c>
      <c r="N10" s="7">
        <f t="shared" si="1"/>
        <v>62298</v>
      </c>
    </row>
    <row r="11" spans="1:14" x14ac:dyDescent="0.25">
      <c r="A11" s="15">
        <v>12</v>
      </c>
      <c r="B11" s="9" t="s">
        <v>79</v>
      </c>
      <c r="C11" s="10"/>
      <c r="D11" s="63"/>
      <c r="E11" s="11">
        <v>0</v>
      </c>
      <c r="F11" s="6"/>
      <c r="G11" s="6"/>
      <c r="H11" s="7">
        <f t="shared" si="2"/>
        <v>0</v>
      </c>
      <c r="I11" s="56">
        <f>E11</f>
        <v>0</v>
      </c>
      <c r="J11" s="55">
        <f>J10</f>
        <v>1</v>
      </c>
      <c r="K11" s="6"/>
      <c r="L11" s="6"/>
      <c r="M11" s="86">
        <f t="shared" si="0"/>
        <v>0</v>
      </c>
      <c r="N11" s="7">
        <f t="shared" si="1"/>
        <v>0</v>
      </c>
    </row>
    <row r="12" spans="1:14" x14ac:dyDescent="0.25">
      <c r="A12" s="26">
        <v>14.1</v>
      </c>
      <c r="B12" s="58" t="s">
        <v>73</v>
      </c>
      <c r="C12" s="10">
        <v>456612</v>
      </c>
      <c r="D12" s="63">
        <v>0</v>
      </c>
      <c r="E12" s="11"/>
      <c r="F12" s="28"/>
      <c r="G12" s="28"/>
      <c r="H12" s="7">
        <f t="shared" si="2"/>
        <v>0</v>
      </c>
      <c r="I12" s="56">
        <f>C12+H12</f>
        <v>456612</v>
      </c>
      <c r="J12" s="12">
        <v>7.0000000000000007E-2</v>
      </c>
      <c r="K12" s="28"/>
      <c r="L12" s="28"/>
      <c r="M12" s="88">
        <f t="shared" si="0"/>
        <v>31962.840000000004</v>
      </c>
      <c r="N12" s="7">
        <f t="shared" si="1"/>
        <v>424649.16</v>
      </c>
    </row>
    <row r="13" spans="1:14" x14ac:dyDescent="0.25">
      <c r="A13" s="26">
        <v>14.1</v>
      </c>
      <c r="B13" s="58" t="s">
        <v>74</v>
      </c>
      <c r="C13" s="10"/>
      <c r="D13" s="63">
        <f>302221+120987</f>
        <v>423208</v>
      </c>
      <c r="E13" s="11"/>
      <c r="F13" s="28"/>
      <c r="G13" s="28"/>
      <c r="H13" s="7">
        <f t="shared" si="2"/>
        <v>211604</v>
      </c>
      <c r="I13" s="52">
        <f>C13+H13</f>
        <v>211604</v>
      </c>
      <c r="J13" s="12">
        <v>0.05</v>
      </c>
      <c r="K13" s="28"/>
      <c r="L13" s="28"/>
      <c r="M13" s="88">
        <f t="shared" si="0"/>
        <v>10580.2</v>
      </c>
      <c r="N13" s="7">
        <f t="shared" si="1"/>
        <v>412627.8</v>
      </c>
    </row>
    <row r="14" spans="1:14" x14ac:dyDescent="0.25">
      <c r="A14" s="26">
        <v>14.1</v>
      </c>
      <c r="B14" s="27" t="s">
        <v>74</v>
      </c>
      <c r="C14" s="10"/>
      <c r="D14" s="63">
        <v>0</v>
      </c>
      <c r="E14" s="11">
        <v>0</v>
      </c>
      <c r="F14" s="28"/>
      <c r="G14" s="28"/>
      <c r="H14" s="7">
        <f t="shared" si="2"/>
        <v>0</v>
      </c>
      <c r="I14" s="56">
        <f>E14</f>
        <v>0</v>
      </c>
      <c r="J14" s="55">
        <f>J13*1.5</f>
        <v>7.5000000000000011E-2</v>
      </c>
      <c r="K14" s="28"/>
      <c r="L14" s="28"/>
      <c r="M14" s="86">
        <f t="shared" si="0"/>
        <v>0</v>
      </c>
      <c r="N14" s="7">
        <f t="shared" si="1"/>
        <v>0</v>
      </c>
    </row>
    <row r="15" spans="1:14" x14ac:dyDescent="0.25">
      <c r="A15" s="15">
        <v>17</v>
      </c>
      <c r="B15" s="17" t="s">
        <v>75</v>
      </c>
      <c r="C15" s="10">
        <v>289883</v>
      </c>
      <c r="D15" s="63">
        <v>0</v>
      </c>
      <c r="E15" s="11"/>
      <c r="F15" s="6"/>
      <c r="G15" s="6"/>
      <c r="H15" s="7">
        <f t="shared" si="2"/>
        <v>0</v>
      </c>
      <c r="I15" s="52">
        <f>C15+H15</f>
        <v>289883</v>
      </c>
      <c r="J15" s="55">
        <v>0.08</v>
      </c>
      <c r="K15" s="6"/>
      <c r="L15" s="51"/>
      <c r="M15" s="88">
        <f t="shared" si="0"/>
        <v>23190.639999999999</v>
      </c>
      <c r="N15" s="7">
        <f t="shared" si="1"/>
        <v>266692.36</v>
      </c>
    </row>
    <row r="16" spans="1:14" x14ac:dyDescent="0.25">
      <c r="A16" s="26">
        <v>43.2</v>
      </c>
      <c r="B16" s="58" t="s">
        <v>76</v>
      </c>
      <c r="C16" s="10">
        <v>27050</v>
      </c>
      <c r="D16" s="63">
        <v>0</v>
      </c>
      <c r="E16" s="11"/>
      <c r="F16" s="28"/>
      <c r="G16" s="28"/>
      <c r="H16" s="7">
        <f t="shared" si="2"/>
        <v>0</v>
      </c>
      <c r="I16" s="52">
        <f>C16+H16</f>
        <v>27050</v>
      </c>
      <c r="J16" s="12">
        <v>0.5</v>
      </c>
      <c r="K16" s="28"/>
      <c r="L16" s="28"/>
      <c r="M16" s="86">
        <f t="shared" si="0"/>
        <v>13525</v>
      </c>
      <c r="N16" s="7">
        <f t="shared" si="1"/>
        <v>13525</v>
      </c>
    </row>
    <row r="17" spans="1:14" x14ac:dyDescent="0.25">
      <c r="A17" s="8">
        <v>45</v>
      </c>
      <c r="B17" s="9" t="s">
        <v>77</v>
      </c>
      <c r="C17" s="10">
        <v>310</v>
      </c>
      <c r="D17" s="64">
        <v>0</v>
      </c>
      <c r="E17" s="11"/>
      <c r="F17" s="6"/>
      <c r="G17" s="6"/>
      <c r="H17" s="7">
        <f t="shared" si="2"/>
        <v>0</v>
      </c>
      <c r="I17" s="56">
        <f>C17+H17</f>
        <v>310</v>
      </c>
      <c r="J17" s="55">
        <v>0.45</v>
      </c>
      <c r="K17" s="6"/>
      <c r="L17" s="6"/>
      <c r="M17" s="88">
        <f t="shared" si="0"/>
        <v>139.5</v>
      </c>
      <c r="N17" s="7">
        <f>H17+I17-M17</f>
        <v>170.5</v>
      </c>
    </row>
    <row r="18" spans="1:14" x14ac:dyDescent="0.25">
      <c r="A18" s="15">
        <v>47</v>
      </c>
      <c r="B18" s="16" t="s">
        <v>78</v>
      </c>
      <c r="C18" s="10">
        <v>39491718</v>
      </c>
      <c r="D18" s="63">
        <f>6168372+1017915</f>
        <v>7186287</v>
      </c>
      <c r="E18" s="11">
        <v>0</v>
      </c>
      <c r="F18" s="6">
        <v>-137048</v>
      </c>
      <c r="G18" s="6">
        <v>0</v>
      </c>
      <c r="H18" s="7">
        <f t="shared" si="2"/>
        <v>3593143.5</v>
      </c>
      <c r="I18" s="56">
        <f>C18+H18+F18</f>
        <v>42947813.5</v>
      </c>
      <c r="J18" s="55">
        <v>0.08</v>
      </c>
      <c r="K18" s="6"/>
      <c r="L18" s="6"/>
      <c r="M18" s="88">
        <f t="shared" si="0"/>
        <v>3435825.08</v>
      </c>
      <c r="N18" s="7">
        <f t="shared" si="1"/>
        <v>43105131.920000002</v>
      </c>
    </row>
    <row r="19" spans="1:14" x14ac:dyDescent="0.25">
      <c r="A19" s="15">
        <v>47</v>
      </c>
      <c r="B19" s="16" t="s">
        <v>80</v>
      </c>
      <c r="C19" s="10"/>
      <c r="D19" s="63"/>
      <c r="E19" s="11">
        <v>0</v>
      </c>
      <c r="F19" s="6">
        <v>0</v>
      </c>
      <c r="G19" s="6"/>
      <c r="H19" s="7">
        <f t="shared" si="2"/>
        <v>0</v>
      </c>
      <c r="I19" s="56">
        <f>E19</f>
        <v>0</v>
      </c>
      <c r="J19" s="55">
        <f>J18*1.5</f>
        <v>0.12</v>
      </c>
      <c r="K19" s="6"/>
      <c r="L19" s="6"/>
      <c r="M19" s="86">
        <f t="shared" si="0"/>
        <v>0</v>
      </c>
      <c r="N19" s="7">
        <f t="shared" si="1"/>
        <v>0</v>
      </c>
    </row>
    <row r="20" spans="1:14" x14ac:dyDescent="0.25">
      <c r="A20" s="8">
        <v>50</v>
      </c>
      <c r="B20" s="9" t="s">
        <v>77</v>
      </c>
      <c r="C20" s="10">
        <v>86109</v>
      </c>
      <c r="D20" s="63">
        <f>16478+40552</f>
        <v>57030</v>
      </c>
      <c r="E20" s="11">
        <v>0</v>
      </c>
      <c r="F20" s="6">
        <v>0</v>
      </c>
      <c r="G20" s="6"/>
      <c r="H20" s="7">
        <f t="shared" si="2"/>
        <v>28515</v>
      </c>
      <c r="I20" s="52">
        <f>C20+H20</f>
        <v>114624</v>
      </c>
      <c r="J20" s="12">
        <v>0.55000000000000004</v>
      </c>
      <c r="K20" s="6"/>
      <c r="L20" s="6"/>
      <c r="M20" s="88">
        <f t="shared" si="0"/>
        <v>63043.200000000004</v>
      </c>
      <c r="N20" s="7">
        <f t="shared" si="1"/>
        <v>80095.799999999988</v>
      </c>
    </row>
    <row r="21" spans="1:14" x14ac:dyDescent="0.25">
      <c r="A21" s="66">
        <v>50</v>
      </c>
      <c r="B21" s="9" t="s">
        <v>81</v>
      </c>
      <c r="C21" s="10"/>
      <c r="D21" s="63"/>
      <c r="E21" s="11">
        <v>0</v>
      </c>
      <c r="F21" s="28"/>
      <c r="G21" s="28"/>
      <c r="H21" s="7">
        <f t="shared" si="2"/>
        <v>0</v>
      </c>
      <c r="I21" s="56">
        <f>E21</f>
        <v>0</v>
      </c>
      <c r="J21" s="55">
        <f>J20*1.5</f>
        <v>0.82500000000000007</v>
      </c>
      <c r="K21" s="28"/>
      <c r="L21" s="28"/>
      <c r="M21" s="86">
        <f t="shared" si="0"/>
        <v>0</v>
      </c>
      <c r="N21" s="7">
        <f t="shared" si="1"/>
        <v>0</v>
      </c>
    </row>
    <row r="22" spans="1:14" ht="15.75" x14ac:dyDescent="0.25">
      <c r="A22" s="18">
        <v>95</v>
      </c>
      <c r="B22" s="19" t="s">
        <v>9</v>
      </c>
      <c r="C22" s="10">
        <v>242557</v>
      </c>
      <c r="D22" s="63">
        <v>710660</v>
      </c>
      <c r="E22" s="11"/>
      <c r="F22" s="6">
        <v>0</v>
      </c>
      <c r="G22" s="20"/>
      <c r="H22" s="11">
        <v>0</v>
      </c>
      <c r="I22" s="11">
        <f>C22+D22+F22</f>
        <v>953217</v>
      </c>
      <c r="J22" s="12">
        <v>0</v>
      </c>
      <c r="K22" s="6"/>
      <c r="L22" s="6"/>
      <c r="M22" s="88">
        <f t="shared" si="0"/>
        <v>0</v>
      </c>
      <c r="N22" s="13">
        <f t="shared" si="1"/>
        <v>953217</v>
      </c>
    </row>
    <row r="23" spans="1:14" ht="15.75" thickBot="1" x14ac:dyDescent="0.3">
      <c r="A23" s="24" t="s">
        <v>10</v>
      </c>
      <c r="B23" s="21"/>
      <c r="C23" s="22">
        <f t="shared" ref="C23:I23" si="3">SUM(C4:C22)</f>
        <v>81110599</v>
      </c>
      <c r="D23" s="65">
        <f t="shared" si="3"/>
        <v>9111349</v>
      </c>
      <c r="E23" s="65">
        <f t="shared" si="3"/>
        <v>0</v>
      </c>
      <c r="F23" s="46">
        <f t="shared" si="3"/>
        <v>0</v>
      </c>
      <c r="G23" s="61">
        <f t="shared" si="3"/>
        <v>0</v>
      </c>
      <c r="H23" s="22">
        <f t="shared" si="3"/>
        <v>4200344.5</v>
      </c>
      <c r="I23" s="22">
        <f t="shared" si="3"/>
        <v>86021603.5</v>
      </c>
      <c r="J23" s="22" t="s">
        <v>0</v>
      </c>
      <c r="K23" s="22">
        <f>SUM(K4:K22)</f>
        <v>0</v>
      </c>
      <c r="L23" s="22">
        <f>SUM(L4:L22)</f>
        <v>0</v>
      </c>
      <c r="M23" s="22">
        <f>SUM(M4:M22)</f>
        <v>5951300.8600000003</v>
      </c>
      <c r="N23" s="22">
        <f>SUM(N4:N22)</f>
        <v>84270647.139999986</v>
      </c>
    </row>
    <row r="24" spans="1:14" ht="15.75" thickTop="1" x14ac:dyDescent="0.25"/>
    <row r="25" spans="1:14" x14ac:dyDescent="0.25">
      <c r="A25" t="s">
        <v>95</v>
      </c>
      <c r="B25" t="s">
        <v>66</v>
      </c>
      <c r="D25" s="67"/>
      <c r="E25" s="67"/>
    </row>
    <row r="26" spans="1:14" ht="45" x14ac:dyDescent="0.25">
      <c r="A26" s="23" t="s">
        <v>1</v>
      </c>
      <c r="B26" s="2" t="s">
        <v>2</v>
      </c>
      <c r="C26" s="2" t="s">
        <v>63</v>
      </c>
      <c r="D26" s="3" t="s">
        <v>65</v>
      </c>
      <c r="E26" s="3" t="s">
        <v>83</v>
      </c>
      <c r="F26" s="3" t="s">
        <v>3</v>
      </c>
      <c r="G26" s="3" t="s">
        <v>11</v>
      </c>
      <c r="H26" s="3" t="s">
        <v>4</v>
      </c>
      <c r="I26" s="3" t="s">
        <v>5</v>
      </c>
      <c r="J26" s="3" t="s">
        <v>56</v>
      </c>
      <c r="K26" s="3" t="s">
        <v>57</v>
      </c>
      <c r="L26" s="3" t="s">
        <v>6</v>
      </c>
      <c r="M26" s="83" t="s">
        <v>64</v>
      </c>
      <c r="N26" s="4" t="s">
        <v>7</v>
      </c>
    </row>
    <row r="27" spans="1:14" x14ac:dyDescent="0.25">
      <c r="A27" s="23"/>
      <c r="B27" s="2"/>
      <c r="C27" s="47"/>
      <c r="D27" s="62"/>
      <c r="E27" s="11"/>
      <c r="F27" s="5"/>
      <c r="G27" s="5"/>
      <c r="H27" s="5"/>
      <c r="I27" s="48"/>
      <c r="J27" s="49"/>
      <c r="K27" s="5"/>
      <c r="L27" s="5"/>
      <c r="M27" s="84"/>
      <c r="N27" s="50"/>
    </row>
    <row r="28" spans="1:14" x14ac:dyDescent="0.25">
      <c r="A28" s="8">
        <v>1</v>
      </c>
      <c r="B28" s="9" t="s">
        <v>67</v>
      </c>
      <c r="C28" s="10">
        <f>N4</f>
        <v>32241623.84</v>
      </c>
      <c r="D28" s="63">
        <v>7915</v>
      </c>
      <c r="E28" s="11"/>
      <c r="F28" s="6"/>
      <c r="G28" s="6"/>
      <c r="H28" s="56">
        <f>SUM(D28+G28)/2</f>
        <v>3957.5</v>
      </c>
      <c r="I28" s="59">
        <f>C28+H28</f>
        <v>32245581.34</v>
      </c>
      <c r="J28" s="55">
        <v>0.04</v>
      </c>
      <c r="K28" s="6"/>
      <c r="L28" s="6"/>
      <c r="M28" s="85">
        <f>(I28*J28)/365*90</f>
        <v>318038.61047671235</v>
      </c>
      <c r="N28" s="7">
        <f t="shared" ref="N28:N45" si="4">H28+I28-M28</f>
        <v>31931500.229523286</v>
      </c>
    </row>
    <row r="29" spans="1:14" x14ac:dyDescent="0.25">
      <c r="A29" s="8">
        <v>1</v>
      </c>
      <c r="B29" s="9" t="s">
        <v>72</v>
      </c>
      <c r="C29" s="10">
        <f t="shared" ref="C29:C46" si="5">N5</f>
        <v>0</v>
      </c>
      <c r="D29" s="63">
        <v>0</v>
      </c>
      <c r="E29" s="11">
        <v>0</v>
      </c>
      <c r="F29" s="6" t="s">
        <v>0</v>
      </c>
      <c r="G29" s="6"/>
      <c r="H29" s="56">
        <f t="shared" ref="H29:H46" si="6">SUM(D29+G29)/2</f>
        <v>0</v>
      </c>
      <c r="I29" s="56">
        <f>E29</f>
        <v>0</v>
      </c>
      <c r="J29" s="55">
        <f>J28*1.5</f>
        <v>0.06</v>
      </c>
      <c r="K29" s="6"/>
      <c r="L29" s="6"/>
      <c r="M29" s="85">
        <f t="shared" ref="M29:M46" si="7">(I29*J29)/365*90</f>
        <v>0</v>
      </c>
      <c r="N29" s="7">
        <f t="shared" si="4"/>
        <v>0</v>
      </c>
    </row>
    <row r="30" spans="1:14" x14ac:dyDescent="0.25">
      <c r="A30" s="14">
        <v>2</v>
      </c>
      <c r="B30" s="9" t="s">
        <v>68</v>
      </c>
      <c r="C30" s="10">
        <f t="shared" si="5"/>
        <v>4652223.5599999996</v>
      </c>
      <c r="D30" s="63">
        <v>0</v>
      </c>
      <c r="E30" s="11">
        <v>0</v>
      </c>
      <c r="F30" s="6"/>
      <c r="G30" s="6"/>
      <c r="H30" s="56">
        <f t="shared" si="6"/>
        <v>0</v>
      </c>
      <c r="I30" s="56">
        <f t="shared" ref="I30:I44" si="8">C30+H30</f>
        <v>4652223.5599999996</v>
      </c>
      <c r="J30" s="55">
        <v>0.06</v>
      </c>
      <c r="K30" s="6"/>
      <c r="L30" s="6"/>
      <c r="M30" s="85">
        <f t="shared" si="7"/>
        <v>68827.417052054792</v>
      </c>
      <c r="N30" s="7">
        <f t="shared" si="4"/>
        <v>4583396.1429479448</v>
      </c>
    </row>
    <row r="31" spans="1:14" x14ac:dyDescent="0.25">
      <c r="A31" s="15">
        <v>8</v>
      </c>
      <c r="B31" s="16" t="s">
        <v>69</v>
      </c>
      <c r="C31" s="10">
        <f t="shared" si="5"/>
        <v>2055778.4</v>
      </c>
      <c r="D31" s="1">
        <v>30502</v>
      </c>
      <c r="E31" s="63">
        <v>0</v>
      </c>
      <c r="F31" s="6"/>
      <c r="G31" s="6"/>
      <c r="H31" s="56">
        <f t="shared" si="6"/>
        <v>15251</v>
      </c>
      <c r="I31" s="56">
        <f t="shared" si="8"/>
        <v>2071029.4</v>
      </c>
      <c r="J31" s="55">
        <v>0.2</v>
      </c>
      <c r="K31" s="6"/>
      <c r="L31" s="6"/>
      <c r="M31" s="85">
        <f t="shared" si="7"/>
        <v>102132.95671232876</v>
      </c>
      <c r="N31" s="7">
        <f t="shared" si="4"/>
        <v>1984147.4432876711</v>
      </c>
    </row>
    <row r="32" spans="1:14" x14ac:dyDescent="0.25">
      <c r="A32" s="15">
        <v>8</v>
      </c>
      <c r="B32" s="16" t="s">
        <v>62</v>
      </c>
      <c r="C32" s="10">
        <f t="shared" si="5"/>
        <v>0</v>
      </c>
      <c r="D32" s="63">
        <v>0</v>
      </c>
      <c r="E32" s="11"/>
      <c r="F32" s="6"/>
      <c r="G32" s="6"/>
      <c r="H32" s="56">
        <f>SUM(D32+G32)/2</f>
        <v>0</v>
      </c>
      <c r="I32" s="56">
        <f>E32</f>
        <v>0</v>
      </c>
      <c r="J32" s="55">
        <f>J31*1.5</f>
        <v>0.30000000000000004</v>
      </c>
      <c r="K32" s="6"/>
      <c r="L32" s="6"/>
      <c r="M32" s="85">
        <f t="shared" si="7"/>
        <v>0</v>
      </c>
      <c r="N32" s="7">
        <f t="shared" si="4"/>
        <v>0</v>
      </c>
    </row>
    <row r="33" spans="1:14" x14ac:dyDescent="0.25">
      <c r="A33" s="8">
        <v>10</v>
      </c>
      <c r="B33" s="9" t="s">
        <v>70</v>
      </c>
      <c r="C33" s="10">
        <f t="shared" si="5"/>
        <v>2613.8000000000002</v>
      </c>
      <c r="D33" s="63">
        <v>0</v>
      </c>
      <c r="E33" s="11"/>
      <c r="F33" s="6"/>
      <c r="G33" s="6">
        <v>0</v>
      </c>
      <c r="H33" s="56">
        <f t="shared" si="6"/>
        <v>0</v>
      </c>
      <c r="I33" s="56">
        <f t="shared" si="8"/>
        <v>2613.8000000000002</v>
      </c>
      <c r="J33" s="55">
        <v>0.3</v>
      </c>
      <c r="K33" s="6"/>
      <c r="L33" s="6"/>
      <c r="M33" s="85">
        <f t="shared" si="7"/>
        <v>193.3495890410959</v>
      </c>
      <c r="N33" s="7">
        <f t="shared" si="4"/>
        <v>2420.4504109589043</v>
      </c>
    </row>
    <row r="34" spans="1:14" x14ac:dyDescent="0.25">
      <c r="A34" s="15">
        <v>12</v>
      </c>
      <c r="B34" s="17" t="s">
        <v>71</v>
      </c>
      <c r="C34" s="10">
        <f t="shared" si="5"/>
        <v>62298</v>
      </c>
      <c r="D34" s="63">
        <v>8866</v>
      </c>
      <c r="E34" s="11"/>
      <c r="F34" s="6"/>
      <c r="G34" s="6"/>
      <c r="H34" s="56">
        <f t="shared" si="6"/>
        <v>4433</v>
      </c>
      <c r="I34" s="56">
        <f t="shared" si="8"/>
        <v>66731</v>
      </c>
      <c r="J34" s="55">
        <v>1</v>
      </c>
      <c r="K34" s="6"/>
      <c r="L34" s="6"/>
      <c r="M34" s="85">
        <f t="shared" si="7"/>
        <v>16454.219178082192</v>
      </c>
      <c r="N34" s="7">
        <f>H34+I34-M34</f>
        <v>54709.780821917811</v>
      </c>
    </row>
    <row r="35" spans="1:14" x14ac:dyDescent="0.25">
      <c r="A35" s="15">
        <v>12</v>
      </c>
      <c r="B35" s="9" t="s">
        <v>79</v>
      </c>
      <c r="C35" s="10">
        <f t="shared" si="5"/>
        <v>0</v>
      </c>
      <c r="D35" s="63">
        <v>0</v>
      </c>
      <c r="E35" s="11"/>
      <c r="F35" s="6"/>
      <c r="G35" s="6"/>
      <c r="H35" s="56">
        <f t="shared" si="6"/>
        <v>0</v>
      </c>
      <c r="I35" s="56">
        <f>E35</f>
        <v>0</v>
      </c>
      <c r="J35" s="55">
        <f>J34</f>
        <v>1</v>
      </c>
      <c r="K35" s="6"/>
      <c r="L35" s="6"/>
      <c r="M35" s="85">
        <f t="shared" si="7"/>
        <v>0</v>
      </c>
      <c r="N35" s="7">
        <f t="shared" si="4"/>
        <v>0</v>
      </c>
    </row>
    <row r="36" spans="1:14" x14ac:dyDescent="0.25">
      <c r="A36" s="26">
        <v>14.1</v>
      </c>
      <c r="B36" s="58" t="s">
        <v>73</v>
      </c>
      <c r="C36" s="10">
        <f t="shared" si="5"/>
        <v>424649.16</v>
      </c>
      <c r="D36" s="63">
        <v>0</v>
      </c>
      <c r="E36" s="11"/>
      <c r="F36" s="6"/>
      <c r="G36" s="6"/>
      <c r="H36" s="56">
        <f t="shared" si="6"/>
        <v>0</v>
      </c>
      <c r="I36" s="56">
        <f t="shared" si="8"/>
        <v>424649.16</v>
      </c>
      <c r="J36" s="12">
        <v>7.0000000000000007E-2</v>
      </c>
      <c r="K36" s="6"/>
      <c r="L36" s="6"/>
      <c r="M36" s="85">
        <f t="shared" si="7"/>
        <v>7329.5608438356167</v>
      </c>
      <c r="N36" s="7">
        <f t="shared" si="4"/>
        <v>417319.59915616433</v>
      </c>
    </row>
    <row r="37" spans="1:14" x14ac:dyDescent="0.25">
      <c r="A37" s="26">
        <v>14.1</v>
      </c>
      <c r="B37" s="27" t="s">
        <v>74</v>
      </c>
      <c r="C37" s="10">
        <f t="shared" si="5"/>
        <v>412627.8</v>
      </c>
      <c r="D37" s="63">
        <v>218802</v>
      </c>
      <c r="E37" s="11"/>
      <c r="F37" s="6"/>
      <c r="G37" s="6"/>
      <c r="H37" s="56">
        <f t="shared" si="6"/>
        <v>109401</v>
      </c>
      <c r="I37" s="56">
        <f t="shared" si="8"/>
        <v>522028.79999999999</v>
      </c>
      <c r="J37" s="12">
        <v>0.05</v>
      </c>
      <c r="K37" s="6"/>
      <c r="L37" s="6"/>
      <c r="M37" s="85">
        <f t="shared" si="7"/>
        <v>6435.9715068493151</v>
      </c>
      <c r="N37" s="7">
        <f>H37+I37-M37</f>
        <v>624993.82849315077</v>
      </c>
    </row>
    <row r="38" spans="1:14" x14ac:dyDescent="0.25">
      <c r="A38" s="26">
        <v>14.1</v>
      </c>
      <c r="B38" s="27" t="s">
        <v>82</v>
      </c>
      <c r="C38" s="10">
        <f t="shared" si="5"/>
        <v>0</v>
      </c>
      <c r="D38" s="63">
        <v>0</v>
      </c>
      <c r="E38" s="11"/>
      <c r="F38" s="6"/>
      <c r="G38" s="6"/>
      <c r="H38" s="56">
        <f>SUM(D38+G38)/2</f>
        <v>0</v>
      </c>
      <c r="I38" s="56">
        <f>E38</f>
        <v>0</v>
      </c>
      <c r="J38" s="55">
        <f>J37*1.5</f>
        <v>7.5000000000000011E-2</v>
      </c>
      <c r="K38" s="6"/>
      <c r="L38" s="6"/>
      <c r="M38" s="85">
        <f t="shared" si="7"/>
        <v>0</v>
      </c>
      <c r="N38" s="7">
        <f t="shared" si="4"/>
        <v>0</v>
      </c>
    </row>
    <row r="39" spans="1:14" x14ac:dyDescent="0.25">
      <c r="A39" s="15">
        <v>17</v>
      </c>
      <c r="B39" s="17" t="s">
        <v>75</v>
      </c>
      <c r="C39" s="10">
        <f t="shared" si="5"/>
        <v>266692.36</v>
      </c>
      <c r="D39" s="1">
        <v>0</v>
      </c>
      <c r="E39" s="63"/>
      <c r="F39" s="6"/>
      <c r="G39" s="6"/>
      <c r="H39" s="56">
        <f t="shared" si="6"/>
        <v>0</v>
      </c>
      <c r="I39" s="56">
        <f t="shared" si="8"/>
        <v>266692.36</v>
      </c>
      <c r="J39" s="55">
        <v>0.08</v>
      </c>
      <c r="K39" s="6"/>
      <c r="L39" s="6"/>
      <c r="M39" s="85">
        <f t="shared" si="7"/>
        <v>5260.7807999999995</v>
      </c>
      <c r="N39" s="7">
        <f t="shared" si="4"/>
        <v>261431.57919999998</v>
      </c>
    </row>
    <row r="40" spans="1:14" x14ac:dyDescent="0.25">
      <c r="A40" s="26">
        <v>43.2</v>
      </c>
      <c r="B40" s="58" t="s">
        <v>76</v>
      </c>
      <c r="C40" s="10">
        <f t="shared" si="5"/>
        <v>13525</v>
      </c>
      <c r="D40" s="63">
        <v>0</v>
      </c>
      <c r="E40" s="11"/>
      <c r="F40" s="6"/>
      <c r="G40" s="6"/>
      <c r="H40" s="56">
        <f t="shared" si="6"/>
        <v>0</v>
      </c>
      <c r="I40" s="56">
        <f t="shared" si="8"/>
        <v>13525</v>
      </c>
      <c r="J40" s="12">
        <v>0.5</v>
      </c>
      <c r="K40" s="6"/>
      <c r="L40" s="6"/>
      <c r="M40" s="85">
        <f t="shared" si="7"/>
        <v>1667.4657534246576</v>
      </c>
      <c r="N40" s="7">
        <f t="shared" si="4"/>
        <v>11857.534246575342</v>
      </c>
    </row>
    <row r="41" spans="1:14" x14ac:dyDescent="0.25">
      <c r="A41" s="8">
        <v>45</v>
      </c>
      <c r="B41" s="9" t="s">
        <v>77</v>
      </c>
      <c r="C41" s="10">
        <f t="shared" si="5"/>
        <v>170.5</v>
      </c>
      <c r="D41" s="63">
        <v>0</v>
      </c>
      <c r="E41" s="11"/>
      <c r="F41" s="6"/>
      <c r="G41" s="6"/>
      <c r="H41" s="56">
        <f t="shared" si="6"/>
        <v>0</v>
      </c>
      <c r="I41" s="56">
        <f t="shared" si="8"/>
        <v>170.5</v>
      </c>
      <c r="J41" s="55">
        <v>0.45</v>
      </c>
      <c r="K41" s="6"/>
      <c r="L41" s="51"/>
      <c r="M41" s="85">
        <f t="shared" si="7"/>
        <v>18.918493150684935</v>
      </c>
      <c r="N41" s="7">
        <f t="shared" si="4"/>
        <v>151.58150684931508</v>
      </c>
    </row>
    <row r="42" spans="1:14" x14ac:dyDescent="0.25">
      <c r="A42" s="15">
        <v>47</v>
      </c>
      <c r="B42" s="16" t="s">
        <v>78</v>
      </c>
      <c r="C42" s="10">
        <f t="shared" si="5"/>
        <v>43105131.920000002</v>
      </c>
      <c r="D42" s="63">
        <v>1255609</v>
      </c>
      <c r="E42" s="11"/>
      <c r="F42" s="6"/>
      <c r="G42" s="6"/>
      <c r="H42" s="56">
        <f t="shared" si="6"/>
        <v>627804.5</v>
      </c>
      <c r="I42" s="56">
        <f t="shared" si="8"/>
        <v>43732936.420000002</v>
      </c>
      <c r="J42" s="55">
        <v>0.08</v>
      </c>
      <c r="K42" s="6"/>
      <c r="L42" s="6"/>
      <c r="M42" s="85">
        <f t="shared" si="7"/>
        <v>862677.10198356176</v>
      </c>
      <c r="N42" s="7">
        <f>H42+I42-M42</f>
        <v>43498063.81801644</v>
      </c>
    </row>
    <row r="43" spans="1:14" x14ac:dyDescent="0.25">
      <c r="A43" s="15">
        <v>47</v>
      </c>
      <c r="B43" s="16" t="s">
        <v>80</v>
      </c>
      <c r="C43" s="10">
        <f t="shared" si="5"/>
        <v>0</v>
      </c>
      <c r="D43" s="64">
        <v>0</v>
      </c>
      <c r="E43" s="11"/>
      <c r="F43" s="6"/>
      <c r="G43" s="6"/>
      <c r="H43" s="56">
        <f t="shared" si="6"/>
        <v>0</v>
      </c>
      <c r="I43" s="56">
        <f>E43</f>
        <v>0</v>
      </c>
      <c r="J43" s="55">
        <f>J42*1.5</f>
        <v>0.12</v>
      </c>
      <c r="K43" s="6"/>
      <c r="L43" s="6"/>
      <c r="M43" s="85">
        <f t="shared" si="7"/>
        <v>0</v>
      </c>
      <c r="N43" s="7">
        <f t="shared" si="4"/>
        <v>0</v>
      </c>
    </row>
    <row r="44" spans="1:14" x14ac:dyDescent="0.25">
      <c r="A44" s="8">
        <v>50</v>
      </c>
      <c r="B44" s="9" t="s">
        <v>77</v>
      </c>
      <c r="C44" s="10">
        <f t="shared" si="5"/>
        <v>80095.799999999988</v>
      </c>
      <c r="D44" s="1">
        <v>1201</v>
      </c>
      <c r="E44" s="63"/>
      <c r="F44" s="6">
        <v>0</v>
      </c>
      <c r="G44" s="1">
        <v>0</v>
      </c>
      <c r="H44" s="56">
        <f t="shared" si="6"/>
        <v>600.5</v>
      </c>
      <c r="I44" s="56">
        <f t="shared" si="8"/>
        <v>80696.299999999988</v>
      </c>
      <c r="J44" s="12">
        <v>0.55000000000000004</v>
      </c>
      <c r="K44" s="6"/>
      <c r="L44" s="6"/>
      <c r="M44" s="85">
        <f t="shared" si="7"/>
        <v>10943.744794520548</v>
      </c>
      <c r="N44" s="7">
        <f>H44+I44-M44</f>
        <v>70353.055205479439</v>
      </c>
    </row>
    <row r="45" spans="1:14" x14ac:dyDescent="0.25">
      <c r="A45" s="66">
        <v>50</v>
      </c>
      <c r="B45" s="9" t="s">
        <v>81</v>
      </c>
      <c r="C45" s="10">
        <f t="shared" si="5"/>
        <v>0</v>
      </c>
      <c r="D45" s="63">
        <v>0</v>
      </c>
      <c r="E45" s="11"/>
      <c r="F45" s="6"/>
      <c r="G45" s="6">
        <v>0</v>
      </c>
      <c r="H45" s="56">
        <f t="shared" si="6"/>
        <v>0</v>
      </c>
      <c r="I45" s="56">
        <f>E45</f>
        <v>0</v>
      </c>
      <c r="J45" s="55">
        <f>J44*1.5</f>
        <v>0.82500000000000007</v>
      </c>
      <c r="K45" s="6"/>
      <c r="L45" s="6"/>
      <c r="M45" s="85">
        <f t="shared" si="7"/>
        <v>0</v>
      </c>
      <c r="N45" s="7">
        <f t="shared" si="4"/>
        <v>0</v>
      </c>
    </row>
    <row r="46" spans="1:14" x14ac:dyDescent="0.25">
      <c r="A46" s="18">
        <v>95</v>
      </c>
      <c r="B46" s="19" t="s">
        <v>9</v>
      </c>
      <c r="C46" s="10">
        <f t="shared" si="5"/>
        <v>953217</v>
      </c>
      <c r="D46" s="63">
        <v>1372928</v>
      </c>
      <c r="E46" s="11">
        <v>0</v>
      </c>
      <c r="F46" s="6">
        <v>0</v>
      </c>
      <c r="G46" s="6"/>
      <c r="H46" s="56">
        <f t="shared" si="6"/>
        <v>686464</v>
      </c>
      <c r="I46" s="11">
        <f>C46+D46+F46</f>
        <v>2326145</v>
      </c>
      <c r="J46" s="12">
        <v>0</v>
      </c>
      <c r="K46" s="6"/>
      <c r="L46" s="6"/>
      <c r="M46" s="85">
        <f t="shared" si="7"/>
        <v>0</v>
      </c>
      <c r="N46" s="7">
        <f>I46-M46</f>
        <v>2326145</v>
      </c>
    </row>
    <row r="47" spans="1:14" ht="15.75" thickBot="1" x14ac:dyDescent="0.3">
      <c r="A47" s="24" t="s">
        <v>10</v>
      </c>
      <c r="B47" s="21"/>
      <c r="C47" s="22">
        <f t="shared" ref="C47:I47" si="9">SUM(C28:C46)</f>
        <v>84270647.139999986</v>
      </c>
      <c r="D47" s="65">
        <f t="shared" si="9"/>
        <v>2895823</v>
      </c>
      <c r="E47" s="65">
        <f t="shared" si="9"/>
        <v>0</v>
      </c>
      <c r="F47" s="46">
        <f t="shared" si="9"/>
        <v>0</v>
      </c>
      <c r="G47" s="61">
        <f t="shared" si="9"/>
        <v>0</v>
      </c>
      <c r="H47" s="22">
        <f t="shared" si="9"/>
        <v>1447911.5</v>
      </c>
      <c r="I47" s="22">
        <f t="shared" si="9"/>
        <v>86405022.639999986</v>
      </c>
      <c r="J47" s="22" t="s">
        <v>0</v>
      </c>
      <c r="K47" s="22">
        <f>SUM(K28:K46)</f>
        <v>0</v>
      </c>
      <c r="L47" s="22">
        <f>SUM(L28:L46)</f>
        <v>0</v>
      </c>
      <c r="M47" s="22">
        <f>SUM(M28:M46)</f>
        <v>1399980.0971835619</v>
      </c>
      <c r="N47" s="22">
        <f>SUM(N28:N46)</f>
        <v>85766490.042816445</v>
      </c>
    </row>
    <row r="48" spans="1:14" ht="15.75" thickTop="1" x14ac:dyDescent="0.25"/>
    <row r="49" spans="1:14" x14ac:dyDescent="0.25">
      <c r="A49">
        <v>2019</v>
      </c>
      <c r="B49" t="s">
        <v>123</v>
      </c>
      <c r="D49" s="67"/>
      <c r="E49" s="67"/>
    </row>
    <row r="50" spans="1:14" ht="45" x14ac:dyDescent="0.25">
      <c r="A50" s="23" t="s">
        <v>1</v>
      </c>
      <c r="B50" s="2" t="s">
        <v>2</v>
      </c>
      <c r="C50" s="2" t="s">
        <v>63</v>
      </c>
      <c r="D50" s="3" t="s">
        <v>65</v>
      </c>
      <c r="E50" s="3" t="s">
        <v>83</v>
      </c>
      <c r="F50" s="3" t="s">
        <v>3</v>
      </c>
      <c r="G50" s="3" t="s">
        <v>11</v>
      </c>
      <c r="H50" s="3" t="s">
        <v>4</v>
      </c>
      <c r="I50" s="3" t="s">
        <v>5</v>
      </c>
      <c r="J50" s="3" t="s">
        <v>56</v>
      </c>
      <c r="K50" s="3" t="s">
        <v>57</v>
      </c>
      <c r="L50" s="3" t="s">
        <v>6</v>
      </c>
      <c r="M50" s="83" t="s">
        <v>96</v>
      </c>
      <c r="N50" s="4" t="s">
        <v>7</v>
      </c>
    </row>
    <row r="51" spans="1:14" x14ac:dyDescent="0.25">
      <c r="A51" s="23"/>
      <c r="B51" s="2"/>
      <c r="C51" s="47"/>
      <c r="D51" s="62"/>
      <c r="E51" s="11"/>
      <c r="F51" s="5"/>
      <c r="G51" s="5"/>
      <c r="H51" s="5"/>
      <c r="I51" s="48"/>
      <c r="J51" s="49"/>
      <c r="K51" s="5"/>
      <c r="L51" s="5"/>
      <c r="M51" s="84"/>
      <c r="N51" s="50"/>
    </row>
    <row r="52" spans="1:14" x14ac:dyDescent="0.25">
      <c r="A52" s="8">
        <v>1</v>
      </c>
      <c r="B52" s="9" t="s">
        <v>67</v>
      </c>
      <c r="C52" s="10">
        <f>N28</f>
        <v>31931500.229523286</v>
      </c>
      <c r="D52" s="74">
        <v>197199.21</v>
      </c>
      <c r="E52" s="11"/>
      <c r="F52" s="6"/>
      <c r="G52" s="6"/>
      <c r="H52" s="56">
        <f t="shared" ref="H52:H62" si="10">SUM(D52+G52)/2</f>
        <v>98599.604999999996</v>
      </c>
      <c r="I52" s="56">
        <f>C52+H52</f>
        <v>32030099.834523287</v>
      </c>
      <c r="J52" s="55">
        <v>0.04</v>
      </c>
      <c r="K52" s="6"/>
      <c r="L52" s="6"/>
      <c r="M52" s="85">
        <f t="shared" ref="M52:M70" si="11">(I52*J52)/365*275</f>
        <v>965290.67994453746</v>
      </c>
      <c r="N52" s="7">
        <f t="shared" ref="N52:N57" si="12">H52+I52-M52</f>
        <v>31163408.75957875</v>
      </c>
    </row>
    <row r="53" spans="1:14" x14ac:dyDescent="0.25">
      <c r="A53" s="8">
        <v>1</v>
      </c>
      <c r="B53" s="9" t="s">
        <v>72</v>
      </c>
      <c r="C53" s="10">
        <f t="shared" ref="C53:C69" si="13">N29</f>
        <v>0</v>
      </c>
      <c r="D53" s="63">
        <v>0</v>
      </c>
      <c r="E53" s="11">
        <v>0</v>
      </c>
      <c r="F53" s="6" t="s">
        <v>0</v>
      </c>
      <c r="G53" s="6"/>
      <c r="H53" s="56">
        <f t="shared" si="10"/>
        <v>0</v>
      </c>
      <c r="I53" s="56">
        <f>E53</f>
        <v>0</v>
      </c>
      <c r="J53" s="55">
        <f>J52*1.5</f>
        <v>0.06</v>
      </c>
      <c r="K53" s="6"/>
      <c r="L53" s="6"/>
      <c r="M53" s="85">
        <f t="shared" si="11"/>
        <v>0</v>
      </c>
      <c r="N53" s="7">
        <f t="shared" si="12"/>
        <v>0</v>
      </c>
    </row>
    <row r="54" spans="1:14" x14ac:dyDescent="0.25">
      <c r="A54" s="14">
        <v>2</v>
      </c>
      <c r="B54" s="9" t="s">
        <v>68</v>
      </c>
      <c r="C54" s="10">
        <f t="shared" si="13"/>
        <v>4583396.1429479448</v>
      </c>
      <c r="D54" s="63">
        <v>0</v>
      </c>
      <c r="E54" s="11">
        <v>0</v>
      </c>
      <c r="F54" s="6"/>
      <c r="G54" s="6"/>
      <c r="H54" s="56">
        <f t="shared" si="10"/>
        <v>0</v>
      </c>
      <c r="I54" s="56">
        <f>C54+H54</f>
        <v>4583396.1429479448</v>
      </c>
      <c r="J54" s="55">
        <v>0.06</v>
      </c>
      <c r="K54" s="6"/>
      <c r="L54" s="6"/>
      <c r="M54" s="85">
        <f t="shared" si="11"/>
        <v>207194.6201606605</v>
      </c>
      <c r="N54" s="7">
        <f t="shared" si="12"/>
        <v>4376201.5227872841</v>
      </c>
    </row>
    <row r="55" spans="1:14" x14ac:dyDescent="0.25">
      <c r="A55" s="15">
        <v>8</v>
      </c>
      <c r="B55" s="16" t="s">
        <v>69</v>
      </c>
      <c r="C55" s="10">
        <f t="shared" si="13"/>
        <v>1984147.4432876711</v>
      </c>
      <c r="D55" s="74">
        <v>164902.79</v>
      </c>
      <c r="E55" s="63">
        <v>0</v>
      </c>
      <c r="F55" s="6"/>
      <c r="G55" s="6"/>
      <c r="H55" s="56">
        <f t="shared" si="10"/>
        <v>82451.395000000004</v>
      </c>
      <c r="I55" s="56">
        <f>C55+H55</f>
        <v>2066598.8382876711</v>
      </c>
      <c r="J55" s="55">
        <v>0.2</v>
      </c>
      <c r="K55" s="6"/>
      <c r="L55" s="6"/>
      <c r="M55" s="85">
        <f t="shared" si="11"/>
        <v>311405.30439951213</v>
      </c>
      <c r="N55" s="7">
        <f t="shared" si="12"/>
        <v>1837644.9288881589</v>
      </c>
    </row>
    <row r="56" spans="1:14" x14ac:dyDescent="0.25">
      <c r="A56" s="15">
        <v>8</v>
      </c>
      <c r="B56" s="16" t="s">
        <v>62</v>
      </c>
      <c r="C56" s="10">
        <f t="shared" si="13"/>
        <v>0</v>
      </c>
      <c r="D56" s="63">
        <v>0</v>
      </c>
      <c r="E56" s="11"/>
      <c r="F56" s="6"/>
      <c r="G56" s="6"/>
      <c r="H56" s="56">
        <f t="shared" si="10"/>
        <v>0</v>
      </c>
      <c r="I56" s="56">
        <f>E56</f>
        <v>0</v>
      </c>
      <c r="J56" s="55">
        <f>J55*1.5</f>
        <v>0.30000000000000004</v>
      </c>
      <c r="K56" s="6"/>
      <c r="L56" s="6"/>
      <c r="M56" s="85">
        <f t="shared" si="11"/>
        <v>0</v>
      </c>
      <c r="N56" s="7">
        <f t="shared" si="12"/>
        <v>0</v>
      </c>
    </row>
    <row r="57" spans="1:14" x14ac:dyDescent="0.25">
      <c r="A57" s="8">
        <v>10</v>
      </c>
      <c r="B57" s="9" t="s">
        <v>70</v>
      </c>
      <c r="C57" s="10">
        <f t="shared" si="13"/>
        <v>2420.4504109589043</v>
      </c>
      <c r="D57" s="63">
        <v>0</v>
      </c>
      <c r="E57" s="11"/>
      <c r="F57" s="6"/>
      <c r="G57" s="6">
        <v>0</v>
      </c>
      <c r="H57" s="56">
        <f t="shared" si="10"/>
        <v>0</v>
      </c>
      <c r="I57" s="56">
        <f>C57+H57</f>
        <v>2420.4504109589043</v>
      </c>
      <c r="J57" s="55">
        <v>0.3</v>
      </c>
      <c r="K57" s="6"/>
      <c r="L57" s="6"/>
      <c r="M57" s="85">
        <f t="shared" si="11"/>
        <v>547.08810658660161</v>
      </c>
      <c r="N57" s="7">
        <f t="shared" si="12"/>
        <v>1873.3623043723028</v>
      </c>
    </row>
    <row r="58" spans="1:14" x14ac:dyDescent="0.25">
      <c r="A58" s="15">
        <v>12</v>
      </c>
      <c r="B58" s="17" t="s">
        <v>71</v>
      </c>
      <c r="C58" s="10">
        <f t="shared" si="13"/>
        <v>54709.780821917811</v>
      </c>
      <c r="D58" s="74">
        <v>22579</v>
      </c>
      <c r="E58" s="11"/>
      <c r="F58" s="6"/>
      <c r="G58" s="6"/>
      <c r="H58" s="56">
        <f t="shared" si="10"/>
        <v>11289.5</v>
      </c>
      <c r="I58" s="56">
        <f>C58+H58</f>
        <v>65999.280821917811</v>
      </c>
      <c r="J58" s="55">
        <v>1</v>
      </c>
      <c r="K58" s="6"/>
      <c r="L58" s="6"/>
      <c r="M58" s="85">
        <f t="shared" si="11"/>
        <v>49725.485550759993</v>
      </c>
      <c r="N58" s="7">
        <f t="shared" ref="N58:N69" si="14">H58+I58-M58</f>
        <v>27563.295271157818</v>
      </c>
    </row>
    <row r="59" spans="1:14" x14ac:dyDescent="0.25">
      <c r="A59" s="15">
        <v>12</v>
      </c>
      <c r="B59" s="9" t="s">
        <v>79</v>
      </c>
      <c r="C59" s="10">
        <f t="shared" si="13"/>
        <v>0</v>
      </c>
      <c r="D59" s="63">
        <v>0</v>
      </c>
      <c r="E59" s="11"/>
      <c r="F59" s="6"/>
      <c r="G59" s="6"/>
      <c r="H59" s="56">
        <f t="shared" si="10"/>
        <v>0</v>
      </c>
      <c r="I59" s="56">
        <f>E59</f>
        <v>0</v>
      </c>
      <c r="J59" s="55">
        <f>J58</f>
        <v>1</v>
      </c>
      <c r="K59" s="6"/>
      <c r="L59" s="6"/>
      <c r="M59" s="85">
        <f t="shared" si="11"/>
        <v>0</v>
      </c>
      <c r="N59" s="7">
        <f t="shared" si="14"/>
        <v>0</v>
      </c>
    </row>
    <row r="60" spans="1:14" x14ac:dyDescent="0.25">
      <c r="A60" s="26">
        <v>14.1</v>
      </c>
      <c r="B60" s="58" t="s">
        <v>73</v>
      </c>
      <c r="C60" s="10">
        <f t="shared" si="13"/>
        <v>417319.59915616433</v>
      </c>
      <c r="D60" s="63">
        <v>0</v>
      </c>
      <c r="E60" s="11"/>
      <c r="F60" s="6"/>
      <c r="G60" s="6"/>
      <c r="H60" s="56">
        <f t="shared" si="10"/>
        <v>0</v>
      </c>
      <c r="I60" s="56">
        <f>C60+H60</f>
        <v>417319.59915616433</v>
      </c>
      <c r="J60" s="12">
        <v>7.0000000000000007E-2</v>
      </c>
      <c r="K60" s="6"/>
      <c r="L60" s="6"/>
      <c r="M60" s="85">
        <f t="shared" si="11"/>
        <v>22009.321325359353</v>
      </c>
      <c r="N60" s="7">
        <f t="shared" si="14"/>
        <v>395310.27783080499</v>
      </c>
    </row>
    <row r="61" spans="1:14" x14ac:dyDescent="0.25">
      <c r="A61" s="26">
        <v>14.1</v>
      </c>
      <c r="B61" s="27" t="s">
        <v>74</v>
      </c>
      <c r="C61" s="10">
        <f t="shared" si="13"/>
        <v>624993.82849315077</v>
      </c>
      <c r="D61" s="63">
        <v>0</v>
      </c>
      <c r="E61" s="11"/>
      <c r="F61" s="6"/>
      <c r="G61" s="6"/>
      <c r="H61" s="56">
        <f t="shared" si="10"/>
        <v>0</v>
      </c>
      <c r="I61" s="56">
        <f>C61+H61</f>
        <v>624993.82849315077</v>
      </c>
      <c r="J61" s="12">
        <v>0.05</v>
      </c>
      <c r="K61" s="6"/>
      <c r="L61" s="6"/>
      <c r="M61" s="85">
        <f t="shared" si="11"/>
        <v>23544.28805967349</v>
      </c>
      <c r="N61" s="7">
        <f t="shared" si="14"/>
        <v>601449.54043347726</v>
      </c>
    </row>
    <row r="62" spans="1:14" x14ac:dyDescent="0.25">
      <c r="A62" s="26">
        <v>14.1</v>
      </c>
      <c r="B62" s="27" t="s">
        <v>82</v>
      </c>
      <c r="C62" s="10">
        <f t="shared" si="13"/>
        <v>0</v>
      </c>
      <c r="D62" s="63">
        <v>0</v>
      </c>
      <c r="E62" s="11"/>
      <c r="F62" s="6"/>
      <c r="G62" s="6"/>
      <c r="H62" s="56">
        <f t="shared" si="10"/>
        <v>0</v>
      </c>
      <c r="I62" s="56">
        <f>E62</f>
        <v>0</v>
      </c>
      <c r="J62" s="55">
        <f>J61*1.5</f>
        <v>7.5000000000000011E-2</v>
      </c>
      <c r="K62" s="6"/>
      <c r="L62" s="6"/>
      <c r="M62" s="85">
        <f t="shared" si="11"/>
        <v>0</v>
      </c>
      <c r="N62" s="7">
        <f t="shared" si="14"/>
        <v>0</v>
      </c>
    </row>
    <row r="63" spans="1:14" x14ac:dyDescent="0.25">
      <c r="A63" s="15">
        <v>17</v>
      </c>
      <c r="B63" s="17" t="s">
        <v>75</v>
      </c>
      <c r="C63" s="10">
        <f t="shared" si="13"/>
        <v>261431.57919999998</v>
      </c>
      <c r="D63" s="1">
        <v>0</v>
      </c>
      <c r="E63" s="63"/>
      <c r="F63" s="6"/>
      <c r="G63" s="6"/>
      <c r="H63" s="56">
        <f t="shared" ref="H63:H70" si="15">SUM(D63+G63)/2</f>
        <v>0</v>
      </c>
      <c r="I63" s="56">
        <f>C63+H63</f>
        <v>261431.57919999998</v>
      </c>
      <c r="J63" s="55">
        <v>0.08</v>
      </c>
      <c r="K63" s="6"/>
      <c r="L63" s="6"/>
      <c r="M63" s="85">
        <f t="shared" si="11"/>
        <v>15757.519842191781</v>
      </c>
      <c r="N63" s="7">
        <f t="shared" si="14"/>
        <v>245674.0593578082</v>
      </c>
    </row>
    <row r="64" spans="1:14" x14ac:dyDescent="0.25">
      <c r="A64" s="26">
        <v>43.2</v>
      </c>
      <c r="B64" s="58" t="s">
        <v>76</v>
      </c>
      <c r="C64" s="10">
        <f t="shared" si="13"/>
        <v>11857.534246575342</v>
      </c>
      <c r="D64" s="63">
        <v>0</v>
      </c>
      <c r="E64" s="11"/>
      <c r="F64" s="6"/>
      <c r="G64" s="6"/>
      <c r="H64" s="56">
        <f t="shared" si="15"/>
        <v>0</v>
      </c>
      <c r="I64" s="56">
        <f>C64+H64</f>
        <v>11857.534246575342</v>
      </c>
      <c r="J64" s="12">
        <v>0.5</v>
      </c>
      <c r="K64" s="6"/>
      <c r="L64" s="6"/>
      <c r="M64" s="85">
        <f t="shared" si="11"/>
        <v>4466.879339463314</v>
      </c>
      <c r="N64" s="7">
        <f t="shared" si="14"/>
        <v>7390.654907112028</v>
      </c>
    </row>
    <row r="65" spans="1:14" x14ac:dyDescent="0.25">
      <c r="A65" s="8">
        <v>45</v>
      </c>
      <c r="B65" s="9" t="s">
        <v>77</v>
      </c>
      <c r="C65" s="10">
        <f t="shared" si="13"/>
        <v>151.58150684931508</v>
      </c>
      <c r="D65" s="63">
        <v>0</v>
      </c>
      <c r="E65" s="11"/>
      <c r="F65" s="6"/>
      <c r="G65" s="6"/>
      <c r="H65" s="56">
        <f t="shared" si="15"/>
        <v>0</v>
      </c>
      <c r="I65" s="56">
        <f>C65+H65</f>
        <v>151.58150684931508</v>
      </c>
      <c r="J65" s="55">
        <v>0.45</v>
      </c>
      <c r="K65" s="6"/>
      <c r="L65" s="51"/>
      <c r="M65" s="85">
        <f t="shared" si="11"/>
        <v>51.392360198911618</v>
      </c>
      <c r="N65" s="7">
        <f t="shared" si="14"/>
        <v>100.18914665040346</v>
      </c>
    </row>
    <row r="66" spans="1:14" x14ac:dyDescent="0.25">
      <c r="A66" s="15">
        <v>47</v>
      </c>
      <c r="B66" s="16" t="s">
        <v>78</v>
      </c>
      <c r="C66" s="10">
        <f t="shared" si="13"/>
        <v>43498063.81801644</v>
      </c>
      <c r="D66" s="74">
        <v>9973005</v>
      </c>
      <c r="E66" s="11"/>
      <c r="F66" s="6"/>
      <c r="G66" s="6"/>
      <c r="H66" s="56">
        <f t="shared" si="15"/>
        <v>4986502.5</v>
      </c>
      <c r="I66" s="56">
        <f>C66+H66</f>
        <v>48484566.31801644</v>
      </c>
      <c r="J66" s="55">
        <v>0.08</v>
      </c>
      <c r="K66" s="6"/>
      <c r="L66" s="6"/>
      <c r="M66" s="85">
        <f t="shared" si="11"/>
        <v>2922357.4219078403</v>
      </c>
      <c r="N66" s="7">
        <f t="shared" si="14"/>
        <v>50548711.396108598</v>
      </c>
    </row>
    <row r="67" spans="1:14" x14ac:dyDescent="0.25">
      <c r="A67" s="15">
        <v>47</v>
      </c>
      <c r="B67" s="16" t="s">
        <v>80</v>
      </c>
      <c r="C67" s="10">
        <f t="shared" si="13"/>
        <v>0</v>
      </c>
      <c r="D67" s="64">
        <v>0</v>
      </c>
      <c r="E67" s="11"/>
      <c r="F67" s="6"/>
      <c r="G67" s="6"/>
      <c r="H67" s="56">
        <f t="shared" si="15"/>
        <v>0</v>
      </c>
      <c r="I67" s="56">
        <f>E67</f>
        <v>0</v>
      </c>
      <c r="J67" s="55">
        <f>J66*1.5</f>
        <v>0.12</v>
      </c>
      <c r="K67" s="6"/>
      <c r="L67" s="6"/>
      <c r="M67" s="85">
        <f t="shared" si="11"/>
        <v>0</v>
      </c>
      <c r="N67" s="7">
        <f t="shared" si="14"/>
        <v>0</v>
      </c>
    </row>
    <row r="68" spans="1:14" x14ac:dyDescent="0.25">
      <c r="A68" s="8">
        <v>50</v>
      </c>
      <c r="B68" s="9" t="s">
        <v>77</v>
      </c>
      <c r="C68" s="10">
        <f t="shared" si="13"/>
        <v>70353.055205479439</v>
      </c>
      <c r="D68" s="74">
        <v>9292.84</v>
      </c>
      <c r="E68" s="63"/>
      <c r="F68" s="6">
        <v>0</v>
      </c>
      <c r="G68" s="1">
        <v>0</v>
      </c>
      <c r="H68" s="56">
        <f t="shared" si="15"/>
        <v>4646.42</v>
      </c>
      <c r="I68" s="56">
        <f>C68+H68</f>
        <v>74999.475205479437</v>
      </c>
      <c r="J68" s="12">
        <v>0.55000000000000004</v>
      </c>
      <c r="K68" s="6"/>
      <c r="L68" s="6"/>
      <c r="M68" s="85">
        <f t="shared" si="11"/>
        <v>31078.549657065112</v>
      </c>
      <c r="N68" s="7">
        <f t="shared" si="14"/>
        <v>48567.34554841432</v>
      </c>
    </row>
    <row r="69" spans="1:14" x14ac:dyDescent="0.25">
      <c r="A69" s="66">
        <v>50</v>
      </c>
      <c r="B69" s="9" t="s">
        <v>81</v>
      </c>
      <c r="C69" s="10">
        <f t="shared" si="13"/>
        <v>0</v>
      </c>
      <c r="D69" s="63">
        <v>0</v>
      </c>
      <c r="E69" s="11"/>
      <c r="F69" s="6"/>
      <c r="G69" s="6">
        <v>0</v>
      </c>
      <c r="H69" s="56">
        <f t="shared" si="15"/>
        <v>0</v>
      </c>
      <c r="I69" s="56">
        <f>E69</f>
        <v>0</v>
      </c>
      <c r="J69" s="55">
        <f>J68*1.5</f>
        <v>0.82500000000000007</v>
      </c>
      <c r="K69" s="6"/>
      <c r="L69" s="6"/>
      <c r="M69" s="85">
        <f t="shared" si="11"/>
        <v>0</v>
      </c>
      <c r="N69" s="7">
        <f t="shared" si="14"/>
        <v>0</v>
      </c>
    </row>
    <row r="70" spans="1:14" x14ac:dyDescent="0.25">
      <c r="A70" s="18">
        <v>95</v>
      </c>
      <c r="B70" s="19" t="s">
        <v>9</v>
      </c>
      <c r="C70" s="10">
        <v>0</v>
      </c>
      <c r="D70" s="63">
        <v>0</v>
      </c>
      <c r="E70" s="11">
        <v>0</v>
      </c>
      <c r="F70" s="6">
        <v>0</v>
      </c>
      <c r="G70" s="6"/>
      <c r="H70" s="56">
        <f t="shared" si="15"/>
        <v>0</v>
      </c>
      <c r="I70" s="11">
        <f>C70+D70+F70</f>
        <v>0</v>
      </c>
      <c r="J70" s="12">
        <v>0</v>
      </c>
      <c r="K70" s="6"/>
      <c r="L70" s="6"/>
      <c r="M70" s="85">
        <f t="shared" si="11"/>
        <v>0</v>
      </c>
      <c r="N70" s="7">
        <f>I70-M70</f>
        <v>0</v>
      </c>
    </row>
    <row r="71" spans="1:14" ht="15.75" thickBot="1" x14ac:dyDescent="0.3">
      <c r="A71" s="24" t="s">
        <v>10</v>
      </c>
      <c r="B71" s="21"/>
      <c r="C71" s="22">
        <f t="shared" ref="C71:I71" si="16">SUM(C52:C70)</f>
        <v>83440345.042816445</v>
      </c>
      <c r="D71" s="65">
        <f t="shared" si="16"/>
        <v>10366978.84</v>
      </c>
      <c r="E71" s="65">
        <f t="shared" si="16"/>
        <v>0</v>
      </c>
      <c r="F71" s="46">
        <f t="shared" si="16"/>
        <v>0</v>
      </c>
      <c r="G71" s="61">
        <f t="shared" si="16"/>
        <v>0</v>
      </c>
      <c r="H71" s="22">
        <f t="shared" si="16"/>
        <v>5183489.42</v>
      </c>
      <c r="I71" s="22">
        <f t="shared" si="16"/>
        <v>88623834.462816447</v>
      </c>
      <c r="J71" s="22" t="s">
        <v>0</v>
      </c>
      <c r="K71" s="22">
        <f>SUM(K52:K70)</f>
        <v>0</v>
      </c>
      <c r="L71" s="22">
        <f>SUM(L52:L70)</f>
        <v>0</v>
      </c>
      <c r="M71" s="22">
        <f>SUM(M52:M70)</f>
        <v>4553428.5506538497</v>
      </c>
      <c r="N71" s="22">
        <f>SUM(N52:N70)</f>
        <v>89253895.332162589</v>
      </c>
    </row>
    <row r="72" spans="1:14" ht="15.75" thickTop="1" x14ac:dyDescent="0.25"/>
    <row r="73" spans="1:14" x14ac:dyDescent="0.25">
      <c r="A73">
        <v>2020</v>
      </c>
      <c r="B73" t="s">
        <v>123</v>
      </c>
      <c r="D73" s="67"/>
      <c r="E73" s="67"/>
    </row>
    <row r="74" spans="1:14" ht="30" x14ac:dyDescent="0.25">
      <c r="A74" s="23" t="s">
        <v>1</v>
      </c>
      <c r="B74" s="2" t="s">
        <v>2</v>
      </c>
      <c r="C74" s="2" t="s">
        <v>97</v>
      </c>
      <c r="D74" s="3" t="s">
        <v>98</v>
      </c>
      <c r="E74" s="3" t="s">
        <v>83</v>
      </c>
      <c r="F74" s="3" t="s">
        <v>3</v>
      </c>
      <c r="G74" s="3" t="s">
        <v>11</v>
      </c>
      <c r="H74" s="3" t="s">
        <v>4</v>
      </c>
      <c r="I74" s="3" t="s">
        <v>5</v>
      </c>
      <c r="J74" s="3" t="s">
        <v>56</v>
      </c>
      <c r="K74" s="3" t="s">
        <v>57</v>
      </c>
      <c r="L74" s="3" t="s">
        <v>6</v>
      </c>
      <c r="M74" s="83" t="s">
        <v>61</v>
      </c>
      <c r="N74" s="4" t="s">
        <v>7</v>
      </c>
    </row>
    <row r="75" spans="1:14" x14ac:dyDescent="0.25">
      <c r="A75" s="23"/>
      <c r="B75" s="2"/>
      <c r="C75" s="47"/>
      <c r="D75" s="62"/>
      <c r="E75" s="11"/>
      <c r="F75" s="5"/>
      <c r="G75" s="5"/>
      <c r="H75" s="5"/>
      <c r="I75" s="48"/>
      <c r="J75" s="49"/>
      <c r="K75" s="5"/>
      <c r="L75" s="5"/>
      <c r="M75" s="84"/>
      <c r="N75" s="50"/>
    </row>
    <row r="76" spans="1:14" x14ac:dyDescent="0.25">
      <c r="A76" s="8">
        <v>1</v>
      </c>
      <c r="B76" s="9" t="s">
        <v>67</v>
      </c>
      <c r="C76" s="10">
        <f>N52</f>
        <v>31163408.75957875</v>
      </c>
      <c r="D76" s="63">
        <v>0</v>
      </c>
      <c r="E76" s="11"/>
      <c r="F76" s="6"/>
      <c r="G76" s="6"/>
      <c r="H76" s="56">
        <f t="shared" ref="H76:H86" si="17">SUM(D76+G76)/2</f>
        <v>0</v>
      </c>
      <c r="I76" s="56">
        <f>C76+H76</f>
        <v>31163408.75957875</v>
      </c>
      <c r="J76" s="55">
        <v>0.04</v>
      </c>
      <c r="K76" s="6"/>
      <c r="L76" s="6"/>
      <c r="M76" s="85">
        <f t="shared" ref="M76:M94" si="18">(I76*J76)</f>
        <v>1246536.3503831499</v>
      </c>
      <c r="N76" s="7">
        <f t="shared" ref="N76:N81" si="19">H76+I76-M76</f>
        <v>29916872.409195598</v>
      </c>
    </row>
    <row r="77" spans="1:14" x14ac:dyDescent="0.25">
      <c r="A77" s="8">
        <v>1</v>
      </c>
      <c r="B77" s="9" t="s">
        <v>72</v>
      </c>
      <c r="C77" s="10">
        <f t="shared" ref="C77:C94" si="20">N53</f>
        <v>0</v>
      </c>
      <c r="D77" s="63">
        <v>0</v>
      </c>
      <c r="E77" s="11">
        <v>0</v>
      </c>
      <c r="F77" s="6" t="s">
        <v>0</v>
      </c>
      <c r="G77" s="6"/>
      <c r="H77" s="56">
        <f t="shared" si="17"/>
        <v>0</v>
      </c>
      <c r="I77" s="56">
        <f>E77</f>
        <v>0</v>
      </c>
      <c r="J77" s="55">
        <f>J76*1.5</f>
        <v>0.06</v>
      </c>
      <c r="K77" s="6"/>
      <c r="L77" s="6"/>
      <c r="M77" s="85">
        <f t="shared" si="18"/>
        <v>0</v>
      </c>
      <c r="N77" s="7">
        <f t="shared" si="19"/>
        <v>0</v>
      </c>
    </row>
    <row r="78" spans="1:14" x14ac:dyDescent="0.25">
      <c r="A78" s="14">
        <v>2</v>
      </c>
      <c r="B78" s="9" t="s">
        <v>68</v>
      </c>
      <c r="C78" s="10">
        <f t="shared" si="20"/>
        <v>4376201.5227872841</v>
      </c>
      <c r="D78" s="63">
        <v>0</v>
      </c>
      <c r="E78" s="11">
        <v>0</v>
      </c>
      <c r="F78" s="6"/>
      <c r="G78" s="6"/>
      <c r="H78" s="56">
        <f t="shared" si="17"/>
        <v>0</v>
      </c>
      <c r="I78" s="56">
        <f>C78+H78</f>
        <v>4376201.5227872841</v>
      </c>
      <c r="J78" s="55">
        <v>0.06</v>
      </c>
      <c r="K78" s="6"/>
      <c r="L78" s="6"/>
      <c r="M78" s="85">
        <f t="shared" si="18"/>
        <v>262572.09136723704</v>
      </c>
      <c r="N78" s="7">
        <f t="shared" si="19"/>
        <v>4113629.4314200468</v>
      </c>
    </row>
    <row r="79" spans="1:14" x14ac:dyDescent="0.25">
      <c r="A79" s="15">
        <v>8</v>
      </c>
      <c r="B79" s="16" t="s">
        <v>69</v>
      </c>
      <c r="C79" s="10">
        <f t="shared" si="20"/>
        <v>1837644.9288881589</v>
      </c>
      <c r="D79" s="1">
        <v>92730.89</v>
      </c>
      <c r="E79" s="63">
        <v>0</v>
      </c>
      <c r="F79" s="6"/>
      <c r="G79" s="6"/>
      <c r="H79" s="56">
        <f t="shared" si="17"/>
        <v>46365.445</v>
      </c>
      <c r="I79" s="56">
        <f>C79+H79</f>
        <v>1884010.3738881589</v>
      </c>
      <c r="J79" s="55">
        <v>0.2</v>
      </c>
      <c r="K79" s="6"/>
      <c r="L79" s="6"/>
      <c r="M79" s="85">
        <f t="shared" si="18"/>
        <v>376802.07477763179</v>
      </c>
      <c r="N79" s="7">
        <f t="shared" si="19"/>
        <v>1553573.7441105272</v>
      </c>
    </row>
    <row r="80" spans="1:14" x14ac:dyDescent="0.25">
      <c r="A80" s="15">
        <v>8</v>
      </c>
      <c r="B80" s="16" t="s">
        <v>62</v>
      </c>
      <c r="C80" s="10">
        <f t="shared" si="20"/>
        <v>0</v>
      </c>
      <c r="D80" s="63">
        <v>0</v>
      </c>
      <c r="E80" s="11"/>
      <c r="F80" s="6"/>
      <c r="G80" s="6"/>
      <c r="H80" s="56">
        <f t="shared" si="17"/>
        <v>0</v>
      </c>
      <c r="I80" s="56">
        <f>E80</f>
        <v>0</v>
      </c>
      <c r="J80" s="55">
        <f>J79*1.5</f>
        <v>0.30000000000000004</v>
      </c>
      <c r="K80" s="6"/>
      <c r="L80" s="6"/>
      <c r="M80" s="85">
        <f t="shared" si="18"/>
        <v>0</v>
      </c>
      <c r="N80" s="7">
        <f t="shared" si="19"/>
        <v>0</v>
      </c>
    </row>
    <row r="81" spans="1:14" x14ac:dyDescent="0.25">
      <c r="A81" s="8">
        <v>10</v>
      </c>
      <c r="B81" s="9" t="s">
        <v>70</v>
      </c>
      <c r="C81" s="10">
        <f t="shared" si="20"/>
        <v>1873.3623043723028</v>
      </c>
      <c r="D81" s="63">
        <v>0</v>
      </c>
      <c r="E81" s="11"/>
      <c r="F81" s="6"/>
      <c r="G81" s="6">
        <v>0</v>
      </c>
      <c r="H81" s="56">
        <f t="shared" si="17"/>
        <v>0</v>
      </c>
      <c r="I81" s="56">
        <f>C81+H81</f>
        <v>1873.3623043723028</v>
      </c>
      <c r="J81" s="55">
        <v>0.3</v>
      </c>
      <c r="K81" s="6"/>
      <c r="L81" s="6"/>
      <c r="M81" s="85">
        <f t="shared" si="18"/>
        <v>562.00869131169077</v>
      </c>
      <c r="N81" s="7">
        <f t="shared" si="19"/>
        <v>1311.3536130606121</v>
      </c>
    </row>
    <row r="82" spans="1:14" x14ac:dyDescent="0.25">
      <c r="A82" s="15">
        <v>12</v>
      </c>
      <c r="B82" s="17" t="s">
        <v>71</v>
      </c>
      <c r="C82" s="10">
        <f t="shared" si="20"/>
        <v>27563.295271157818</v>
      </c>
      <c r="D82" s="63">
        <v>0</v>
      </c>
      <c r="E82" s="11"/>
      <c r="F82" s="6"/>
      <c r="G82" s="6"/>
      <c r="H82" s="56">
        <f t="shared" si="17"/>
        <v>0</v>
      </c>
      <c r="I82" s="56">
        <f>C82+H82</f>
        <v>27563.295271157818</v>
      </c>
      <c r="J82" s="55">
        <v>1</v>
      </c>
      <c r="K82" s="6"/>
      <c r="L82" s="6"/>
      <c r="M82" s="85">
        <f t="shared" si="18"/>
        <v>27563.295271157818</v>
      </c>
      <c r="N82" s="7">
        <f t="shared" ref="N82:N93" si="21">H82+I82-M82</f>
        <v>0</v>
      </c>
    </row>
    <row r="83" spans="1:14" x14ac:dyDescent="0.25">
      <c r="A83" s="15">
        <v>12</v>
      </c>
      <c r="B83" s="9" t="s">
        <v>79</v>
      </c>
      <c r="C83" s="10">
        <f t="shared" si="20"/>
        <v>0</v>
      </c>
      <c r="D83" s="63">
        <v>0</v>
      </c>
      <c r="E83" s="11"/>
      <c r="F83" s="6"/>
      <c r="G83" s="6"/>
      <c r="H83" s="56">
        <f t="shared" si="17"/>
        <v>0</v>
      </c>
      <c r="I83" s="56">
        <f>E83</f>
        <v>0</v>
      </c>
      <c r="J83" s="55">
        <f>J82</f>
        <v>1</v>
      </c>
      <c r="K83" s="6"/>
      <c r="L83" s="6"/>
      <c r="M83" s="85">
        <f t="shared" si="18"/>
        <v>0</v>
      </c>
      <c r="N83" s="7">
        <f t="shared" si="21"/>
        <v>0</v>
      </c>
    </row>
    <row r="84" spans="1:14" x14ac:dyDescent="0.25">
      <c r="A84" s="26">
        <v>14.1</v>
      </c>
      <c r="B84" s="58" t="s">
        <v>73</v>
      </c>
      <c r="C84" s="10">
        <f t="shared" si="20"/>
        <v>395310.27783080499</v>
      </c>
      <c r="D84" s="63">
        <v>0</v>
      </c>
      <c r="E84" s="11"/>
      <c r="F84" s="6"/>
      <c r="G84" s="6"/>
      <c r="H84" s="56">
        <f t="shared" si="17"/>
        <v>0</v>
      </c>
      <c r="I84" s="56">
        <f>C84+H84</f>
        <v>395310.27783080499</v>
      </c>
      <c r="J84" s="12">
        <v>7.0000000000000007E-2</v>
      </c>
      <c r="K84" s="6"/>
      <c r="L84" s="6"/>
      <c r="M84" s="85">
        <f t="shared" si="18"/>
        <v>27671.719448156353</v>
      </c>
      <c r="N84" s="7">
        <f t="shared" si="21"/>
        <v>367638.55838264863</v>
      </c>
    </row>
    <row r="85" spans="1:14" x14ac:dyDescent="0.25">
      <c r="A85" s="26">
        <v>14.1</v>
      </c>
      <c r="B85" s="27" t="s">
        <v>74</v>
      </c>
      <c r="C85" s="10">
        <f t="shared" si="20"/>
        <v>601449.54043347726</v>
      </c>
      <c r="D85" s="63">
        <v>0</v>
      </c>
      <c r="E85" s="11"/>
      <c r="F85" s="6"/>
      <c r="G85" s="6"/>
      <c r="H85" s="56">
        <f t="shared" si="17"/>
        <v>0</v>
      </c>
      <c r="I85" s="56">
        <f>C85+H85</f>
        <v>601449.54043347726</v>
      </c>
      <c r="J85" s="12">
        <v>0.05</v>
      </c>
      <c r="K85" s="6"/>
      <c r="L85" s="6"/>
      <c r="M85" s="85">
        <f t="shared" si="18"/>
        <v>30072.477021673865</v>
      </c>
      <c r="N85" s="7">
        <f t="shared" si="21"/>
        <v>571377.06341180345</v>
      </c>
    </row>
    <row r="86" spans="1:14" x14ac:dyDescent="0.25">
      <c r="A86" s="26">
        <v>14.1</v>
      </c>
      <c r="B86" s="27" t="s">
        <v>82</v>
      </c>
      <c r="C86" s="10">
        <f t="shared" si="20"/>
        <v>0</v>
      </c>
      <c r="D86" s="63">
        <v>0</v>
      </c>
      <c r="E86" s="11"/>
      <c r="F86" s="6"/>
      <c r="G86" s="6"/>
      <c r="H86" s="56">
        <f t="shared" si="17"/>
        <v>0</v>
      </c>
      <c r="I86" s="56">
        <f>E86</f>
        <v>0</v>
      </c>
      <c r="J86" s="55">
        <f>J85*1.5</f>
        <v>7.5000000000000011E-2</v>
      </c>
      <c r="K86" s="6"/>
      <c r="L86" s="6"/>
      <c r="M86" s="85">
        <f t="shared" si="18"/>
        <v>0</v>
      </c>
      <c r="N86" s="7">
        <f t="shared" si="21"/>
        <v>0</v>
      </c>
    </row>
    <row r="87" spans="1:14" x14ac:dyDescent="0.25">
      <c r="A87" s="15">
        <v>17</v>
      </c>
      <c r="B87" s="17" t="s">
        <v>75</v>
      </c>
      <c r="C87" s="10">
        <f t="shared" si="20"/>
        <v>245674.0593578082</v>
      </c>
      <c r="D87" s="1">
        <v>0</v>
      </c>
      <c r="E87" s="63"/>
      <c r="F87" s="6"/>
      <c r="G87" s="6"/>
      <c r="H87" s="56">
        <f t="shared" ref="H87:H94" si="22">SUM(D87+G87)/2</f>
        <v>0</v>
      </c>
      <c r="I87" s="56">
        <f>C87+H87</f>
        <v>245674.0593578082</v>
      </c>
      <c r="J87" s="55">
        <v>0.08</v>
      </c>
      <c r="K87" s="6"/>
      <c r="L87" s="6"/>
      <c r="M87" s="85">
        <f t="shared" si="18"/>
        <v>19653.924748624657</v>
      </c>
      <c r="N87" s="7">
        <f t="shared" si="21"/>
        <v>226020.13460918356</v>
      </c>
    </row>
    <row r="88" spans="1:14" x14ac:dyDescent="0.25">
      <c r="A88" s="26">
        <v>43.2</v>
      </c>
      <c r="B88" s="58" t="s">
        <v>76</v>
      </c>
      <c r="C88" s="10">
        <f t="shared" si="20"/>
        <v>7390.654907112028</v>
      </c>
      <c r="D88" s="63">
        <v>0</v>
      </c>
      <c r="E88" s="11"/>
      <c r="F88" s="6"/>
      <c r="G88" s="6"/>
      <c r="H88" s="56">
        <f t="shared" si="22"/>
        <v>0</v>
      </c>
      <c r="I88" s="56">
        <f>C88+H88</f>
        <v>7390.654907112028</v>
      </c>
      <c r="J88" s="12">
        <v>0.5</v>
      </c>
      <c r="K88" s="6"/>
      <c r="L88" s="6"/>
      <c r="M88" s="85">
        <f t="shared" si="18"/>
        <v>3695.327453556014</v>
      </c>
      <c r="N88" s="7">
        <f t="shared" si="21"/>
        <v>3695.327453556014</v>
      </c>
    </row>
    <row r="89" spans="1:14" x14ac:dyDescent="0.25">
      <c r="A89" s="8">
        <v>45</v>
      </c>
      <c r="B89" s="9" t="s">
        <v>77</v>
      </c>
      <c r="C89" s="10">
        <f t="shared" si="20"/>
        <v>100.18914665040346</v>
      </c>
      <c r="D89" s="63">
        <v>0</v>
      </c>
      <c r="E89" s="11"/>
      <c r="F89" s="6"/>
      <c r="G89" s="6"/>
      <c r="H89" s="56">
        <f t="shared" si="22"/>
        <v>0</v>
      </c>
      <c r="I89" s="56">
        <f>C89+H89</f>
        <v>100.18914665040346</v>
      </c>
      <c r="J89" s="55">
        <v>0.45</v>
      </c>
      <c r="K89" s="6"/>
      <c r="L89" s="51"/>
      <c r="M89" s="85">
        <f t="shared" si="18"/>
        <v>45.085115992681558</v>
      </c>
      <c r="N89" s="7">
        <f t="shared" si="21"/>
        <v>55.1040306577219</v>
      </c>
    </row>
    <row r="90" spans="1:14" x14ac:dyDescent="0.25">
      <c r="A90" s="15">
        <v>47</v>
      </c>
      <c r="B90" s="16" t="s">
        <v>78</v>
      </c>
      <c r="C90" s="10">
        <f t="shared" si="20"/>
        <v>50548711.396108598</v>
      </c>
      <c r="D90" s="63">
        <v>7677846.5999999987</v>
      </c>
      <c r="E90" s="11"/>
      <c r="F90" s="6"/>
      <c r="G90" s="6"/>
      <c r="H90" s="56">
        <f t="shared" si="22"/>
        <v>3838923.2999999993</v>
      </c>
      <c r="I90" s="56">
        <f>C90+H90</f>
        <v>54387634.696108595</v>
      </c>
      <c r="J90" s="55">
        <v>0.08</v>
      </c>
      <c r="K90" s="6"/>
      <c r="L90" s="6"/>
      <c r="M90" s="85">
        <f t="shared" si="18"/>
        <v>4351010.7756886873</v>
      </c>
      <c r="N90" s="7">
        <f t="shared" si="21"/>
        <v>53875547.220419906</v>
      </c>
    </row>
    <row r="91" spans="1:14" x14ac:dyDescent="0.25">
      <c r="A91" s="15">
        <v>47</v>
      </c>
      <c r="B91" s="16" t="s">
        <v>80</v>
      </c>
      <c r="C91" s="10">
        <f t="shared" si="20"/>
        <v>0</v>
      </c>
      <c r="D91" s="64">
        <v>0</v>
      </c>
      <c r="E91" s="11"/>
      <c r="F91" s="6"/>
      <c r="G91" s="6"/>
      <c r="H91" s="56">
        <f t="shared" si="22"/>
        <v>0</v>
      </c>
      <c r="I91" s="56">
        <f>E91</f>
        <v>0</v>
      </c>
      <c r="J91" s="55">
        <f>J90*1.5</f>
        <v>0.12</v>
      </c>
      <c r="K91" s="6"/>
      <c r="L91" s="6"/>
      <c r="M91" s="85">
        <f t="shared" si="18"/>
        <v>0</v>
      </c>
      <c r="N91" s="7">
        <f t="shared" si="21"/>
        <v>0</v>
      </c>
    </row>
    <row r="92" spans="1:14" x14ac:dyDescent="0.25">
      <c r="A92" s="8">
        <v>50</v>
      </c>
      <c r="B92" s="9" t="s">
        <v>77</v>
      </c>
      <c r="C92" s="10">
        <f t="shared" si="20"/>
        <v>48567.34554841432</v>
      </c>
      <c r="D92" s="1">
        <v>0</v>
      </c>
      <c r="E92" s="63"/>
      <c r="F92" s="6">
        <v>0</v>
      </c>
      <c r="G92" s="1">
        <v>0</v>
      </c>
      <c r="H92" s="56">
        <f t="shared" si="22"/>
        <v>0</v>
      </c>
      <c r="I92" s="56">
        <f>C92+H92</f>
        <v>48567.34554841432</v>
      </c>
      <c r="J92" s="12">
        <v>0.55000000000000004</v>
      </c>
      <c r="K92" s="6"/>
      <c r="L92" s="6"/>
      <c r="M92" s="85">
        <f t="shared" si="18"/>
        <v>26712.040051627879</v>
      </c>
      <c r="N92" s="7">
        <f t="shared" si="21"/>
        <v>21855.305496786441</v>
      </c>
    </row>
    <row r="93" spans="1:14" x14ac:dyDescent="0.25">
      <c r="A93" s="66">
        <v>50</v>
      </c>
      <c r="B93" s="9" t="s">
        <v>81</v>
      </c>
      <c r="C93" s="10">
        <f t="shared" si="20"/>
        <v>0</v>
      </c>
      <c r="D93" s="63">
        <v>0</v>
      </c>
      <c r="E93" s="11"/>
      <c r="F93" s="6"/>
      <c r="G93" s="6">
        <v>0</v>
      </c>
      <c r="H93" s="56">
        <f t="shared" si="22"/>
        <v>0</v>
      </c>
      <c r="I93" s="56">
        <f>E93</f>
        <v>0</v>
      </c>
      <c r="J93" s="55">
        <f>J92*1.5</f>
        <v>0.82500000000000007</v>
      </c>
      <c r="K93" s="6"/>
      <c r="L93" s="6"/>
      <c r="M93" s="85">
        <f t="shared" si="18"/>
        <v>0</v>
      </c>
      <c r="N93" s="7">
        <f t="shared" si="21"/>
        <v>0</v>
      </c>
    </row>
    <row r="94" spans="1:14" x14ac:dyDescent="0.25">
      <c r="A94" s="18">
        <v>95</v>
      </c>
      <c r="B94" s="19" t="s">
        <v>9</v>
      </c>
      <c r="C94" s="10">
        <f t="shared" si="20"/>
        <v>0</v>
      </c>
      <c r="D94" s="63">
        <v>0</v>
      </c>
      <c r="E94" s="11">
        <v>0</v>
      </c>
      <c r="F94" s="6">
        <v>0</v>
      </c>
      <c r="G94" s="6"/>
      <c r="H94" s="56">
        <f t="shared" si="22"/>
        <v>0</v>
      </c>
      <c r="I94" s="11">
        <f>C94+D94+F94</f>
        <v>0</v>
      </c>
      <c r="J94" s="12">
        <v>0</v>
      </c>
      <c r="K94" s="6"/>
      <c r="L94" s="6"/>
      <c r="M94" s="85">
        <f t="shared" si="18"/>
        <v>0</v>
      </c>
      <c r="N94" s="7">
        <f>I94-M94</f>
        <v>0</v>
      </c>
    </row>
    <row r="95" spans="1:14" ht="15.75" thickBot="1" x14ac:dyDescent="0.3">
      <c r="A95" s="24" t="s">
        <v>10</v>
      </c>
      <c r="B95" s="21"/>
      <c r="C95" s="22">
        <f t="shared" ref="C95:I95" si="23">SUM(C76:C94)</f>
        <v>89253895.332162589</v>
      </c>
      <c r="D95" s="65">
        <f t="shared" si="23"/>
        <v>7770577.4899999984</v>
      </c>
      <c r="E95" s="65">
        <f t="shared" si="23"/>
        <v>0</v>
      </c>
      <c r="F95" s="46">
        <f t="shared" si="23"/>
        <v>0</v>
      </c>
      <c r="G95" s="61">
        <f t="shared" si="23"/>
        <v>0</v>
      </c>
      <c r="H95" s="22">
        <f t="shared" si="23"/>
        <v>3885288.7449999992</v>
      </c>
      <c r="I95" s="22">
        <f t="shared" si="23"/>
        <v>93139184.077162594</v>
      </c>
      <c r="J95" s="22" t="s">
        <v>0</v>
      </c>
      <c r="K95" s="22">
        <f>SUM(K76:K94)</f>
        <v>0</v>
      </c>
      <c r="L95" s="22">
        <f>SUM(L76:L94)</f>
        <v>0</v>
      </c>
      <c r="M95" s="22">
        <f>SUM(M76:M94)</f>
        <v>6372897.1700188071</v>
      </c>
      <c r="N95" s="22">
        <f>SUM(N76:N94)</f>
        <v>90651575.652143776</v>
      </c>
    </row>
    <row r="96" spans="1:14" ht="15.75" thickTop="1" x14ac:dyDescent="0.25"/>
    <row r="97" spans="1:14" x14ac:dyDescent="0.25">
      <c r="A97">
        <v>2021</v>
      </c>
      <c r="B97" t="s">
        <v>123</v>
      </c>
      <c r="D97" s="67"/>
      <c r="E97" s="67"/>
    </row>
    <row r="98" spans="1:14" ht="30" x14ac:dyDescent="0.25">
      <c r="A98" s="23" t="s">
        <v>1</v>
      </c>
      <c r="B98" s="2" t="s">
        <v>2</v>
      </c>
      <c r="C98" s="2" t="s">
        <v>100</v>
      </c>
      <c r="D98" s="3" t="s">
        <v>98</v>
      </c>
      <c r="E98" s="3" t="s">
        <v>83</v>
      </c>
      <c r="F98" s="3" t="s">
        <v>3</v>
      </c>
      <c r="G98" s="3" t="s">
        <v>11</v>
      </c>
      <c r="H98" s="3" t="s">
        <v>4</v>
      </c>
      <c r="I98" s="3" t="s">
        <v>5</v>
      </c>
      <c r="J98" s="3" t="s">
        <v>56</v>
      </c>
      <c r="K98" s="3" t="s">
        <v>57</v>
      </c>
      <c r="L98" s="3" t="s">
        <v>6</v>
      </c>
      <c r="M98" s="83" t="s">
        <v>61</v>
      </c>
      <c r="N98" s="4" t="s">
        <v>7</v>
      </c>
    </row>
    <row r="99" spans="1:14" x14ac:dyDescent="0.25">
      <c r="A99" s="23"/>
      <c r="B99" s="2"/>
      <c r="C99" s="47"/>
      <c r="D99" s="62"/>
      <c r="E99" s="11"/>
      <c r="F99" s="5"/>
      <c r="G99" s="5"/>
      <c r="H99" s="5"/>
      <c r="I99" s="48"/>
      <c r="J99" s="49"/>
      <c r="K99" s="5"/>
      <c r="L99" s="5"/>
      <c r="M99" s="84"/>
      <c r="N99" s="50"/>
    </row>
    <row r="100" spans="1:14" x14ac:dyDescent="0.25">
      <c r="A100" s="8">
        <v>1</v>
      </c>
      <c r="B100" s="9" t="s">
        <v>67</v>
      </c>
      <c r="C100" s="10">
        <f>N76</f>
        <v>29916872.409195598</v>
      </c>
      <c r="D100" s="63">
        <f>'CCA - w accelerated'!E101</f>
        <v>198995.51</v>
      </c>
      <c r="E100" s="11"/>
      <c r="F100" s="6"/>
      <c r="G100" s="6"/>
      <c r="H100" s="56">
        <f t="shared" ref="H100:H110" si="24">SUM(D100+G100)/2</f>
        <v>99497.755000000005</v>
      </c>
      <c r="I100" s="76">
        <f>C100+H100</f>
        <v>30016370.164195597</v>
      </c>
      <c r="J100" s="55">
        <v>0.04</v>
      </c>
      <c r="K100" s="6"/>
      <c r="L100" s="6"/>
      <c r="M100" s="85">
        <f t="shared" ref="M100:M118" si="25">(I100*J100)</f>
        <v>1200654.806567824</v>
      </c>
      <c r="N100" s="7">
        <f t="shared" ref="N100:N105" si="26">H100+I100-M100</f>
        <v>28915213.112627771</v>
      </c>
    </row>
    <row r="101" spans="1:14" x14ac:dyDescent="0.25">
      <c r="A101" s="8">
        <v>1</v>
      </c>
      <c r="B101" s="9" t="s">
        <v>72</v>
      </c>
      <c r="C101" s="10">
        <f t="shared" ref="C101:C118" si="27">N77</f>
        <v>0</v>
      </c>
      <c r="D101" s="63">
        <v>0</v>
      </c>
      <c r="E101" s="11">
        <v>0</v>
      </c>
      <c r="F101" s="6" t="s">
        <v>0</v>
      </c>
      <c r="G101" s="6"/>
      <c r="H101" s="56">
        <f t="shared" si="24"/>
        <v>0</v>
      </c>
      <c r="I101" s="56">
        <f>E101</f>
        <v>0</v>
      </c>
      <c r="J101" s="55">
        <f>J100*1.5</f>
        <v>0.06</v>
      </c>
      <c r="K101" s="6"/>
      <c r="L101" s="6"/>
      <c r="M101" s="85">
        <f t="shared" si="25"/>
        <v>0</v>
      </c>
      <c r="N101" s="7">
        <f t="shared" si="26"/>
        <v>0</v>
      </c>
    </row>
    <row r="102" spans="1:14" x14ac:dyDescent="0.25">
      <c r="A102" s="14">
        <v>2</v>
      </c>
      <c r="B102" s="9" t="s">
        <v>68</v>
      </c>
      <c r="C102" s="10">
        <f t="shared" si="27"/>
        <v>4113629.4314200468</v>
      </c>
      <c r="D102" s="63">
        <v>0</v>
      </c>
      <c r="E102" s="11">
        <v>0</v>
      </c>
      <c r="F102" s="6"/>
      <c r="G102" s="6"/>
      <c r="H102" s="56">
        <f t="shared" si="24"/>
        <v>0</v>
      </c>
      <c r="I102" s="56">
        <f>C102+H102</f>
        <v>4113629.4314200468</v>
      </c>
      <c r="J102" s="55">
        <v>0.06</v>
      </c>
      <c r="K102" s="6"/>
      <c r="L102" s="6"/>
      <c r="M102" s="85">
        <f t="shared" si="25"/>
        <v>246817.7658852028</v>
      </c>
      <c r="N102" s="7">
        <f t="shared" si="26"/>
        <v>3866811.6655348442</v>
      </c>
    </row>
    <row r="103" spans="1:14" x14ac:dyDescent="0.25">
      <c r="A103" s="15">
        <v>8</v>
      </c>
      <c r="B103" s="16" t="s">
        <v>69</v>
      </c>
      <c r="C103" s="10">
        <f t="shared" si="27"/>
        <v>1553573.7441105272</v>
      </c>
      <c r="D103" s="1">
        <f>'CCA - w accelerated'!E104</f>
        <v>220922.32</v>
      </c>
      <c r="E103" s="63">
        <v>0</v>
      </c>
      <c r="F103" s="6"/>
      <c r="G103" s="6"/>
      <c r="H103" s="56">
        <f t="shared" si="24"/>
        <v>110461.16</v>
      </c>
      <c r="I103" s="56">
        <f>C103+H103</f>
        <v>1664034.9041105271</v>
      </c>
      <c r="J103" s="55">
        <v>0.2</v>
      </c>
      <c r="K103" s="6"/>
      <c r="L103" s="6"/>
      <c r="M103" s="85">
        <f t="shared" si="25"/>
        <v>332806.98082210543</v>
      </c>
      <c r="N103" s="7">
        <f t="shared" si="26"/>
        <v>1441689.0832884216</v>
      </c>
    </row>
    <row r="104" spans="1:14" x14ac:dyDescent="0.25">
      <c r="A104" s="15">
        <v>8</v>
      </c>
      <c r="B104" s="16" t="s">
        <v>62</v>
      </c>
      <c r="C104" s="10">
        <f t="shared" si="27"/>
        <v>0</v>
      </c>
      <c r="D104" s="63">
        <v>0</v>
      </c>
      <c r="E104" s="11"/>
      <c r="F104" s="6"/>
      <c r="G104" s="6"/>
      <c r="H104" s="56">
        <f t="shared" si="24"/>
        <v>0</v>
      </c>
      <c r="I104" s="56">
        <f>E104</f>
        <v>0</v>
      </c>
      <c r="J104" s="55">
        <f>J103*1.5</f>
        <v>0.30000000000000004</v>
      </c>
      <c r="K104" s="6"/>
      <c r="L104" s="6"/>
      <c r="M104" s="85">
        <f t="shared" si="25"/>
        <v>0</v>
      </c>
      <c r="N104" s="7">
        <f t="shared" si="26"/>
        <v>0</v>
      </c>
    </row>
    <row r="105" spans="1:14" x14ac:dyDescent="0.25">
      <c r="A105" s="8">
        <v>10</v>
      </c>
      <c r="B105" s="9" t="s">
        <v>70</v>
      </c>
      <c r="C105" s="10">
        <f t="shared" si="27"/>
        <v>1311.3536130606121</v>
      </c>
      <c r="D105" s="63">
        <f>'CCA - w accelerated'!E106</f>
        <v>61039.76</v>
      </c>
      <c r="E105" s="11"/>
      <c r="F105" s="6"/>
      <c r="G105" s="6">
        <v>0</v>
      </c>
      <c r="H105" s="56">
        <f t="shared" si="24"/>
        <v>30519.88</v>
      </c>
      <c r="I105" s="56">
        <f>C105+H105</f>
        <v>31831.233613060613</v>
      </c>
      <c r="J105" s="55">
        <v>0.3</v>
      </c>
      <c r="K105" s="6"/>
      <c r="L105" s="6"/>
      <c r="M105" s="85">
        <f t="shared" si="25"/>
        <v>9549.3700839181838</v>
      </c>
      <c r="N105" s="7">
        <f t="shared" si="26"/>
        <v>52801.743529142434</v>
      </c>
    </row>
    <row r="106" spans="1:14" x14ac:dyDescent="0.25">
      <c r="A106" s="15">
        <v>12</v>
      </c>
      <c r="B106" s="17" t="s">
        <v>71</v>
      </c>
      <c r="C106" s="10">
        <f t="shared" si="27"/>
        <v>0</v>
      </c>
      <c r="D106" s="63">
        <v>0</v>
      </c>
      <c r="E106" s="11"/>
      <c r="F106" s="6"/>
      <c r="G106" s="6"/>
      <c r="H106" s="56">
        <f t="shared" si="24"/>
        <v>0</v>
      </c>
      <c r="I106" s="56">
        <f>C106+H106</f>
        <v>0</v>
      </c>
      <c r="J106" s="55">
        <v>1</v>
      </c>
      <c r="K106" s="6"/>
      <c r="L106" s="6"/>
      <c r="M106" s="85">
        <f t="shared" si="25"/>
        <v>0</v>
      </c>
      <c r="N106" s="7">
        <f t="shared" ref="N106:N117" si="28">H106+I106-M106</f>
        <v>0</v>
      </c>
    </row>
    <row r="107" spans="1:14" x14ac:dyDescent="0.25">
      <c r="A107" s="15">
        <v>12</v>
      </c>
      <c r="B107" s="9" t="s">
        <v>79</v>
      </c>
      <c r="C107" s="10">
        <f t="shared" si="27"/>
        <v>0</v>
      </c>
      <c r="D107" s="63">
        <v>0</v>
      </c>
      <c r="E107" s="11"/>
      <c r="F107" s="6"/>
      <c r="G107" s="6"/>
      <c r="H107" s="56">
        <f t="shared" si="24"/>
        <v>0</v>
      </c>
      <c r="I107" s="56">
        <f>E107</f>
        <v>0</v>
      </c>
      <c r="J107" s="55">
        <f>J106</f>
        <v>1</v>
      </c>
      <c r="K107" s="6"/>
      <c r="L107" s="6"/>
      <c r="M107" s="85">
        <f t="shared" si="25"/>
        <v>0</v>
      </c>
      <c r="N107" s="7">
        <f t="shared" si="28"/>
        <v>0</v>
      </c>
    </row>
    <row r="108" spans="1:14" x14ac:dyDescent="0.25">
      <c r="A108" s="26">
        <v>14.1</v>
      </c>
      <c r="B108" s="58" t="s">
        <v>73</v>
      </c>
      <c r="C108" s="10">
        <f t="shared" si="27"/>
        <v>367638.55838264863</v>
      </c>
      <c r="D108" s="63">
        <v>0</v>
      </c>
      <c r="E108" s="11"/>
      <c r="F108" s="6"/>
      <c r="G108" s="6"/>
      <c r="H108" s="56">
        <f t="shared" si="24"/>
        <v>0</v>
      </c>
      <c r="I108" s="56">
        <f>C108+H108</f>
        <v>367638.55838264863</v>
      </c>
      <c r="J108" s="12">
        <v>7.0000000000000007E-2</v>
      </c>
      <c r="K108" s="6"/>
      <c r="L108" s="6"/>
      <c r="M108" s="85">
        <f t="shared" si="25"/>
        <v>25734.699086785407</v>
      </c>
      <c r="N108" s="7">
        <f t="shared" si="28"/>
        <v>341903.85929586319</v>
      </c>
    </row>
    <row r="109" spans="1:14" x14ac:dyDescent="0.25">
      <c r="A109" s="26">
        <v>14.1</v>
      </c>
      <c r="B109" s="27" t="s">
        <v>74</v>
      </c>
      <c r="C109" s="10">
        <f t="shared" si="27"/>
        <v>571377.06341180345</v>
      </c>
      <c r="D109" s="63">
        <v>0</v>
      </c>
      <c r="E109" s="11"/>
      <c r="F109" s="6"/>
      <c r="G109" s="6"/>
      <c r="H109" s="56">
        <f t="shared" si="24"/>
        <v>0</v>
      </c>
      <c r="I109" s="56">
        <f>C109+H109</f>
        <v>571377.06341180345</v>
      </c>
      <c r="J109" s="12">
        <v>0.05</v>
      </c>
      <c r="K109" s="6"/>
      <c r="L109" s="6"/>
      <c r="M109" s="85">
        <f t="shared" si="25"/>
        <v>28568.853170590173</v>
      </c>
      <c r="N109" s="7">
        <f t="shared" si="28"/>
        <v>542808.21024121332</v>
      </c>
    </row>
    <row r="110" spans="1:14" x14ac:dyDescent="0.25">
      <c r="A110" s="26">
        <v>14.1</v>
      </c>
      <c r="B110" s="27" t="s">
        <v>82</v>
      </c>
      <c r="C110" s="10">
        <f t="shared" si="27"/>
        <v>0</v>
      </c>
      <c r="D110" s="63">
        <v>0</v>
      </c>
      <c r="E110" s="11"/>
      <c r="F110" s="6"/>
      <c r="G110" s="6"/>
      <c r="H110" s="56">
        <f t="shared" si="24"/>
        <v>0</v>
      </c>
      <c r="I110" s="56">
        <f>E110</f>
        <v>0</v>
      </c>
      <c r="J110" s="55">
        <f>J109*1.5</f>
        <v>7.5000000000000011E-2</v>
      </c>
      <c r="K110" s="6"/>
      <c r="L110" s="6"/>
      <c r="M110" s="85">
        <f t="shared" si="25"/>
        <v>0</v>
      </c>
      <c r="N110" s="7">
        <f t="shared" si="28"/>
        <v>0</v>
      </c>
    </row>
    <row r="111" spans="1:14" x14ac:dyDescent="0.25">
      <c r="A111" s="15">
        <v>17</v>
      </c>
      <c r="B111" s="17" t="s">
        <v>75</v>
      </c>
      <c r="C111" s="10">
        <f t="shared" si="27"/>
        <v>226020.13460918356</v>
      </c>
      <c r="D111" s="1">
        <v>0</v>
      </c>
      <c r="E111" s="63"/>
      <c r="F111" s="6"/>
      <c r="G111" s="6"/>
      <c r="H111" s="56">
        <f t="shared" ref="H111:H118" si="29">SUM(D111+G111)/2</f>
        <v>0</v>
      </c>
      <c r="I111" s="56">
        <f>C111+H111</f>
        <v>226020.13460918356</v>
      </c>
      <c r="J111" s="55">
        <v>0.08</v>
      </c>
      <c r="K111" s="6"/>
      <c r="L111" s="6"/>
      <c r="M111" s="85">
        <f t="shared" si="25"/>
        <v>18081.610768734685</v>
      </c>
      <c r="N111" s="7">
        <f t="shared" si="28"/>
        <v>207938.52384044888</v>
      </c>
    </row>
    <row r="112" spans="1:14" x14ac:dyDescent="0.25">
      <c r="A112" s="26">
        <v>43.2</v>
      </c>
      <c r="B112" s="58" t="s">
        <v>76</v>
      </c>
      <c r="C112" s="10">
        <f t="shared" si="27"/>
        <v>3695.327453556014</v>
      </c>
      <c r="D112" s="63">
        <v>0</v>
      </c>
      <c r="E112" s="11"/>
      <c r="F112" s="6"/>
      <c r="G112" s="6"/>
      <c r="H112" s="56">
        <f t="shared" si="29"/>
        <v>0</v>
      </c>
      <c r="I112" s="56">
        <f>C112+H112</f>
        <v>3695.327453556014</v>
      </c>
      <c r="J112" s="12">
        <v>0.5</v>
      </c>
      <c r="K112" s="6"/>
      <c r="L112" s="6"/>
      <c r="M112" s="85">
        <f t="shared" si="25"/>
        <v>1847.663726778007</v>
      </c>
      <c r="N112" s="7">
        <f t="shared" si="28"/>
        <v>1847.663726778007</v>
      </c>
    </row>
    <row r="113" spans="1:14" x14ac:dyDescent="0.25">
      <c r="A113" s="8">
        <v>45</v>
      </c>
      <c r="B113" s="9" t="s">
        <v>77</v>
      </c>
      <c r="C113" s="10">
        <f t="shared" si="27"/>
        <v>55.1040306577219</v>
      </c>
      <c r="D113" s="63">
        <v>0</v>
      </c>
      <c r="E113" s="11"/>
      <c r="F113" s="6"/>
      <c r="G113" s="6"/>
      <c r="H113" s="56">
        <f t="shared" si="29"/>
        <v>0</v>
      </c>
      <c r="I113" s="56">
        <f>C113+H113</f>
        <v>55.1040306577219</v>
      </c>
      <c r="J113" s="55">
        <v>0.45</v>
      </c>
      <c r="K113" s="6"/>
      <c r="L113" s="51"/>
      <c r="M113" s="85">
        <f t="shared" si="25"/>
        <v>24.796813795974856</v>
      </c>
      <c r="N113" s="7">
        <f t="shared" si="28"/>
        <v>30.307216861747044</v>
      </c>
    </row>
    <row r="114" spans="1:14" x14ac:dyDescent="0.25">
      <c r="A114" s="15">
        <v>47</v>
      </c>
      <c r="B114" s="16" t="s">
        <v>78</v>
      </c>
      <c r="C114" s="10">
        <f t="shared" si="27"/>
        <v>53875547.220419906</v>
      </c>
      <c r="D114" s="63">
        <f>'CCA - w accelerated'!E116</f>
        <v>12964766.439999999</v>
      </c>
      <c r="E114" s="11"/>
      <c r="F114" s="6"/>
      <c r="G114" s="6"/>
      <c r="H114" s="56">
        <f t="shared" si="29"/>
        <v>6482383.2199999997</v>
      </c>
      <c r="I114" s="56">
        <f>C114+H114</f>
        <v>60357930.440419905</v>
      </c>
      <c r="J114" s="55">
        <v>0.08</v>
      </c>
      <c r="K114" s="6"/>
      <c r="L114" s="6"/>
      <c r="M114" s="85">
        <f t="shared" si="25"/>
        <v>4828634.4352335921</v>
      </c>
      <c r="N114" s="7">
        <f t="shared" si="28"/>
        <v>62011679.225186311</v>
      </c>
    </row>
    <row r="115" spans="1:14" x14ac:dyDescent="0.25">
      <c r="A115" s="15">
        <v>47</v>
      </c>
      <c r="B115" s="16" t="s">
        <v>80</v>
      </c>
      <c r="C115" s="10">
        <f t="shared" si="27"/>
        <v>0</v>
      </c>
      <c r="D115" s="64">
        <v>0</v>
      </c>
      <c r="E115" s="11"/>
      <c r="F115" s="6"/>
      <c r="G115" s="6"/>
      <c r="H115" s="56">
        <f t="shared" si="29"/>
        <v>0</v>
      </c>
      <c r="I115" s="56">
        <f>E115</f>
        <v>0</v>
      </c>
      <c r="J115" s="55">
        <f>J114*1.5</f>
        <v>0.12</v>
      </c>
      <c r="K115" s="6"/>
      <c r="L115" s="6"/>
      <c r="M115" s="85">
        <f t="shared" si="25"/>
        <v>0</v>
      </c>
      <c r="N115" s="7">
        <f t="shared" si="28"/>
        <v>0</v>
      </c>
    </row>
    <row r="116" spans="1:14" x14ac:dyDescent="0.25">
      <c r="A116" s="8">
        <v>50</v>
      </c>
      <c r="B116" s="9" t="s">
        <v>77</v>
      </c>
      <c r="C116" s="10">
        <f t="shared" si="27"/>
        <v>21855.305496786441</v>
      </c>
      <c r="D116" s="1">
        <v>0</v>
      </c>
      <c r="E116" s="63"/>
      <c r="F116" s="6">
        <v>0</v>
      </c>
      <c r="G116" s="1">
        <v>0</v>
      </c>
      <c r="H116" s="56">
        <f t="shared" si="29"/>
        <v>0</v>
      </c>
      <c r="I116" s="56">
        <f>C116+H116</f>
        <v>21855.305496786441</v>
      </c>
      <c r="J116" s="12">
        <v>0.55000000000000004</v>
      </c>
      <c r="K116" s="6"/>
      <c r="L116" s="6"/>
      <c r="M116" s="85">
        <f t="shared" si="25"/>
        <v>12020.418023232543</v>
      </c>
      <c r="N116" s="7">
        <f t="shared" si="28"/>
        <v>9834.8874735538975</v>
      </c>
    </row>
    <row r="117" spans="1:14" x14ac:dyDescent="0.25">
      <c r="A117" s="66">
        <v>50</v>
      </c>
      <c r="B117" s="9" t="s">
        <v>81</v>
      </c>
      <c r="C117" s="10">
        <f t="shared" si="27"/>
        <v>0</v>
      </c>
      <c r="D117" s="63">
        <v>0</v>
      </c>
      <c r="E117" s="11"/>
      <c r="F117" s="6"/>
      <c r="G117" s="6">
        <v>0</v>
      </c>
      <c r="H117" s="56">
        <f t="shared" si="29"/>
        <v>0</v>
      </c>
      <c r="I117" s="56">
        <f>E117</f>
        <v>0</v>
      </c>
      <c r="J117" s="55">
        <f>J116*1.5</f>
        <v>0.82500000000000007</v>
      </c>
      <c r="K117" s="6"/>
      <c r="L117" s="6"/>
      <c r="M117" s="85">
        <f t="shared" si="25"/>
        <v>0</v>
      </c>
      <c r="N117" s="7">
        <f t="shared" si="28"/>
        <v>0</v>
      </c>
    </row>
    <row r="118" spans="1:14" x14ac:dyDescent="0.25">
      <c r="A118" s="18">
        <v>95</v>
      </c>
      <c r="B118" s="19" t="s">
        <v>9</v>
      </c>
      <c r="C118" s="10">
        <f t="shared" si="27"/>
        <v>0</v>
      </c>
      <c r="D118" s="63">
        <v>0</v>
      </c>
      <c r="E118" s="11">
        <v>0</v>
      </c>
      <c r="F118" s="6">
        <v>0</v>
      </c>
      <c r="G118" s="6"/>
      <c r="H118" s="56">
        <f t="shared" si="29"/>
        <v>0</v>
      </c>
      <c r="I118" s="11">
        <f>C118+D118+F118</f>
        <v>0</v>
      </c>
      <c r="J118" s="12">
        <v>0</v>
      </c>
      <c r="K118" s="6"/>
      <c r="L118" s="6"/>
      <c r="M118" s="85">
        <f t="shared" si="25"/>
        <v>0</v>
      </c>
      <c r="N118" s="7">
        <f>I118-M118</f>
        <v>0</v>
      </c>
    </row>
    <row r="119" spans="1:14" ht="15.75" thickBot="1" x14ac:dyDescent="0.3">
      <c r="A119" s="24" t="s">
        <v>10</v>
      </c>
      <c r="B119" s="21"/>
      <c r="C119" s="22">
        <f t="shared" ref="C119:I119" si="30">SUM(C100:C118)</f>
        <v>90651575.652143776</v>
      </c>
      <c r="D119" s="65">
        <f t="shared" si="30"/>
        <v>13445724.029999999</v>
      </c>
      <c r="E119" s="65">
        <f t="shared" si="30"/>
        <v>0</v>
      </c>
      <c r="F119" s="46">
        <f t="shared" si="30"/>
        <v>0</v>
      </c>
      <c r="G119" s="61">
        <f t="shared" si="30"/>
        <v>0</v>
      </c>
      <c r="H119" s="22">
        <f t="shared" si="30"/>
        <v>6722862.0149999997</v>
      </c>
      <c r="I119" s="22">
        <f t="shared" si="30"/>
        <v>97374437.667143762</v>
      </c>
      <c r="J119" s="22" t="s">
        <v>0</v>
      </c>
      <c r="K119" s="22">
        <f>SUM(K100:K118)</f>
        <v>0</v>
      </c>
      <c r="L119" s="22">
        <f>SUM(L100:L118)</f>
        <v>0</v>
      </c>
      <c r="M119" s="22">
        <f>SUM(M100:M118)</f>
        <v>6704741.4001825592</v>
      </c>
      <c r="N119" s="22">
        <f>SUM(N100:N118)</f>
        <v>97392558.281961203</v>
      </c>
    </row>
    <row r="120" spans="1:14" ht="15.75" thickTop="1" x14ac:dyDescent="0.25"/>
    <row r="121" spans="1:14" x14ac:dyDescent="0.25">
      <c r="A121">
        <v>2022</v>
      </c>
      <c r="B121" t="s">
        <v>123</v>
      </c>
      <c r="D121" s="67"/>
      <c r="E121" s="67"/>
    </row>
    <row r="122" spans="1:14" ht="30" x14ac:dyDescent="0.25">
      <c r="A122" s="23" t="s">
        <v>1</v>
      </c>
      <c r="B122" s="2" t="s">
        <v>2</v>
      </c>
      <c r="C122" s="2" t="s">
        <v>106</v>
      </c>
      <c r="D122" s="3" t="s">
        <v>105</v>
      </c>
      <c r="E122" s="3" t="s">
        <v>83</v>
      </c>
      <c r="F122" s="3" t="s">
        <v>3</v>
      </c>
      <c r="G122" s="3" t="s">
        <v>11</v>
      </c>
      <c r="H122" s="3" t="s">
        <v>4</v>
      </c>
      <c r="I122" s="3" t="s">
        <v>5</v>
      </c>
      <c r="J122" s="3" t="s">
        <v>56</v>
      </c>
      <c r="K122" s="3" t="s">
        <v>57</v>
      </c>
      <c r="L122" s="3" t="s">
        <v>6</v>
      </c>
      <c r="M122" s="83" t="s">
        <v>61</v>
      </c>
      <c r="N122" s="4" t="s">
        <v>7</v>
      </c>
    </row>
    <row r="123" spans="1:14" x14ac:dyDescent="0.25">
      <c r="A123" s="23"/>
      <c r="B123" s="2"/>
      <c r="C123" s="47"/>
      <c r="D123" s="62"/>
      <c r="E123" s="11"/>
      <c r="F123" s="5"/>
      <c r="G123" s="5"/>
      <c r="H123" s="5"/>
      <c r="I123" s="48"/>
      <c r="J123" s="49"/>
      <c r="K123" s="5"/>
      <c r="L123" s="5"/>
      <c r="M123" s="84"/>
      <c r="N123" s="50"/>
    </row>
    <row r="124" spans="1:14" x14ac:dyDescent="0.25">
      <c r="A124" s="8">
        <v>1</v>
      </c>
      <c r="B124" s="9" t="s">
        <v>67</v>
      </c>
      <c r="C124" s="10">
        <f>N100</f>
        <v>28915213.112627771</v>
      </c>
      <c r="D124" s="63">
        <f>'CCA - w accelerated'!E126</f>
        <v>1299182.4500000007</v>
      </c>
      <c r="E124" s="11"/>
      <c r="F124" s="6"/>
      <c r="G124" s="6"/>
      <c r="H124" s="56">
        <f t="shared" ref="H124:H134" si="31">SUM(D124+G124)/2</f>
        <v>649591.22500000033</v>
      </c>
      <c r="I124" s="56">
        <f>C124+H124</f>
        <v>29564804.337627772</v>
      </c>
      <c r="J124" s="55">
        <v>0.04</v>
      </c>
      <c r="K124" s="6"/>
      <c r="L124" s="6"/>
      <c r="M124" s="85">
        <f>(I124*J124)</f>
        <v>1182592.1735051109</v>
      </c>
      <c r="N124" s="7">
        <f t="shared" ref="N124:N129" si="32">H124+I124-M124</f>
        <v>29031803.389122661</v>
      </c>
    </row>
    <row r="125" spans="1:14" x14ac:dyDescent="0.25">
      <c r="A125" s="8">
        <v>1</v>
      </c>
      <c r="B125" s="9" t="s">
        <v>72</v>
      </c>
      <c r="C125" s="10">
        <f t="shared" ref="C125:C142" si="33">N101</f>
        <v>0</v>
      </c>
      <c r="D125" s="63">
        <v>0</v>
      </c>
      <c r="E125" s="11">
        <v>0</v>
      </c>
      <c r="F125" s="6" t="s">
        <v>0</v>
      </c>
      <c r="G125" s="6"/>
      <c r="H125" s="56">
        <f t="shared" si="31"/>
        <v>0</v>
      </c>
      <c r="I125" s="56">
        <f>E125</f>
        <v>0</v>
      </c>
      <c r="J125" s="55">
        <f>J124*1.5</f>
        <v>0.06</v>
      </c>
      <c r="K125" s="6"/>
      <c r="L125" s="6"/>
      <c r="M125" s="85">
        <f t="shared" ref="M125:M142" si="34">(I125*J125)</f>
        <v>0</v>
      </c>
      <c r="N125" s="7">
        <f t="shared" si="32"/>
        <v>0</v>
      </c>
    </row>
    <row r="126" spans="1:14" x14ac:dyDescent="0.25">
      <c r="A126" s="14">
        <v>2</v>
      </c>
      <c r="B126" s="9" t="s">
        <v>68</v>
      </c>
      <c r="C126" s="10">
        <f t="shared" si="33"/>
        <v>3866811.6655348442</v>
      </c>
      <c r="D126" s="63">
        <v>0</v>
      </c>
      <c r="E126" s="11">
        <v>0</v>
      </c>
      <c r="F126" s="6"/>
      <c r="G126" s="6"/>
      <c r="H126" s="56">
        <f t="shared" si="31"/>
        <v>0</v>
      </c>
      <c r="I126" s="56">
        <f>C126+H126</f>
        <v>3866811.6655348442</v>
      </c>
      <c r="J126" s="55">
        <v>0.06</v>
      </c>
      <c r="K126" s="6"/>
      <c r="L126" s="6"/>
      <c r="M126" s="85">
        <f t="shared" si="34"/>
        <v>232008.69993209065</v>
      </c>
      <c r="N126" s="7">
        <f t="shared" si="32"/>
        <v>3634802.9656027537</v>
      </c>
    </row>
    <row r="127" spans="1:14" x14ac:dyDescent="0.25">
      <c r="A127" s="15">
        <v>8</v>
      </c>
      <c r="B127" s="16" t="s">
        <v>69</v>
      </c>
      <c r="C127" s="10">
        <f t="shared" si="33"/>
        <v>1441689.0832884216</v>
      </c>
      <c r="D127" s="1">
        <f>'CCA - w accelerated'!E129</f>
        <v>328488.09999999986</v>
      </c>
      <c r="E127" s="63">
        <v>0</v>
      </c>
      <c r="F127" s="6"/>
      <c r="G127" s="6"/>
      <c r="H127" s="56">
        <f t="shared" si="31"/>
        <v>164244.04999999993</v>
      </c>
      <c r="I127" s="76">
        <f>C127+H127</f>
        <v>1605933.1332884217</v>
      </c>
      <c r="J127" s="55">
        <v>0.2</v>
      </c>
      <c r="K127" s="6"/>
      <c r="L127" s="6"/>
      <c r="M127" s="85">
        <f>(I127*J127)</f>
        <v>321186.62665768433</v>
      </c>
      <c r="N127" s="7">
        <f t="shared" si="32"/>
        <v>1448990.5566307371</v>
      </c>
    </row>
    <row r="128" spans="1:14" x14ac:dyDescent="0.25">
      <c r="A128" s="15">
        <v>8</v>
      </c>
      <c r="B128" s="16" t="s">
        <v>62</v>
      </c>
      <c r="C128" s="10">
        <f t="shared" si="33"/>
        <v>0</v>
      </c>
      <c r="D128" s="63">
        <v>0</v>
      </c>
      <c r="E128" s="11"/>
      <c r="F128" s="6"/>
      <c r="G128" s="6"/>
      <c r="H128" s="56">
        <f t="shared" si="31"/>
        <v>0</v>
      </c>
      <c r="I128" s="56">
        <f>E128</f>
        <v>0</v>
      </c>
      <c r="J128" s="55">
        <f>J127*1.5</f>
        <v>0.30000000000000004</v>
      </c>
      <c r="K128" s="6"/>
      <c r="L128" s="6"/>
      <c r="M128" s="85">
        <f t="shared" si="34"/>
        <v>0</v>
      </c>
      <c r="N128" s="7">
        <f t="shared" si="32"/>
        <v>0</v>
      </c>
    </row>
    <row r="129" spans="1:14" x14ac:dyDescent="0.25">
      <c r="A129" s="8">
        <v>10</v>
      </c>
      <c r="B129" s="9" t="s">
        <v>70</v>
      </c>
      <c r="C129" s="10">
        <f t="shared" si="33"/>
        <v>52801.743529142434</v>
      </c>
      <c r="D129" s="63">
        <f>'CCA - w accelerated'!E131</f>
        <v>678741.41</v>
      </c>
      <c r="E129" s="11"/>
      <c r="F129" s="6"/>
      <c r="G129" s="6">
        <v>0</v>
      </c>
      <c r="H129" s="56">
        <f t="shared" si="31"/>
        <v>339370.70500000002</v>
      </c>
      <c r="I129" s="56">
        <f>C129+H129</f>
        <v>392172.44852914242</v>
      </c>
      <c r="J129" s="55">
        <v>0.3</v>
      </c>
      <c r="K129" s="6"/>
      <c r="L129" s="6"/>
      <c r="M129" s="85">
        <f t="shared" si="34"/>
        <v>117651.73455874273</v>
      </c>
      <c r="N129" s="7">
        <f t="shared" si="32"/>
        <v>613891.41897039977</v>
      </c>
    </row>
    <row r="130" spans="1:14" x14ac:dyDescent="0.25">
      <c r="A130" s="15">
        <v>12</v>
      </c>
      <c r="B130" s="17" t="s">
        <v>71</v>
      </c>
      <c r="C130" s="10">
        <f t="shared" si="33"/>
        <v>0</v>
      </c>
      <c r="D130" s="63">
        <f>'CCA - w accelerated'!E133</f>
        <v>655827.49</v>
      </c>
      <c r="E130" s="11"/>
      <c r="F130" s="6"/>
      <c r="G130" s="6"/>
      <c r="H130" s="56">
        <f t="shared" si="31"/>
        <v>327913.745</v>
      </c>
      <c r="I130" s="56">
        <f>C130+H130</f>
        <v>327913.745</v>
      </c>
      <c r="J130" s="55">
        <v>1</v>
      </c>
      <c r="K130" s="6"/>
      <c r="L130" s="6"/>
      <c r="M130" s="85">
        <f t="shared" si="34"/>
        <v>327913.745</v>
      </c>
      <c r="N130" s="7">
        <f t="shared" ref="N130:N141" si="35">H130+I130-M130</f>
        <v>327913.745</v>
      </c>
    </row>
    <row r="131" spans="1:14" x14ac:dyDescent="0.25">
      <c r="A131" s="15">
        <v>12</v>
      </c>
      <c r="B131" s="9" t="s">
        <v>79</v>
      </c>
      <c r="C131" s="10">
        <f t="shared" si="33"/>
        <v>0</v>
      </c>
      <c r="D131" s="63">
        <v>0</v>
      </c>
      <c r="E131" s="11"/>
      <c r="F131" s="6"/>
      <c r="G131" s="6"/>
      <c r="H131" s="56">
        <f t="shared" si="31"/>
        <v>0</v>
      </c>
      <c r="I131" s="56">
        <f>E131</f>
        <v>0</v>
      </c>
      <c r="J131" s="55">
        <f>J130</f>
        <v>1</v>
      </c>
      <c r="K131" s="6"/>
      <c r="L131" s="6"/>
      <c r="M131" s="85">
        <f t="shared" si="34"/>
        <v>0</v>
      </c>
      <c r="N131" s="7">
        <f t="shared" si="35"/>
        <v>0</v>
      </c>
    </row>
    <row r="132" spans="1:14" x14ac:dyDescent="0.25">
      <c r="A132" s="26">
        <v>14.1</v>
      </c>
      <c r="B132" s="58" t="s">
        <v>73</v>
      </c>
      <c r="C132" s="10">
        <f t="shared" si="33"/>
        <v>341903.85929586319</v>
      </c>
      <c r="D132" s="63">
        <v>0</v>
      </c>
      <c r="E132" s="11"/>
      <c r="F132" s="6"/>
      <c r="G132" s="6"/>
      <c r="H132" s="56">
        <f t="shared" si="31"/>
        <v>0</v>
      </c>
      <c r="I132" s="56">
        <f>C132+H132</f>
        <v>341903.85929586319</v>
      </c>
      <c r="J132" s="12">
        <v>7.0000000000000007E-2</v>
      </c>
      <c r="K132" s="6"/>
      <c r="L132" s="6"/>
      <c r="M132" s="85">
        <f t="shared" si="34"/>
        <v>23933.270150710425</v>
      </c>
      <c r="N132" s="7">
        <f t="shared" si="35"/>
        <v>317970.58914515277</v>
      </c>
    </row>
    <row r="133" spans="1:14" x14ac:dyDescent="0.25">
      <c r="A133" s="26">
        <v>14.1</v>
      </c>
      <c r="B133" s="27" t="s">
        <v>74</v>
      </c>
      <c r="C133" s="10">
        <f t="shared" si="33"/>
        <v>542808.21024121332</v>
      </c>
      <c r="D133" s="63">
        <v>0</v>
      </c>
      <c r="E133" s="11"/>
      <c r="F133" s="6"/>
      <c r="G133" s="6"/>
      <c r="H133" s="56">
        <f t="shared" si="31"/>
        <v>0</v>
      </c>
      <c r="I133" s="56">
        <f>C133+H133</f>
        <v>542808.21024121332</v>
      </c>
      <c r="J133" s="12">
        <v>0.05</v>
      </c>
      <c r="K133" s="6"/>
      <c r="L133" s="6"/>
      <c r="M133" s="85">
        <f t="shared" si="34"/>
        <v>27140.410512060669</v>
      </c>
      <c r="N133" s="7">
        <f t="shared" si="35"/>
        <v>515667.79972915264</v>
      </c>
    </row>
    <row r="134" spans="1:14" x14ac:dyDescent="0.25">
      <c r="A134" s="26">
        <v>14.1</v>
      </c>
      <c r="B134" s="27" t="s">
        <v>82</v>
      </c>
      <c r="C134" s="10">
        <f t="shared" si="33"/>
        <v>0</v>
      </c>
      <c r="D134" s="63">
        <v>0</v>
      </c>
      <c r="E134" s="11"/>
      <c r="F134" s="6"/>
      <c r="G134" s="6"/>
      <c r="H134" s="56">
        <f t="shared" si="31"/>
        <v>0</v>
      </c>
      <c r="I134" s="56">
        <f>E134</f>
        <v>0</v>
      </c>
      <c r="J134" s="55">
        <f>J133*1.5</f>
        <v>7.5000000000000011E-2</v>
      </c>
      <c r="K134" s="6"/>
      <c r="L134" s="6"/>
      <c r="M134" s="85">
        <f t="shared" si="34"/>
        <v>0</v>
      </c>
      <c r="N134" s="7">
        <f t="shared" si="35"/>
        <v>0</v>
      </c>
    </row>
    <row r="135" spans="1:14" x14ac:dyDescent="0.25">
      <c r="A135" s="15">
        <v>17</v>
      </c>
      <c r="B135" s="17" t="s">
        <v>75</v>
      </c>
      <c r="C135" s="10">
        <f t="shared" si="33"/>
        <v>207938.52384044888</v>
      </c>
      <c r="D135" s="1">
        <v>0</v>
      </c>
      <c r="E135" s="63"/>
      <c r="F135" s="6"/>
      <c r="G135" s="6"/>
      <c r="H135" s="56">
        <f t="shared" ref="H135:H142" si="36">SUM(D135+G135)/2</f>
        <v>0</v>
      </c>
      <c r="I135" s="56">
        <f>C135+H135</f>
        <v>207938.52384044888</v>
      </c>
      <c r="J135" s="55">
        <v>0.08</v>
      </c>
      <c r="K135" s="6"/>
      <c r="L135" s="6"/>
      <c r="M135" s="85">
        <f t="shared" si="34"/>
        <v>16635.081907235912</v>
      </c>
      <c r="N135" s="7">
        <f t="shared" si="35"/>
        <v>191303.44193321298</v>
      </c>
    </row>
    <row r="136" spans="1:14" x14ac:dyDescent="0.25">
      <c r="A136" s="26">
        <v>43.2</v>
      </c>
      <c r="B136" s="58" t="s">
        <v>76</v>
      </c>
      <c r="C136" s="10">
        <f t="shared" si="33"/>
        <v>1847.663726778007</v>
      </c>
      <c r="D136" s="63">
        <v>0</v>
      </c>
      <c r="E136" s="11"/>
      <c r="F136" s="6"/>
      <c r="G136" s="6"/>
      <c r="H136" s="56">
        <f t="shared" si="36"/>
        <v>0</v>
      </c>
      <c r="I136" s="56">
        <f>C136+H136</f>
        <v>1847.663726778007</v>
      </c>
      <c r="J136" s="12">
        <v>0.5</v>
      </c>
      <c r="K136" s="6"/>
      <c r="L136" s="6"/>
      <c r="M136" s="85">
        <f t="shared" si="34"/>
        <v>923.8318633890035</v>
      </c>
      <c r="N136" s="7">
        <f t="shared" si="35"/>
        <v>923.8318633890035</v>
      </c>
    </row>
    <row r="137" spans="1:14" x14ac:dyDescent="0.25">
      <c r="A137" s="8">
        <v>45</v>
      </c>
      <c r="B137" s="9" t="s">
        <v>77</v>
      </c>
      <c r="C137" s="10">
        <f t="shared" si="33"/>
        <v>30.307216861747044</v>
      </c>
      <c r="D137" s="63">
        <v>0</v>
      </c>
      <c r="E137" s="11"/>
      <c r="F137" s="6"/>
      <c r="G137" s="6"/>
      <c r="H137" s="56">
        <f t="shared" si="36"/>
        <v>0</v>
      </c>
      <c r="I137" s="56">
        <f>C137+H137</f>
        <v>30.307216861747044</v>
      </c>
      <c r="J137" s="55">
        <v>0.45</v>
      </c>
      <c r="K137" s="6"/>
      <c r="L137" s="51"/>
      <c r="M137" s="85">
        <f t="shared" si="34"/>
        <v>13.63824758778617</v>
      </c>
      <c r="N137" s="7">
        <f t="shared" si="35"/>
        <v>16.668969273960876</v>
      </c>
    </row>
    <row r="138" spans="1:14" x14ac:dyDescent="0.25">
      <c r="A138" s="15">
        <v>47</v>
      </c>
      <c r="B138" s="16" t="s">
        <v>78</v>
      </c>
      <c r="C138" s="10">
        <f t="shared" si="33"/>
        <v>62011679.225186311</v>
      </c>
      <c r="D138" s="63">
        <f>'CCA - w accelerated'!E141</f>
        <v>9937175.759999983</v>
      </c>
      <c r="E138" s="11"/>
      <c r="F138" s="6"/>
      <c r="G138" s="6"/>
      <c r="H138" s="56">
        <f t="shared" si="36"/>
        <v>4968587.8799999915</v>
      </c>
      <c r="I138" s="56">
        <f>C138+H138</f>
        <v>66980267.105186298</v>
      </c>
      <c r="J138" s="55">
        <v>0.08</v>
      </c>
      <c r="K138" s="6"/>
      <c r="L138" s="6"/>
      <c r="M138" s="85">
        <f t="shared" si="34"/>
        <v>5358421.368414904</v>
      </c>
      <c r="N138" s="7">
        <f t="shared" si="35"/>
        <v>66590433.616771393</v>
      </c>
    </row>
    <row r="139" spans="1:14" x14ac:dyDescent="0.25">
      <c r="A139" s="15">
        <v>47</v>
      </c>
      <c r="B139" s="16" t="s">
        <v>80</v>
      </c>
      <c r="C139" s="10">
        <f t="shared" si="33"/>
        <v>0</v>
      </c>
      <c r="D139" s="64">
        <v>0</v>
      </c>
      <c r="E139" s="11"/>
      <c r="F139" s="6"/>
      <c r="G139" s="6"/>
      <c r="H139" s="56">
        <f t="shared" si="36"/>
        <v>0</v>
      </c>
      <c r="I139" s="56">
        <f>E139</f>
        <v>0</v>
      </c>
      <c r="J139" s="55">
        <f>J138*1.5</f>
        <v>0.12</v>
      </c>
      <c r="K139" s="6"/>
      <c r="L139" s="6"/>
      <c r="M139" s="85">
        <f t="shared" si="34"/>
        <v>0</v>
      </c>
      <c r="N139" s="7">
        <f t="shared" si="35"/>
        <v>0</v>
      </c>
    </row>
    <row r="140" spans="1:14" x14ac:dyDescent="0.25">
      <c r="A140" s="8">
        <v>50</v>
      </c>
      <c r="B140" s="9" t="s">
        <v>77</v>
      </c>
      <c r="C140" s="10">
        <f t="shared" si="33"/>
        <v>9834.8874735538975</v>
      </c>
      <c r="D140" s="1">
        <f>'CCA - w accelerated'!E143</f>
        <v>706634.14</v>
      </c>
      <c r="E140" s="63"/>
      <c r="F140" s="6">
        <v>0</v>
      </c>
      <c r="G140" s="1">
        <v>0</v>
      </c>
      <c r="H140" s="56">
        <f t="shared" si="36"/>
        <v>353317.07</v>
      </c>
      <c r="I140" s="56">
        <f>C140+H140</f>
        <v>363151.95747355389</v>
      </c>
      <c r="J140" s="12">
        <v>0.55000000000000004</v>
      </c>
      <c r="K140" s="6"/>
      <c r="L140" s="6"/>
      <c r="M140" s="85">
        <f>(I140*J140)</f>
        <v>199733.57661045465</v>
      </c>
      <c r="N140" s="7">
        <f t="shared" si="35"/>
        <v>516735.45086309925</v>
      </c>
    </row>
    <row r="141" spans="1:14" x14ac:dyDescent="0.25">
      <c r="A141" s="66">
        <v>50</v>
      </c>
      <c r="B141" s="9" t="s">
        <v>81</v>
      </c>
      <c r="C141" s="10">
        <f t="shared" si="33"/>
        <v>0</v>
      </c>
      <c r="D141" s="63">
        <v>0</v>
      </c>
      <c r="E141" s="11"/>
      <c r="F141" s="6"/>
      <c r="G141" s="6">
        <v>0</v>
      </c>
      <c r="H141" s="56">
        <f t="shared" si="36"/>
        <v>0</v>
      </c>
      <c r="I141" s="56">
        <f>E141</f>
        <v>0</v>
      </c>
      <c r="J141" s="55">
        <f>J140*1.5</f>
        <v>0.82500000000000007</v>
      </c>
      <c r="K141" s="6"/>
      <c r="L141" s="6"/>
      <c r="M141" s="85">
        <f t="shared" si="34"/>
        <v>0</v>
      </c>
      <c r="N141" s="7">
        <f t="shared" si="35"/>
        <v>0</v>
      </c>
    </row>
    <row r="142" spans="1:14" x14ac:dyDescent="0.25">
      <c r="A142" s="18">
        <v>95</v>
      </c>
      <c r="B142" s="19" t="s">
        <v>9</v>
      </c>
      <c r="C142" s="10">
        <f t="shared" si="33"/>
        <v>0</v>
      </c>
      <c r="D142" s="63">
        <v>0</v>
      </c>
      <c r="E142" s="11">
        <v>0</v>
      </c>
      <c r="F142" s="6">
        <v>0</v>
      </c>
      <c r="G142" s="6"/>
      <c r="H142" s="56">
        <f t="shared" si="36"/>
        <v>0</v>
      </c>
      <c r="I142" s="11">
        <f>C142+D142+F142</f>
        <v>0</v>
      </c>
      <c r="J142" s="12">
        <v>0</v>
      </c>
      <c r="K142" s="6"/>
      <c r="L142" s="6"/>
      <c r="M142" s="85">
        <f t="shared" si="34"/>
        <v>0</v>
      </c>
      <c r="N142" s="7">
        <f>I142-M142</f>
        <v>0</v>
      </c>
    </row>
    <row r="143" spans="1:14" ht="15.75" thickBot="1" x14ac:dyDescent="0.3">
      <c r="A143" s="24" t="s">
        <v>10</v>
      </c>
      <c r="B143" s="21"/>
      <c r="C143" s="22">
        <f t="shared" ref="C143:I143" si="37">SUM(C124:C142)</f>
        <v>97392558.281961203</v>
      </c>
      <c r="D143" s="65">
        <f t="shared" si="37"/>
        <v>13606049.349999983</v>
      </c>
      <c r="E143" s="65">
        <f t="shared" si="37"/>
        <v>0</v>
      </c>
      <c r="F143" s="46">
        <f t="shared" si="37"/>
        <v>0</v>
      </c>
      <c r="G143" s="61">
        <f t="shared" si="37"/>
        <v>0</v>
      </c>
      <c r="H143" s="22">
        <f t="shared" si="37"/>
        <v>6803024.6749999914</v>
      </c>
      <c r="I143" s="22">
        <f t="shared" si="37"/>
        <v>104195582.9569612</v>
      </c>
      <c r="J143" s="22" t="s">
        <v>0</v>
      </c>
      <c r="K143" s="22">
        <f>SUM(K124:K142)</f>
        <v>0</v>
      </c>
      <c r="L143" s="22">
        <f>SUM(L124:L142)</f>
        <v>0</v>
      </c>
      <c r="M143" s="22">
        <f>SUM(M124:M142)</f>
        <v>7808154.1573599707</v>
      </c>
      <c r="N143" s="22">
        <f>SUM(N124:N142)</f>
        <v>103190453.47460121</v>
      </c>
    </row>
    <row r="144" spans="1:14" ht="15.75" thickTop="1" x14ac:dyDescent="0.25"/>
    <row r="145" spans="1:14" x14ac:dyDescent="0.25">
      <c r="A145">
        <v>2023</v>
      </c>
      <c r="B145" t="s">
        <v>123</v>
      </c>
      <c r="D145" s="67"/>
      <c r="E145" s="67"/>
    </row>
    <row r="146" spans="1:14" ht="30" x14ac:dyDescent="0.25">
      <c r="A146" s="23" t="s">
        <v>1</v>
      </c>
      <c r="B146" s="2" t="s">
        <v>2</v>
      </c>
      <c r="C146" s="2" t="s">
        <v>107</v>
      </c>
      <c r="D146" s="3" t="s">
        <v>108</v>
      </c>
      <c r="E146" s="3" t="s">
        <v>83</v>
      </c>
      <c r="F146" s="3" t="s">
        <v>3</v>
      </c>
      <c r="G146" s="3" t="s">
        <v>11</v>
      </c>
      <c r="H146" s="3" t="s">
        <v>4</v>
      </c>
      <c r="I146" s="3" t="s">
        <v>5</v>
      </c>
      <c r="J146" s="3" t="s">
        <v>56</v>
      </c>
      <c r="K146" s="3" t="s">
        <v>57</v>
      </c>
      <c r="L146" s="3" t="s">
        <v>6</v>
      </c>
      <c r="M146" s="83" t="s">
        <v>61</v>
      </c>
      <c r="N146" s="4" t="s">
        <v>7</v>
      </c>
    </row>
    <row r="147" spans="1:14" x14ac:dyDescent="0.25">
      <c r="A147" s="23"/>
      <c r="B147" s="2"/>
      <c r="C147" s="47"/>
      <c r="D147" s="62"/>
      <c r="E147" s="11"/>
      <c r="F147" s="5"/>
      <c r="G147" s="5"/>
      <c r="H147" s="5"/>
      <c r="I147" s="48"/>
      <c r="J147" s="49"/>
      <c r="K147" s="5"/>
      <c r="L147" s="5"/>
      <c r="M147" s="84"/>
      <c r="N147" s="50"/>
    </row>
    <row r="148" spans="1:14" x14ac:dyDescent="0.25">
      <c r="A148" s="8">
        <v>1</v>
      </c>
      <c r="B148" s="9" t="s">
        <v>67</v>
      </c>
      <c r="C148" s="10">
        <f>N124</f>
        <v>29031803.389122661</v>
      </c>
      <c r="D148" s="63">
        <f>'CCA - w accelerated'!E151</f>
        <v>113815.00000000006</v>
      </c>
      <c r="E148" s="11"/>
      <c r="F148" s="6"/>
      <c r="G148" s="6"/>
      <c r="H148" s="56">
        <f t="shared" ref="H148:H158" si="38">SUM(D148+G148)/2</f>
        <v>56907.500000000029</v>
      </c>
      <c r="I148" s="56">
        <f>C148+H148</f>
        <v>29088710.889122661</v>
      </c>
      <c r="J148" s="55">
        <v>0.04</v>
      </c>
      <c r="K148" s="6"/>
      <c r="L148" s="6"/>
      <c r="M148" s="85">
        <f t="shared" ref="M148:M168" si="39">(I148*J148)</f>
        <v>1163548.4355649066</v>
      </c>
      <c r="N148" s="7">
        <f t="shared" ref="N148:N153" si="40">H148+I148-M148</f>
        <v>27982069.953557756</v>
      </c>
    </row>
    <row r="149" spans="1:14" x14ac:dyDescent="0.25">
      <c r="A149" s="8">
        <v>1</v>
      </c>
      <c r="B149" s="9" t="s">
        <v>72</v>
      </c>
      <c r="C149" s="10">
        <f t="shared" ref="C149:C160" si="41">N125</f>
        <v>0</v>
      </c>
      <c r="D149" s="63">
        <v>0</v>
      </c>
      <c r="E149" s="11">
        <v>0</v>
      </c>
      <c r="F149" s="6" t="s">
        <v>0</v>
      </c>
      <c r="G149" s="6"/>
      <c r="H149" s="56">
        <f t="shared" si="38"/>
        <v>0</v>
      </c>
      <c r="I149" s="56">
        <f>E149</f>
        <v>0</v>
      </c>
      <c r="J149" s="55">
        <f>J148*1.5</f>
        <v>0.06</v>
      </c>
      <c r="K149" s="6"/>
      <c r="L149" s="6"/>
      <c r="M149" s="85">
        <f t="shared" si="39"/>
        <v>0</v>
      </c>
      <c r="N149" s="7">
        <f t="shared" si="40"/>
        <v>0</v>
      </c>
    </row>
    <row r="150" spans="1:14" x14ac:dyDescent="0.25">
      <c r="A150" s="14">
        <v>2</v>
      </c>
      <c r="B150" s="9" t="s">
        <v>68</v>
      </c>
      <c r="C150" s="10">
        <f t="shared" si="41"/>
        <v>3634802.9656027537</v>
      </c>
      <c r="D150" s="63">
        <v>0</v>
      </c>
      <c r="E150" s="11">
        <v>0</v>
      </c>
      <c r="F150" s="6"/>
      <c r="G150" s="6"/>
      <c r="H150" s="56">
        <f t="shared" si="38"/>
        <v>0</v>
      </c>
      <c r="I150" s="56">
        <f>C150+H150</f>
        <v>3634802.9656027537</v>
      </c>
      <c r="J150" s="55">
        <v>0.06</v>
      </c>
      <c r="K150" s="6"/>
      <c r="L150" s="6"/>
      <c r="M150" s="85">
        <f t="shared" si="39"/>
        <v>218088.17793616522</v>
      </c>
      <c r="N150" s="7">
        <f t="shared" si="40"/>
        <v>3416714.7876665886</v>
      </c>
    </row>
    <row r="151" spans="1:14" x14ac:dyDescent="0.25">
      <c r="A151" s="15">
        <v>8</v>
      </c>
      <c r="B151" s="16" t="s">
        <v>69</v>
      </c>
      <c r="C151" s="10">
        <f t="shared" si="41"/>
        <v>1448990.5566307371</v>
      </c>
      <c r="D151" s="1">
        <f>'CCA - w accelerated'!E154</f>
        <v>157617.06999999966</v>
      </c>
      <c r="E151" s="63">
        <v>0</v>
      </c>
      <c r="F151" s="6"/>
      <c r="G151" s="6"/>
      <c r="H151" s="56">
        <f t="shared" si="38"/>
        <v>78808.534999999829</v>
      </c>
      <c r="I151" s="56">
        <f>C151+H151</f>
        <v>1527799.0916307371</v>
      </c>
      <c r="J151" s="55">
        <v>0.2</v>
      </c>
      <c r="K151" s="6"/>
      <c r="L151" s="6"/>
      <c r="M151" s="85">
        <f t="shared" si="39"/>
        <v>305559.81832614745</v>
      </c>
      <c r="N151" s="7">
        <f t="shared" si="40"/>
        <v>1301047.8083045895</v>
      </c>
    </row>
    <row r="152" spans="1:14" x14ac:dyDescent="0.25">
      <c r="A152" s="15">
        <v>8</v>
      </c>
      <c r="B152" s="16" t="s">
        <v>62</v>
      </c>
      <c r="C152" s="10">
        <f t="shared" si="41"/>
        <v>0</v>
      </c>
      <c r="D152" s="63">
        <v>0</v>
      </c>
      <c r="E152" s="11"/>
      <c r="F152" s="6"/>
      <c r="G152" s="6"/>
      <c r="H152" s="56">
        <f t="shared" si="38"/>
        <v>0</v>
      </c>
      <c r="I152" s="56">
        <f>E152</f>
        <v>0</v>
      </c>
      <c r="J152" s="55">
        <f>J151*1.5</f>
        <v>0.30000000000000004</v>
      </c>
      <c r="K152" s="6"/>
      <c r="L152" s="6"/>
      <c r="M152" s="85">
        <f t="shared" si="39"/>
        <v>0</v>
      </c>
      <c r="N152" s="7">
        <f t="shared" si="40"/>
        <v>0</v>
      </c>
    </row>
    <row r="153" spans="1:14" x14ac:dyDescent="0.25">
      <c r="A153" s="8">
        <v>10</v>
      </c>
      <c r="B153" s="9" t="s">
        <v>70</v>
      </c>
      <c r="C153" s="10">
        <f t="shared" si="41"/>
        <v>613891.41897039977</v>
      </c>
      <c r="D153" s="63">
        <f>'CCA - w accelerated'!E156</f>
        <v>538420.51</v>
      </c>
      <c r="E153" s="11"/>
      <c r="F153" s="6"/>
      <c r="G153" s="6">
        <v>0</v>
      </c>
      <c r="H153" s="56">
        <f t="shared" si="38"/>
        <v>269210.255</v>
      </c>
      <c r="I153" s="56">
        <f>C153+H153</f>
        <v>883101.67397039977</v>
      </c>
      <c r="J153" s="55">
        <v>0.3</v>
      </c>
      <c r="K153" s="6"/>
      <c r="L153" s="6"/>
      <c r="M153" s="85">
        <f t="shared" si="39"/>
        <v>264930.50219111994</v>
      </c>
      <c r="N153" s="7">
        <f t="shared" si="40"/>
        <v>887381.42677927983</v>
      </c>
    </row>
    <row r="154" spans="1:14" x14ac:dyDescent="0.25">
      <c r="A154" s="15">
        <v>12</v>
      </c>
      <c r="B154" s="17" t="s">
        <v>71</v>
      </c>
      <c r="C154" s="10">
        <f t="shared" si="41"/>
        <v>327913.745</v>
      </c>
      <c r="D154" s="63">
        <f>'CCA - w accelerated'!E158</f>
        <v>547135.40000000037</v>
      </c>
      <c r="E154" s="11"/>
      <c r="F154" s="6"/>
      <c r="G154" s="6"/>
      <c r="H154" s="56">
        <f t="shared" si="38"/>
        <v>273567.70000000019</v>
      </c>
      <c r="I154" s="56">
        <f>C154+H154</f>
        <v>601481.44500000018</v>
      </c>
      <c r="J154" s="55">
        <v>1</v>
      </c>
      <c r="K154" s="6"/>
      <c r="L154" s="6"/>
      <c r="M154" s="85">
        <f t="shared" si="39"/>
        <v>601481.44500000018</v>
      </c>
      <c r="N154" s="7">
        <f t="shared" ref="N154:N167" si="42">H154+I154-M154</f>
        <v>273567.70000000019</v>
      </c>
    </row>
    <row r="155" spans="1:14" x14ac:dyDescent="0.25">
      <c r="A155" s="15">
        <v>12</v>
      </c>
      <c r="B155" s="9" t="s">
        <v>79</v>
      </c>
      <c r="C155" s="10">
        <f t="shared" si="41"/>
        <v>0</v>
      </c>
      <c r="D155" s="63">
        <v>0</v>
      </c>
      <c r="E155" s="11"/>
      <c r="F155" s="6"/>
      <c r="G155" s="6"/>
      <c r="H155" s="56">
        <f t="shared" si="38"/>
        <v>0</v>
      </c>
      <c r="I155" s="56">
        <f>E155</f>
        <v>0</v>
      </c>
      <c r="J155" s="55">
        <f>J154</f>
        <v>1</v>
      </c>
      <c r="K155" s="6"/>
      <c r="L155" s="6"/>
      <c r="M155" s="85">
        <f t="shared" si="39"/>
        <v>0</v>
      </c>
      <c r="N155" s="7">
        <f t="shared" si="42"/>
        <v>0</v>
      </c>
    </row>
    <row r="156" spans="1:14" x14ac:dyDescent="0.25">
      <c r="A156" s="26">
        <v>14.1</v>
      </c>
      <c r="B156" s="58" t="s">
        <v>73</v>
      </c>
      <c r="C156" s="10">
        <f t="shared" si="41"/>
        <v>317970.58914515277</v>
      </c>
      <c r="D156" s="63">
        <v>0</v>
      </c>
      <c r="E156" s="11"/>
      <c r="F156" s="6"/>
      <c r="G156" s="6"/>
      <c r="H156" s="56">
        <f t="shared" si="38"/>
        <v>0</v>
      </c>
      <c r="I156" s="56">
        <f>C156+H156</f>
        <v>317970.58914515277</v>
      </c>
      <c r="J156" s="12">
        <v>7.0000000000000007E-2</v>
      </c>
      <c r="K156" s="6"/>
      <c r="L156" s="6"/>
      <c r="M156" s="85">
        <f t="shared" si="39"/>
        <v>22257.941240160697</v>
      </c>
      <c r="N156" s="7">
        <f t="shared" si="42"/>
        <v>295712.6479049921</v>
      </c>
    </row>
    <row r="157" spans="1:14" x14ac:dyDescent="0.25">
      <c r="A157" s="26">
        <v>14.1</v>
      </c>
      <c r="B157" s="27" t="s">
        <v>74</v>
      </c>
      <c r="C157" s="10">
        <f t="shared" si="41"/>
        <v>515667.79972915264</v>
      </c>
      <c r="D157" s="63">
        <v>0</v>
      </c>
      <c r="E157" s="11"/>
      <c r="F157" s="6"/>
      <c r="G157" s="6"/>
      <c r="H157" s="56">
        <f t="shared" si="38"/>
        <v>0</v>
      </c>
      <c r="I157" s="56">
        <f>C157+H157</f>
        <v>515667.79972915264</v>
      </c>
      <c r="J157" s="12">
        <v>0.05</v>
      </c>
      <c r="K157" s="6"/>
      <c r="L157" s="6"/>
      <c r="M157" s="85">
        <f t="shared" si="39"/>
        <v>25783.389986457634</v>
      </c>
      <c r="N157" s="7">
        <f t="shared" si="42"/>
        <v>489884.40974269499</v>
      </c>
    </row>
    <row r="158" spans="1:14" x14ac:dyDescent="0.25">
      <c r="A158" s="26">
        <v>14.1</v>
      </c>
      <c r="B158" s="27" t="s">
        <v>82</v>
      </c>
      <c r="C158" s="10">
        <f t="shared" si="41"/>
        <v>0</v>
      </c>
      <c r="D158" s="63">
        <v>0</v>
      </c>
      <c r="E158" s="11"/>
      <c r="F158" s="6"/>
      <c r="G158" s="6"/>
      <c r="H158" s="56">
        <f t="shared" si="38"/>
        <v>0</v>
      </c>
      <c r="I158" s="56">
        <f>E158</f>
        <v>0</v>
      </c>
      <c r="J158" s="55">
        <f>J157*1.5</f>
        <v>7.5000000000000011E-2</v>
      </c>
      <c r="K158" s="6"/>
      <c r="L158" s="6"/>
      <c r="M158" s="85">
        <f t="shared" si="39"/>
        <v>0</v>
      </c>
      <c r="N158" s="7">
        <f t="shared" si="42"/>
        <v>0</v>
      </c>
    </row>
    <row r="159" spans="1:14" x14ac:dyDescent="0.25">
      <c r="A159" s="15">
        <v>17</v>
      </c>
      <c r="B159" s="17" t="s">
        <v>75</v>
      </c>
      <c r="C159" s="10">
        <f t="shared" si="41"/>
        <v>191303.44193321298</v>
      </c>
      <c r="D159" s="1">
        <v>0</v>
      </c>
      <c r="E159" s="63"/>
      <c r="F159" s="6"/>
      <c r="G159" s="6"/>
      <c r="H159" s="56">
        <f t="shared" ref="H159:H168" si="43">SUM(D159+G159)/2</f>
        <v>0</v>
      </c>
      <c r="I159" s="56">
        <f>C159+H159</f>
        <v>191303.44193321298</v>
      </c>
      <c r="J159" s="55">
        <v>0.08</v>
      </c>
      <c r="K159" s="6"/>
      <c r="L159" s="6"/>
      <c r="M159" s="85">
        <f t="shared" si="39"/>
        <v>15304.275354657038</v>
      </c>
      <c r="N159" s="7">
        <f t="shared" si="42"/>
        <v>175999.16657855595</v>
      </c>
    </row>
    <row r="160" spans="1:14" x14ac:dyDescent="0.25">
      <c r="A160" s="26">
        <v>43.2</v>
      </c>
      <c r="B160" s="58" t="s">
        <v>76</v>
      </c>
      <c r="C160" s="10">
        <f t="shared" si="41"/>
        <v>923.8318633890035</v>
      </c>
      <c r="D160" s="63">
        <v>0</v>
      </c>
      <c r="E160" s="11"/>
      <c r="F160" s="6"/>
      <c r="G160" s="6"/>
      <c r="H160" s="56">
        <f t="shared" si="43"/>
        <v>0</v>
      </c>
      <c r="I160" s="56">
        <f>C160+H160</f>
        <v>923.8318633890035</v>
      </c>
      <c r="J160" s="12">
        <v>0.5</v>
      </c>
      <c r="K160" s="6"/>
      <c r="L160" s="6"/>
      <c r="M160" s="85">
        <f t="shared" si="39"/>
        <v>461.91593169450175</v>
      </c>
      <c r="N160" s="7">
        <f t="shared" si="42"/>
        <v>461.91593169450175</v>
      </c>
    </row>
    <row r="161" spans="1:14" x14ac:dyDescent="0.25">
      <c r="A161" s="26">
        <v>46</v>
      </c>
      <c r="B161" s="9" t="s">
        <v>119</v>
      </c>
      <c r="C161" s="10">
        <v>0</v>
      </c>
      <c r="D161" s="63">
        <f>'CCA - w accelerated'!E166</f>
        <v>132011.56</v>
      </c>
      <c r="E161" s="11"/>
      <c r="F161" s="6"/>
      <c r="G161" s="6"/>
      <c r="H161" s="56">
        <f>SUM(D161+G161)/2</f>
        <v>66005.78</v>
      </c>
      <c r="I161" s="56">
        <f>C161+H161</f>
        <v>66005.78</v>
      </c>
      <c r="J161" s="12">
        <v>0.3</v>
      </c>
      <c r="K161" s="6"/>
      <c r="L161" s="6"/>
      <c r="M161" s="85">
        <f>(I161*J161)</f>
        <v>19801.734</v>
      </c>
      <c r="N161" s="7">
        <f>H161+I161-M161</f>
        <v>112209.826</v>
      </c>
    </row>
    <row r="162" spans="1:14" x14ac:dyDescent="0.25">
      <c r="A162" s="26">
        <v>46</v>
      </c>
      <c r="B162" s="9" t="s">
        <v>120</v>
      </c>
      <c r="C162" s="10">
        <v>0</v>
      </c>
      <c r="D162" s="63"/>
      <c r="E162" s="11"/>
      <c r="F162" s="6"/>
      <c r="G162" s="6"/>
      <c r="H162" s="56">
        <f>SUM(D162+G162)/2</f>
        <v>0</v>
      </c>
      <c r="I162" s="56">
        <f>E162</f>
        <v>0</v>
      </c>
      <c r="J162" s="12">
        <f>J161</f>
        <v>0.3</v>
      </c>
      <c r="K162" s="6"/>
      <c r="L162" s="6"/>
      <c r="M162" s="85">
        <f>(I162*J162)</f>
        <v>0</v>
      </c>
      <c r="N162" s="7">
        <f>H162+I162-M162</f>
        <v>0</v>
      </c>
    </row>
    <row r="163" spans="1:14" x14ac:dyDescent="0.25">
      <c r="A163" s="8">
        <v>45</v>
      </c>
      <c r="B163" s="9" t="s">
        <v>77</v>
      </c>
      <c r="C163" s="10">
        <f t="shared" ref="C163:C168" si="44">N137</f>
        <v>16.668969273960876</v>
      </c>
      <c r="D163" s="63">
        <v>0</v>
      </c>
      <c r="E163" s="11"/>
      <c r="F163" s="6"/>
      <c r="G163" s="6"/>
      <c r="H163" s="56">
        <f t="shared" si="43"/>
        <v>0</v>
      </c>
      <c r="I163" s="56">
        <f>C163+H163</f>
        <v>16.668969273960876</v>
      </c>
      <c r="J163" s="55">
        <v>0.45</v>
      </c>
      <c r="K163" s="6"/>
      <c r="L163" s="51"/>
      <c r="M163" s="85">
        <f t="shared" si="39"/>
        <v>7.5010361732823947</v>
      </c>
      <c r="N163" s="7">
        <f t="shared" si="42"/>
        <v>9.1679331006784821</v>
      </c>
    </row>
    <row r="164" spans="1:14" x14ac:dyDescent="0.25">
      <c r="A164" s="15">
        <v>47</v>
      </c>
      <c r="B164" s="16" t="s">
        <v>78</v>
      </c>
      <c r="C164" s="10">
        <f t="shared" si="44"/>
        <v>66590433.616771393</v>
      </c>
      <c r="D164" s="63">
        <f>'CCA - w accelerated'!E168</f>
        <v>10010654.469999988</v>
      </c>
      <c r="E164" s="11"/>
      <c r="F164" s="6"/>
      <c r="G164" s="6"/>
      <c r="H164" s="56">
        <f t="shared" si="43"/>
        <v>5005327.2349999938</v>
      </c>
      <c r="I164" s="56">
        <f>C164+H164</f>
        <v>71595760.851771384</v>
      </c>
      <c r="J164" s="55">
        <v>0.08</v>
      </c>
      <c r="K164" s="6"/>
      <c r="L164" s="6"/>
      <c r="M164" s="85">
        <f t="shared" si="39"/>
        <v>5727660.8681417108</v>
      </c>
      <c r="N164" s="7">
        <f t="shared" si="42"/>
        <v>70873427.218629673</v>
      </c>
    </row>
    <row r="165" spans="1:14" x14ac:dyDescent="0.25">
      <c r="A165" s="15">
        <v>47</v>
      </c>
      <c r="B165" s="16" t="s">
        <v>80</v>
      </c>
      <c r="C165" s="10">
        <f t="shared" si="44"/>
        <v>0</v>
      </c>
      <c r="D165" s="64">
        <v>0</v>
      </c>
      <c r="E165" s="11"/>
      <c r="F165" s="6"/>
      <c r="G165" s="6"/>
      <c r="H165" s="56">
        <f t="shared" si="43"/>
        <v>0</v>
      </c>
      <c r="I165" s="56">
        <f>E165</f>
        <v>0</v>
      </c>
      <c r="J165" s="55">
        <f>J164*1.5</f>
        <v>0.12</v>
      </c>
      <c r="K165" s="6"/>
      <c r="L165" s="6"/>
      <c r="M165" s="85">
        <f t="shared" si="39"/>
        <v>0</v>
      </c>
      <c r="N165" s="7">
        <f t="shared" si="42"/>
        <v>0</v>
      </c>
    </row>
    <row r="166" spans="1:14" x14ac:dyDescent="0.25">
      <c r="A166" s="8">
        <v>50</v>
      </c>
      <c r="B166" s="9" t="s">
        <v>77</v>
      </c>
      <c r="C166" s="10">
        <f t="shared" si="44"/>
        <v>516735.45086309925</v>
      </c>
      <c r="D166" s="1">
        <f>'CCA - w accelerated'!E170</f>
        <v>458849.89999999997</v>
      </c>
      <c r="E166" s="63"/>
      <c r="F166" s="6">
        <v>0</v>
      </c>
      <c r="G166" s="1">
        <v>0</v>
      </c>
      <c r="H166" s="56">
        <f t="shared" si="43"/>
        <v>229424.94999999998</v>
      </c>
      <c r="I166" s="56">
        <f>C166+H166</f>
        <v>746160.40086309926</v>
      </c>
      <c r="J166" s="12">
        <v>0.55000000000000004</v>
      </c>
      <c r="K166" s="6"/>
      <c r="L166" s="6"/>
      <c r="M166" s="85">
        <f t="shared" si="39"/>
        <v>410388.22047470463</v>
      </c>
      <c r="N166" s="7">
        <f t="shared" si="42"/>
        <v>565197.13038839458</v>
      </c>
    </row>
    <row r="167" spans="1:14" x14ac:dyDescent="0.25">
      <c r="A167" s="66">
        <v>50</v>
      </c>
      <c r="B167" s="9" t="s">
        <v>81</v>
      </c>
      <c r="C167" s="10">
        <f t="shared" si="44"/>
        <v>0</v>
      </c>
      <c r="D167" s="63">
        <v>0</v>
      </c>
      <c r="E167" s="11"/>
      <c r="F167" s="6"/>
      <c r="G167" s="6">
        <v>0</v>
      </c>
      <c r="H167" s="56">
        <f t="shared" si="43"/>
        <v>0</v>
      </c>
      <c r="I167" s="56">
        <f>E167</f>
        <v>0</v>
      </c>
      <c r="J167" s="55">
        <f>J166*1.5</f>
        <v>0.82500000000000007</v>
      </c>
      <c r="K167" s="6"/>
      <c r="L167" s="6"/>
      <c r="M167" s="85">
        <f t="shared" si="39"/>
        <v>0</v>
      </c>
      <c r="N167" s="7">
        <f t="shared" si="42"/>
        <v>0</v>
      </c>
    </row>
    <row r="168" spans="1:14" x14ac:dyDescent="0.25">
      <c r="A168" s="18">
        <v>95</v>
      </c>
      <c r="B168" s="19" t="s">
        <v>9</v>
      </c>
      <c r="C168" s="10">
        <f t="shared" si="44"/>
        <v>0</v>
      </c>
      <c r="D168" s="63">
        <v>0</v>
      </c>
      <c r="E168" s="11">
        <v>0</v>
      </c>
      <c r="F168" s="6">
        <v>0</v>
      </c>
      <c r="G168" s="6"/>
      <c r="H168" s="56">
        <f t="shared" si="43"/>
        <v>0</v>
      </c>
      <c r="I168" s="11">
        <f>C168+D168+F168</f>
        <v>0</v>
      </c>
      <c r="J168" s="12">
        <v>0</v>
      </c>
      <c r="K168" s="6"/>
      <c r="L168" s="6"/>
      <c r="M168" s="85">
        <f t="shared" si="39"/>
        <v>0</v>
      </c>
      <c r="N168" s="7">
        <f>I168-M168</f>
        <v>0</v>
      </c>
    </row>
    <row r="169" spans="1:14" ht="15.75" thickBot="1" x14ac:dyDescent="0.3">
      <c r="A169" s="24" t="s">
        <v>10</v>
      </c>
      <c r="B169" s="21"/>
      <c r="C169" s="22">
        <f t="shared" ref="C169:I169" si="45">SUM(C148:C168)</f>
        <v>103190453.47460121</v>
      </c>
      <c r="D169" s="65">
        <f t="shared" si="45"/>
        <v>11958503.909999987</v>
      </c>
      <c r="E169" s="65">
        <f t="shared" si="45"/>
        <v>0</v>
      </c>
      <c r="F169" s="46">
        <f t="shared" si="45"/>
        <v>0</v>
      </c>
      <c r="G169" s="61">
        <f t="shared" si="45"/>
        <v>0</v>
      </c>
      <c r="H169" s="22">
        <f t="shared" si="45"/>
        <v>5979251.9549999936</v>
      </c>
      <c r="I169" s="22">
        <f t="shared" si="45"/>
        <v>109169705.42960121</v>
      </c>
      <c r="J169" s="22" t="s">
        <v>0</v>
      </c>
      <c r="K169" s="22">
        <f>SUM(K148:K168)</f>
        <v>0</v>
      </c>
      <c r="L169" s="22">
        <f>SUM(L148:L168)</f>
        <v>0</v>
      </c>
      <c r="M169" s="22">
        <f>SUM(M148:M168)</f>
        <v>8775274.2251838986</v>
      </c>
      <c r="N169" s="22">
        <f>SUM(N148:N168)</f>
        <v>106373683.15941732</v>
      </c>
    </row>
    <row r="170" spans="1:14" ht="15.75" thickTop="1" x14ac:dyDescent="0.25"/>
    <row r="171" spans="1:14" x14ac:dyDescent="0.25">
      <c r="A171">
        <v>2024</v>
      </c>
      <c r="B171" t="s">
        <v>104</v>
      </c>
      <c r="D171" s="67"/>
      <c r="E171" s="67"/>
    </row>
    <row r="172" spans="1:14" ht="30" x14ac:dyDescent="0.25">
      <c r="A172" s="23" t="s">
        <v>1</v>
      </c>
      <c r="B172" s="2" t="s">
        <v>2</v>
      </c>
      <c r="C172" s="2" t="s">
        <v>111</v>
      </c>
      <c r="D172" s="3" t="s">
        <v>112</v>
      </c>
      <c r="E172" s="3" t="s">
        <v>83</v>
      </c>
      <c r="F172" s="3" t="s">
        <v>3</v>
      </c>
      <c r="G172" s="3" t="s">
        <v>11</v>
      </c>
      <c r="H172" s="3" t="s">
        <v>4</v>
      </c>
      <c r="I172" s="3" t="s">
        <v>5</v>
      </c>
      <c r="J172" s="3" t="s">
        <v>56</v>
      </c>
      <c r="K172" s="3" t="s">
        <v>57</v>
      </c>
      <c r="L172" s="3" t="s">
        <v>6</v>
      </c>
      <c r="M172" s="83" t="s">
        <v>61</v>
      </c>
      <c r="N172" s="4" t="s">
        <v>7</v>
      </c>
    </row>
    <row r="173" spans="1:14" x14ac:dyDescent="0.25">
      <c r="A173" s="23"/>
      <c r="B173" s="2"/>
      <c r="C173" s="47"/>
      <c r="D173" s="62"/>
      <c r="E173" s="11"/>
      <c r="F173" s="5"/>
      <c r="G173" s="5"/>
      <c r="H173" s="5"/>
      <c r="I173" s="48"/>
      <c r="J173" s="49"/>
      <c r="K173" s="5"/>
      <c r="L173" s="5"/>
      <c r="M173" s="84"/>
      <c r="N173" s="50"/>
    </row>
    <row r="174" spans="1:14" x14ac:dyDescent="0.25">
      <c r="A174" s="8">
        <v>1</v>
      </c>
      <c r="B174" s="9" t="s">
        <v>67</v>
      </c>
      <c r="C174" s="10">
        <f t="shared" ref="C174:C194" si="46">N148</f>
        <v>27982069.953557756</v>
      </c>
      <c r="D174" s="63">
        <f>'CCA - w accelerated'!E178</f>
        <v>169360.35000000009</v>
      </c>
      <c r="E174" s="11"/>
      <c r="F174" s="6"/>
      <c r="G174" s="6"/>
      <c r="H174" s="56">
        <f t="shared" ref="H174:H184" si="47">SUM(D174+G174)/2</f>
        <v>84680.175000000047</v>
      </c>
      <c r="I174" s="76">
        <f>C174+H174</f>
        <v>28066750.128557757</v>
      </c>
      <c r="J174" s="55">
        <v>0.04</v>
      </c>
      <c r="K174" s="6"/>
      <c r="L174" s="6"/>
      <c r="M174" s="85">
        <f>(I174*J174)</f>
        <v>1122670.0051423104</v>
      </c>
      <c r="N174" s="7">
        <f t="shared" ref="N174:N179" si="48">H174+I174-M174</f>
        <v>27028760.298415449</v>
      </c>
    </row>
    <row r="175" spans="1:14" x14ac:dyDescent="0.25">
      <c r="A175" s="8">
        <v>1</v>
      </c>
      <c r="B175" s="9" t="s">
        <v>72</v>
      </c>
      <c r="C175" s="10">
        <f t="shared" si="46"/>
        <v>0</v>
      </c>
      <c r="D175" s="63">
        <v>0</v>
      </c>
      <c r="E175" s="11">
        <v>0</v>
      </c>
      <c r="F175" s="6" t="s">
        <v>0</v>
      </c>
      <c r="G175" s="6"/>
      <c r="H175" s="56">
        <f t="shared" si="47"/>
        <v>0</v>
      </c>
      <c r="I175" s="56">
        <f>E175</f>
        <v>0</v>
      </c>
      <c r="J175" s="55">
        <f>J174*1.5</f>
        <v>0.06</v>
      </c>
      <c r="K175" s="6"/>
      <c r="L175" s="6"/>
      <c r="M175" s="85">
        <f t="shared" ref="M175:M194" si="49">(I175*J175)</f>
        <v>0</v>
      </c>
      <c r="N175" s="7">
        <f t="shared" si="48"/>
        <v>0</v>
      </c>
    </row>
    <row r="176" spans="1:14" x14ac:dyDescent="0.25">
      <c r="A176" s="14">
        <v>2</v>
      </c>
      <c r="B176" s="9" t="s">
        <v>68</v>
      </c>
      <c r="C176" s="10">
        <f t="shared" si="46"/>
        <v>3416714.7876665886</v>
      </c>
      <c r="D176" s="63">
        <v>0</v>
      </c>
      <c r="E176" s="11">
        <v>0</v>
      </c>
      <c r="F176" s="6"/>
      <c r="G176" s="6"/>
      <c r="H176" s="56">
        <f t="shared" si="47"/>
        <v>0</v>
      </c>
      <c r="I176" s="56">
        <f>C176+H176</f>
        <v>3416714.7876665886</v>
      </c>
      <c r="J176" s="55">
        <v>0.06</v>
      </c>
      <c r="K176" s="6"/>
      <c r="L176" s="6"/>
      <c r="M176" s="85">
        <f t="shared" si="49"/>
        <v>205002.8872599953</v>
      </c>
      <c r="N176" s="7">
        <f t="shared" si="48"/>
        <v>3211711.9004065935</v>
      </c>
    </row>
    <row r="177" spans="1:14" x14ac:dyDescent="0.25">
      <c r="A177" s="15">
        <v>8</v>
      </c>
      <c r="B177" s="16" t="s">
        <v>69</v>
      </c>
      <c r="C177" s="10">
        <f t="shared" si="46"/>
        <v>1301047.8083045895</v>
      </c>
      <c r="D177" s="1">
        <f>'CCA - w accelerated'!E181</f>
        <v>150937.20000000042</v>
      </c>
      <c r="E177" s="63">
        <v>0</v>
      </c>
      <c r="F177" s="6"/>
      <c r="G177" s="6"/>
      <c r="H177" s="56">
        <f t="shared" si="47"/>
        <v>75468.60000000021</v>
      </c>
      <c r="I177" s="56">
        <f>C177+H177</f>
        <v>1376516.4083045898</v>
      </c>
      <c r="J177" s="55">
        <v>0.2</v>
      </c>
      <c r="K177" s="6"/>
      <c r="L177" s="6"/>
      <c r="M177" s="85">
        <f t="shared" si="49"/>
        <v>275303.28166091797</v>
      </c>
      <c r="N177" s="7">
        <f t="shared" si="48"/>
        <v>1176681.726643672</v>
      </c>
    </row>
    <row r="178" spans="1:14" x14ac:dyDescent="0.25">
      <c r="A178" s="15">
        <v>8</v>
      </c>
      <c r="B178" s="16" t="s">
        <v>62</v>
      </c>
      <c r="C178" s="10">
        <f t="shared" si="46"/>
        <v>0</v>
      </c>
      <c r="D178" s="63">
        <v>0</v>
      </c>
      <c r="E178" s="11"/>
      <c r="F178" s="6"/>
      <c r="G178" s="6"/>
      <c r="H178" s="56">
        <f t="shared" si="47"/>
        <v>0</v>
      </c>
      <c r="I178" s="56">
        <f>E178</f>
        <v>0</v>
      </c>
      <c r="J178" s="55">
        <f>J177*1.5</f>
        <v>0.30000000000000004</v>
      </c>
      <c r="K178" s="6"/>
      <c r="L178" s="6"/>
      <c r="M178" s="85">
        <f t="shared" si="49"/>
        <v>0</v>
      </c>
      <c r="N178" s="7">
        <f t="shared" si="48"/>
        <v>0</v>
      </c>
    </row>
    <row r="179" spans="1:14" x14ac:dyDescent="0.25">
      <c r="A179" s="8">
        <v>10</v>
      </c>
      <c r="B179" s="9" t="s">
        <v>70</v>
      </c>
      <c r="C179" s="10">
        <f t="shared" si="46"/>
        <v>887381.42677927983</v>
      </c>
      <c r="D179" s="63">
        <f>'CCA - w accelerated'!E183</f>
        <v>211613.97999999998</v>
      </c>
      <c r="E179" s="11"/>
      <c r="F179" s="6"/>
      <c r="G179" s="6">
        <v>0</v>
      </c>
      <c r="H179" s="56">
        <f t="shared" si="47"/>
        <v>105806.98999999999</v>
      </c>
      <c r="I179" s="56">
        <f>C179+H179</f>
        <v>993188.41677927983</v>
      </c>
      <c r="J179" s="55">
        <v>0.3</v>
      </c>
      <c r="K179" s="6"/>
      <c r="L179" s="6"/>
      <c r="M179" s="85">
        <f t="shared" si="49"/>
        <v>297956.52503378392</v>
      </c>
      <c r="N179" s="7">
        <f t="shared" si="48"/>
        <v>801038.88174549607</v>
      </c>
    </row>
    <row r="180" spans="1:14" x14ac:dyDescent="0.25">
      <c r="A180" s="15">
        <v>12</v>
      </c>
      <c r="B180" s="17" t="s">
        <v>71</v>
      </c>
      <c r="C180" s="10">
        <f t="shared" si="46"/>
        <v>273567.70000000019</v>
      </c>
      <c r="D180" s="63">
        <f>'CCA - w accelerated'!E185</f>
        <v>281555.75000000023</v>
      </c>
      <c r="E180" s="11"/>
      <c r="F180" s="6"/>
      <c r="G180" s="6"/>
      <c r="H180" s="56">
        <f t="shared" si="47"/>
        <v>140777.87500000012</v>
      </c>
      <c r="I180" s="56">
        <f>C180+H180</f>
        <v>414345.5750000003</v>
      </c>
      <c r="J180" s="55">
        <v>1</v>
      </c>
      <c r="K180" s="6"/>
      <c r="L180" s="6"/>
      <c r="M180" s="85">
        <f t="shared" si="49"/>
        <v>414345.5750000003</v>
      </c>
      <c r="N180" s="7">
        <f t="shared" ref="N180:N193" si="50">H180+I180-M180</f>
        <v>140777.87500000012</v>
      </c>
    </row>
    <row r="181" spans="1:14" x14ac:dyDescent="0.25">
      <c r="A181" s="15">
        <v>12</v>
      </c>
      <c r="B181" s="9" t="s">
        <v>79</v>
      </c>
      <c r="C181" s="10">
        <f t="shared" si="46"/>
        <v>0</v>
      </c>
      <c r="D181" s="63">
        <v>0</v>
      </c>
      <c r="E181" s="11"/>
      <c r="F181" s="6"/>
      <c r="G181" s="6"/>
      <c r="H181" s="56">
        <f t="shared" si="47"/>
        <v>0</v>
      </c>
      <c r="I181" s="56">
        <f>E181</f>
        <v>0</v>
      </c>
      <c r="J181" s="55">
        <f>J180</f>
        <v>1</v>
      </c>
      <c r="K181" s="6"/>
      <c r="L181" s="6"/>
      <c r="M181" s="85">
        <f t="shared" si="49"/>
        <v>0</v>
      </c>
      <c r="N181" s="7">
        <f t="shared" si="50"/>
        <v>0</v>
      </c>
    </row>
    <row r="182" spans="1:14" x14ac:dyDescent="0.25">
      <c r="A182" s="26">
        <v>14.1</v>
      </c>
      <c r="B182" s="58" t="s">
        <v>73</v>
      </c>
      <c r="C182" s="10">
        <f t="shared" si="46"/>
        <v>295712.6479049921</v>
      </c>
      <c r="D182" s="63">
        <v>0</v>
      </c>
      <c r="E182" s="11"/>
      <c r="F182" s="6"/>
      <c r="G182" s="6"/>
      <c r="H182" s="56">
        <f t="shared" si="47"/>
        <v>0</v>
      </c>
      <c r="I182" s="56">
        <f>C182+H182</f>
        <v>295712.6479049921</v>
      </c>
      <c r="J182" s="12">
        <v>7.0000000000000007E-2</v>
      </c>
      <c r="K182" s="6"/>
      <c r="L182" s="6"/>
      <c r="M182" s="85">
        <f t="shared" si="49"/>
        <v>20699.885353349448</v>
      </c>
      <c r="N182" s="7">
        <f t="shared" si="50"/>
        <v>275012.76255164266</v>
      </c>
    </row>
    <row r="183" spans="1:14" x14ac:dyDescent="0.25">
      <c r="A183" s="26">
        <v>14.1</v>
      </c>
      <c r="B183" s="27" t="s">
        <v>74</v>
      </c>
      <c r="C183" s="10">
        <f t="shared" si="46"/>
        <v>489884.40974269499</v>
      </c>
      <c r="D183" s="63">
        <v>0</v>
      </c>
      <c r="E183" s="11"/>
      <c r="F183" s="6"/>
      <c r="G183" s="6"/>
      <c r="H183" s="56">
        <f t="shared" si="47"/>
        <v>0</v>
      </c>
      <c r="I183" s="56">
        <f>C183+H183</f>
        <v>489884.40974269499</v>
      </c>
      <c r="J183" s="12">
        <v>0.05</v>
      </c>
      <c r="K183" s="6"/>
      <c r="L183" s="6"/>
      <c r="M183" s="85">
        <f t="shared" si="49"/>
        <v>24494.220487134749</v>
      </c>
      <c r="N183" s="7">
        <f t="shared" si="50"/>
        <v>465390.18925556022</v>
      </c>
    </row>
    <row r="184" spans="1:14" x14ac:dyDescent="0.25">
      <c r="A184" s="26">
        <v>14.1</v>
      </c>
      <c r="B184" s="27" t="s">
        <v>82</v>
      </c>
      <c r="C184" s="10">
        <f t="shared" si="46"/>
        <v>0</v>
      </c>
      <c r="D184" s="63">
        <v>0</v>
      </c>
      <c r="E184" s="11"/>
      <c r="F184" s="6"/>
      <c r="G184" s="6"/>
      <c r="H184" s="56">
        <f t="shared" si="47"/>
        <v>0</v>
      </c>
      <c r="I184" s="56">
        <f>E184</f>
        <v>0</v>
      </c>
      <c r="J184" s="55">
        <f>J183*1.5</f>
        <v>7.5000000000000011E-2</v>
      </c>
      <c r="K184" s="6"/>
      <c r="L184" s="6"/>
      <c r="M184" s="85">
        <f t="shared" si="49"/>
        <v>0</v>
      </c>
      <c r="N184" s="7">
        <f t="shared" si="50"/>
        <v>0</v>
      </c>
    </row>
    <row r="185" spans="1:14" x14ac:dyDescent="0.25">
      <c r="A185" s="15">
        <v>17</v>
      </c>
      <c r="B185" s="17" t="s">
        <v>75</v>
      </c>
      <c r="C185" s="10">
        <f t="shared" si="46"/>
        <v>175999.16657855595</v>
      </c>
      <c r="D185" s="1">
        <v>0</v>
      </c>
      <c r="E185" s="63"/>
      <c r="F185" s="6"/>
      <c r="G185" s="6"/>
      <c r="H185" s="56">
        <f t="shared" ref="H185:H194" si="51">SUM(D185+G185)/2</f>
        <v>0</v>
      </c>
      <c r="I185" s="56">
        <f>C185+H185</f>
        <v>175999.16657855595</v>
      </c>
      <c r="J185" s="55">
        <v>0.08</v>
      </c>
      <c r="K185" s="6"/>
      <c r="L185" s="6"/>
      <c r="M185" s="85">
        <f t="shared" si="49"/>
        <v>14079.933326284476</v>
      </c>
      <c r="N185" s="7">
        <f t="shared" si="50"/>
        <v>161919.23325227146</v>
      </c>
    </row>
    <row r="186" spans="1:14" x14ac:dyDescent="0.25">
      <c r="A186" s="26">
        <v>43.2</v>
      </c>
      <c r="B186" s="58" t="s">
        <v>76</v>
      </c>
      <c r="C186" s="10">
        <f t="shared" si="46"/>
        <v>461.91593169450175</v>
      </c>
      <c r="D186" s="63">
        <v>0</v>
      </c>
      <c r="E186" s="11"/>
      <c r="F186" s="6"/>
      <c r="G186" s="6"/>
      <c r="H186" s="56">
        <f t="shared" si="51"/>
        <v>0</v>
      </c>
      <c r="I186" s="56">
        <f>C186+H186</f>
        <v>461.91593169450175</v>
      </c>
      <c r="J186" s="12">
        <v>0.5</v>
      </c>
      <c r="K186" s="6"/>
      <c r="L186" s="6"/>
      <c r="M186" s="85">
        <f t="shared" si="49"/>
        <v>230.95796584725088</v>
      </c>
      <c r="N186" s="7">
        <f t="shared" si="50"/>
        <v>230.95796584725088</v>
      </c>
    </row>
    <row r="187" spans="1:14" x14ac:dyDescent="0.25">
      <c r="A187" s="26">
        <v>46</v>
      </c>
      <c r="B187" s="9" t="s">
        <v>119</v>
      </c>
      <c r="C187" s="10">
        <f t="shared" si="46"/>
        <v>112209.826</v>
      </c>
      <c r="D187" s="63"/>
      <c r="E187" s="11"/>
      <c r="F187" s="6"/>
      <c r="G187" s="6"/>
      <c r="H187" s="56">
        <f t="shared" si="51"/>
        <v>0</v>
      </c>
      <c r="I187" s="56">
        <f>C187+H187</f>
        <v>112209.826</v>
      </c>
      <c r="J187" s="12">
        <v>0.3</v>
      </c>
      <c r="K187" s="6"/>
      <c r="L187" s="6"/>
      <c r="M187" s="85">
        <f>(I187*J187)</f>
        <v>33662.947800000002</v>
      </c>
      <c r="N187" s="7">
        <f t="shared" si="50"/>
        <v>78546.878200000006</v>
      </c>
    </row>
    <row r="188" spans="1:14" x14ac:dyDescent="0.25">
      <c r="A188" s="26">
        <v>46</v>
      </c>
      <c r="B188" s="9" t="s">
        <v>120</v>
      </c>
      <c r="C188" s="10">
        <f t="shared" si="46"/>
        <v>0</v>
      </c>
      <c r="D188" s="63"/>
      <c r="E188" s="11"/>
      <c r="F188" s="6"/>
      <c r="G188" s="6"/>
      <c r="H188" s="56">
        <f t="shared" si="51"/>
        <v>0</v>
      </c>
      <c r="I188" s="56">
        <f>E188</f>
        <v>0</v>
      </c>
      <c r="J188" s="12">
        <f>J187</f>
        <v>0.3</v>
      </c>
      <c r="K188" s="6"/>
      <c r="L188" s="6"/>
      <c r="M188" s="85">
        <f>(I188*J188)</f>
        <v>0</v>
      </c>
      <c r="N188" s="7">
        <f t="shared" si="50"/>
        <v>0</v>
      </c>
    </row>
    <row r="189" spans="1:14" x14ac:dyDescent="0.25">
      <c r="A189" s="8">
        <v>45</v>
      </c>
      <c r="B189" s="9" t="s">
        <v>77</v>
      </c>
      <c r="C189" s="10">
        <f t="shared" si="46"/>
        <v>9.1679331006784821</v>
      </c>
      <c r="D189" s="63">
        <v>0</v>
      </c>
      <c r="E189" s="11"/>
      <c r="F189" s="6"/>
      <c r="G189" s="6"/>
      <c r="H189" s="56">
        <f t="shared" si="51"/>
        <v>0</v>
      </c>
      <c r="I189" s="56">
        <f>C189+H189</f>
        <v>9.1679331006784821</v>
      </c>
      <c r="J189" s="55">
        <v>0.45</v>
      </c>
      <c r="K189" s="6"/>
      <c r="L189" s="51"/>
      <c r="M189" s="85">
        <f t="shared" si="49"/>
        <v>4.1255698953053175</v>
      </c>
      <c r="N189" s="7">
        <f t="shared" si="50"/>
        <v>5.0423632053731646</v>
      </c>
    </row>
    <row r="190" spans="1:14" x14ac:dyDescent="0.25">
      <c r="A190" s="15">
        <v>47</v>
      </c>
      <c r="B190" s="16" t="s">
        <v>78</v>
      </c>
      <c r="C190" s="10">
        <f t="shared" si="46"/>
        <v>70873427.218629673</v>
      </c>
      <c r="D190" s="63">
        <f>'CCA - w accelerated'!E195</f>
        <v>7867855.3599999798</v>
      </c>
      <c r="E190" s="11"/>
      <c r="F190" s="6"/>
      <c r="G190" s="6"/>
      <c r="H190" s="56">
        <f t="shared" si="51"/>
        <v>3933927.6799999899</v>
      </c>
      <c r="I190" s="56">
        <f>C190+H190</f>
        <v>74807354.898629665</v>
      </c>
      <c r="J190" s="55">
        <v>0.08</v>
      </c>
      <c r="K190" s="6"/>
      <c r="L190" s="6"/>
      <c r="M190" s="85">
        <f t="shared" si="49"/>
        <v>5984588.3918903731</v>
      </c>
      <c r="N190" s="7">
        <f t="shared" si="50"/>
        <v>72756694.186739281</v>
      </c>
    </row>
    <row r="191" spans="1:14" x14ac:dyDescent="0.25">
      <c r="A191" s="15">
        <v>47</v>
      </c>
      <c r="B191" s="16" t="s">
        <v>80</v>
      </c>
      <c r="C191" s="10">
        <f t="shared" si="46"/>
        <v>0</v>
      </c>
      <c r="D191" s="64">
        <v>0</v>
      </c>
      <c r="E191" s="11"/>
      <c r="F191" s="6"/>
      <c r="G191" s="6"/>
      <c r="H191" s="56">
        <f t="shared" si="51"/>
        <v>0</v>
      </c>
      <c r="I191" s="56">
        <f>E191</f>
        <v>0</v>
      </c>
      <c r="J191" s="55">
        <f>J190*1.5</f>
        <v>0.12</v>
      </c>
      <c r="K191" s="6"/>
      <c r="L191" s="6"/>
      <c r="M191" s="85">
        <f t="shared" si="49"/>
        <v>0</v>
      </c>
      <c r="N191" s="7">
        <f t="shared" si="50"/>
        <v>0</v>
      </c>
    </row>
    <row r="192" spans="1:14" x14ac:dyDescent="0.25">
      <c r="A192" s="8">
        <v>50</v>
      </c>
      <c r="B192" s="9" t="s">
        <v>77</v>
      </c>
      <c r="C192" s="10">
        <f t="shared" si="46"/>
        <v>565197.13038839458</v>
      </c>
      <c r="D192" s="1">
        <f>'CCA - w accelerated'!E197</f>
        <v>768757.60000000009</v>
      </c>
      <c r="E192" s="63"/>
      <c r="F192" s="6">
        <v>0</v>
      </c>
      <c r="G192" s="1">
        <v>0</v>
      </c>
      <c r="H192" s="56">
        <f t="shared" si="51"/>
        <v>384378.80000000005</v>
      </c>
      <c r="I192" s="56">
        <f>C192+H192</f>
        <v>949575.93038839463</v>
      </c>
      <c r="J192" s="12">
        <v>0.55000000000000004</v>
      </c>
      <c r="K192" s="6"/>
      <c r="L192" s="6"/>
      <c r="M192" s="85">
        <f t="shared" si="49"/>
        <v>522266.76171361707</v>
      </c>
      <c r="N192" s="7">
        <f t="shared" si="50"/>
        <v>811687.96867477754</v>
      </c>
    </row>
    <row r="193" spans="1:14" x14ac:dyDescent="0.25">
      <c r="A193" s="66">
        <v>50</v>
      </c>
      <c r="B193" s="9" t="s">
        <v>81</v>
      </c>
      <c r="C193" s="10">
        <f t="shared" si="46"/>
        <v>0</v>
      </c>
      <c r="D193" s="63">
        <v>0</v>
      </c>
      <c r="E193" s="11">
        <v>0</v>
      </c>
      <c r="F193" s="6"/>
      <c r="G193" s="6">
        <v>0</v>
      </c>
      <c r="H193" s="56">
        <f t="shared" si="51"/>
        <v>0</v>
      </c>
      <c r="I193" s="56">
        <f>E193</f>
        <v>0</v>
      </c>
      <c r="J193" s="55">
        <f>J192*1.5</f>
        <v>0.82500000000000007</v>
      </c>
      <c r="K193" s="6"/>
      <c r="L193" s="6"/>
      <c r="M193" s="85">
        <f t="shared" si="49"/>
        <v>0</v>
      </c>
      <c r="N193" s="7">
        <f t="shared" si="50"/>
        <v>0</v>
      </c>
    </row>
    <row r="194" spans="1:14" x14ac:dyDescent="0.25">
      <c r="A194" s="18">
        <v>95</v>
      </c>
      <c r="B194" s="19" t="s">
        <v>9</v>
      </c>
      <c r="C194" s="10">
        <f t="shared" si="46"/>
        <v>0</v>
      </c>
      <c r="D194" s="63">
        <v>0</v>
      </c>
      <c r="E194" s="11">
        <v>0</v>
      </c>
      <c r="F194" s="6">
        <v>0</v>
      </c>
      <c r="G194" s="6"/>
      <c r="H194" s="56">
        <f t="shared" si="51"/>
        <v>0</v>
      </c>
      <c r="I194" s="11">
        <f>C194+D194+F194</f>
        <v>0</v>
      </c>
      <c r="J194" s="12">
        <v>0</v>
      </c>
      <c r="K194" s="6"/>
      <c r="L194" s="6"/>
      <c r="M194" s="85">
        <f t="shared" si="49"/>
        <v>0</v>
      </c>
      <c r="N194" s="7">
        <f>I194-M194</f>
        <v>0</v>
      </c>
    </row>
    <row r="195" spans="1:14" ht="15.75" thickBot="1" x14ac:dyDescent="0.3">
      <c r="A195" s="24" t="s">
        <v>10</v>
      </c>
      <c r="B195" s="21"/>
      <c r="C195" s="22">
        <f t="shared" ref="C195:I195" si="52">SUM(C174:C194)</f>
        <v>106373683.15941732</v>
      </c>
      <c r="D195" s="65">
        <f t="shared" si="52"/>
        <v>9450080.2399999797</v>
      </c>
      <c r="E195" s="65">
        <f t="shared" si="52"/>
        <v>0</v>
      </c>
      <c r="F195" s="46">
        <f t="shared" si="52"/>
        <v>0</v>
      </c>
      <c r="G195" s="61">
        <f t="shared" si="52"/>
        <v>0</v>
      </c>
      <c r="H195" s="22">
        <f t="shared" si="52"/>
        <v>4725040.1199999899</v>
      </c>
      <c r="I195" s="22">
        <f t="shared" si="52"/>
        <v>111098723.27941731</v>
      </c>
      <c r="J195" s="22" t="s">
        <v>0</v>
      </c>
      <c r="K195" s="22">
        <f>SUM(K174:K194)</f>
        <v>0</v>
      </c>
      <c r="L195" s="22">
        <f>SUM(L174:L194)</f>
        <v>0</v>
      </c>
      <c r="M195" s="22">
        <f>SUM(M174:M194)</f>
        <v>8915305.4982035086</v>
      </c>
      <c r="N195" s="22">
        <f>SUM(N174:N194)</f>
        <v>106908457.90121379</v>
      </c>
    </row>
    <row r="196" spans="1:14" ht="15.75" thickTop="1" x14ac:dyDescent="0.25"/>
    <row r="197" spans="1:14" x14ac:dyDescent="0.25">
      <c r="A197">
        <v>2025</v>
      </c>
      <c r="B197" t="s">
        <v>115</v>
      </c>
      <c r="D197" s="67"/>
      <c r="E197" s="67"/>
    </row>
    <row r="198" spans="1:14" ht="30" x14ac:dyDescent="0.25">
      <c r="A198" s="23" t="s">
        <v>1</v>
      </c>
      <c r="B198" s="2" t="s">
        <v>2</v>
      </c>
      <c r="C198" s="2" t="s">
        <v>113</v>
      </c>
      <c r="D198" s="3" t="s">
        <v>114</v>
      </c>
      <c r="E198" s="3" t="s">
        <v>83</v>
      </c>
      <c r="F198" s="3" t="s">
        <v>3</v>
      </c>
      <c r="G198" s="3" t="s">
        <v>11</v>
      </c>
      <c r="H198" s="3" t="s">
        <v>4</v>
      </c>
      <c r="I198" s="3" t="s">
        <v>5</v>
      </c>
      <c r="J198" s="3" t="s">
        <v>56</v>
      </c>
      <c r="K198" s="3" t="s">
        <v>57</v>
      </c>
      <c r="L198" s="3" t="s">
        <v>6</v>
      </c>
      <c r="M198" s="83" t="s">
        <v>61</v>
      </c>
      <c r="N198" s="4" t="s">
        <v>7</v>
      </c>
    </row>
    <row r="199" spans="1:14" x14ac:dyDescent="0.25">
      <c r="A199" s="23"/>
      <c r="B199" s="2"/>
      <c r="C199" s="47"/>
      <c r="D199" s="62"/>
      <c r="E199" s="11"/>
      <c r="F199" s="5"/>
      <c r="G199" s="5"/>
      <c r="H199" s="5"/>
      <c r="I199" s="48"/>
      <c r="J199" s="49"/>
      <c r="K199" s="5"/>
      <c r="L199" s="5"/>
      <c r="M199" s="84"/>
      <c r="N199" s="50"/>
    </row>
    <row r="200" spans="1:14" x14ac:dyDescent="0.25">
      <c r="A200" s="8">
        <v>1</v>
      </c>
      <c r="B200" s="9" t="s">
        <v>67</v>
      </c>
      <c r="C200" s="10">
        <f t="shared" ref="C200:C220" si="53">N174</f>
        <v>27028760.298415449</v>
      </c>
      <c r="D200" s="63">
        <f>'CCA - w accelerated'!E205</f>
        <v>77282.340000000084</v>
      </c>
      <c r="E200" s="11"/>
      <c r="F200" s="6"/>
      <c r="G200" s="6"/>
      <c r="H200" s="56">
        <f t="shared" ref="H200:H210" si="54">SUM(D200+G200)/2</f>
        <v>38641.170000000042</v>
      </c>
      <c r="I200" s="76">
        <f>C200+H200</f>
        <v>27067401.46841545</v>
      </c>
      <c r="J200" s="55">
        <v>0.04</v>
      </c>
      <c r="K200" s="6"/>
      <c r="L200" s="6"/>
      <c r="M200" s="85">
        <f t="shared" ref="M200:M220" si="55">(I200*J200)</f>
        <v>1082696.0587366181</v>
      </c>
      <c r="N200" s="7">
        <f t="shared" ref="N200:N205" si="56">H200+I200-M200</f>
        <v>26023346.579678833</v>
      </c>
    </row>
    <row r="201" spans="1:14" x14ac:dyDescent="0.25">
      <c r="A201" s="8">
        <v>1</v>
      </c>
      <c r="B201" s="9" t="s">
        <v>72</v>
      </c>
      <c r="C201" s="10">
        <f t="shared" si="53"/>
        <v>0</v>
      </c>
      <c r="D201" s="63">
        <v>0</v>
      </c>
      <c r="E201" s="11">
        <v>0</v>
      </c>
      <c r="F201" s="6" t="s">
        <v>0</v>
      </c>
      <c r="G201" s="6"/>
      <c r="H201" s="56">
        <f t="shared" si="54"/>
        <v>0</v>
      </c>
      <c r="I201" s="56">
        <f>E201</f>
        <v>0</v>
      </c>
      <c r="J201" s="55">
        <f>J200*1.5</f>
        <v>0.06</v>
      </c>
      <c r="K201" s="6"/>
      <c r="L201" s="6"/>
      <c r="M201" s="85">
        <f t="shared" si="55"/>
        <v>0</v>
      </c>
      <c r="N201" s="7">
        <f t="shared" si="56"/>
        <v>0</v>
      </c>
    </row>
    <row r="202" spans="1:14" x14ac:dyDescent="0.25">
      <c r="A202" s="14">
        <v>2</v>
      </c>
      <c r="B202" s="9" t="s">
        <v>68</v>
      </c>
      <c r="C202" s="10">
        <f t="shared" si="53"/>
        <v>3211711.9004065935</v>
      </c>
      <c r="D202" s="63">
        <v>0</v>
      </c>
      <c r="E202" s="11">
        <v>0</v>
      </c>
      <c r="F202" s="6"/>
      <c r="G202" s="6"/>
      <c r="H202" s="56">
        <f t="shared" si="54"/>
        <v>0</v>
      </c>
      <c r="I202" s="56">
        <f>C202+H202</f>
        <v>3211711.9004065935</v>
      </c>
      <c r="J202" s="55">
        <v>0.06</v>
      </c>
      <c r="K202" s="6"/>
      <c r="L202" s="6"/>
      <c r="M202" s="85">
        <f t="shared" si="55"/>
        <v>192702.71402439559</v>
      </c>
      <c r="N202" s="7">
        <f t="shared" si="56"/>
        <v>3019009.1863821978</v>
      </c>
    </row>
    <row r="203" spans="1:14" x14ac:dyDescent="0.25">
      <c r="A203" s="15">
        <v>8</v>
      </c>
      <c r="B203" s="16" t="s">
        <v>69</v>
      </c>
      <c r="C203" s="10">
        <f t="shared" si="53"/>
        <v>1176681.726643672</v>
      </c>
      <c r="D203" s="1">
        <f>'CCA - w accelerated'!E208</f>
        <v>211151.28000000003</v>
      </c>
      <c r="E203" s="63">
        <v>0</v>
      </c>
      <c r="F203" s="6"/>
      <c r="G203" s="6"/>
      <c r="H203" s="56">
        <f t="shared" si="54"/>
        <v>105575.64000000001</v>
      </c>
      <c r="I203" s="56">
        <f>C203+H203</f>
        <v>1282257.3666436719</v>
      </c>
      <c r="J203" s="55">
        <v>0.2</v>
      </c>
      <c r="K203" s="6"/>
      <c r="L203" s="6"/>
      <c r="M203" s="85">
        <f t="shared" si="55"/>
        <v>256451.4733287344</v>
      </c>
      <c r="N203" s="7">
        <f t="shared" si="56"/>
        <v>1131381.5333149377</v>
      </c>
    </row>
    <row r="204" spans="1:14" x14ac:dyDescent="0.25">
      <c r="A204" s="15">
        <v>8</v>
      </c>
      <c r="B204" s="16" t="s">
        <v>62</v>
      </c>
      <c r="C204" s="10">
        <f t="shared" si="53"/>
        <v>0</v>
      </c>
      <c r="D204" s="63">
        <v>0</v>
      </c>
      <c r="E204" s="11"/>
      <c r="F204" s="6"/>
      <c r="G204" s="6"/>
      <c r="H204" s="56">
        <f t="shared" si="54"/>
        <v>0</v>
      </c>
      <c r="I204" s="56">
        <f>E204</f>
        <v>0</v>
      </c>
      <c r="J204" s="55">
        <f>J203*1.5</f>
        <v>0.30000000000000004</v>
      </c>
      <c r="K204" s="6"/>
      <c r="L204" s="6"/>
      <c r="M204" s="85">
        <f t="shared" si="55"/>
        <v>0</v>
      </c>
      <c r="N204" s="7">
        <f t="shared" si="56"/>
        <v>0</v>
      </c>
    </row>
    <row r="205" spans="1:14" x14ac:dyDescent="0.25">
      <c r="A205" s="8">
        <v>10</v>
      </c>
      <c r="B205" s="9" t="s">
        <v>70</v>
      </c>
      <c r="C205" s="10">
        <f t="shared" si="53"/>
        <v>801038.88174549607</v>
      </c>
      <c r="D205" s="63">
        <f>'CCA - w accelerated'!E210</f>
        <v>859549.92</v>
      </c>
      <c r="E205" s="11"/>
      <c r="F205" s="6"/>
      <c r="G205" s="6">
        <v>0</v>
      </c>
      <c r="H205" s="56">
        <f t="shared" si="54"/>
        <v>429774.96</v>
      </c>
      <c r="I205" s="56">
        <f>C205+H205</f>
        <v>1230813.841745496</v>
      </c>
      <c r="J205" s="55">
        <v>0.3</v>
      </c>
      <c r="K205" s="6"/>
      <c r="L205" s="6"/>
      <c r="M205" s="85">
        <f t="shared" si="55"/>
        <v>369244.15252364881</v>
      </c>
      <c r="N205" s="7">
        <f t="shared" si="56"/>
        <v>1291344.6492218473</v>
      </c>
    </row>
    <row r="206" spans="1:14" x14ac:dyDescent="0.25">
      <c r="A206" s="15">
        <v>12</v>
      </c>
      <c r="B206" s="17" t="s">
        <v>71</v>
      </c>
      <c r="C206" s="10">
        <f t="shared" si="53"/>
        <v>140777.87500000012</v>
      </c>
      <c r="D206" s="63">
        <f>'CCA - w accelerated'!E212</f>
        <v>336357.07999999914</v>
      </c>
      <c r="E206" s="11"/>
      <c r="F206" s="6"/>
      <c r="G206" s="6"/>
      <c r="H206" s="56">
        <f t="shared" si="54"/>
        <v>168178.53999999957</v>
      </c>
      <c r="I206" s="56">
        <f>C206+H206</f>
        <v>308956.41499999969</v>
      </c>
      <c r="J206" s="55">
        <v>1</v>
      </c>
      <c r="K206" s="6"/>
      <c r="L206" s="6"/>
      <c r="M206" s="85">
        <f t="shared" si="55"/>
        <v>308956.41499999969</v>
      </c>
      <c r="N206" s="7">
        <f t="shared" ref="N206:N219" si="57">H206+I206-M206</f>
        <v>168178.53999999957</v>
      </c>
    </row>
    <row r="207" spans="1:14" x14ac:dyDescent="0.25">
      <c r="A207" s="15">
        <v>12</v>
      </c>
      <c r="B207" s="9" t="s">
        <v>79</v>
      </c>
      <c r="C207" s="10">
        <f t="shared" si="53"/>
        <v>0</v>
      </c>
      <c r="D207" s="63">
        <v>0</v>
      </c>
      <c r="E207" s="11"/>
      <c r="F207" s="6"/>
      <c r="G207" s="6"/>
      <c r="H207" s="56">
        <f t="shared" si="54"/>
        <v>0</v>
      </c>
      <c r="I207" s="56">
        <f>E207</f>
        <v>0</v>
      </c>
      <c r="J207" s="55">
        <f>J206</f>
        <v>1</v>
      </c>
      <c r="K207" s="6"/>
      <c r="L207" s="6"/>
      <c r="M207" s="85">
        <f t="shared" si="55"/>
        <v>0</v>
      </c>
      <c r="N207" s="7">
        <f t="shared" si="57"/>
        <v>0</v>
      </c>
    </row>
    <row r="208" spans="1:14" x14ac:dyDescent="0.25">
      <c r="A208" s="26">
        <v>14.1</v>
      </c>
      <c r="B208" s="58" t="s">
        <v>73</v>
      </c>
      <c r="C208" s="10">
        <f t="shared" si="53"/>
        <v>275012.76255164266</v>
      </c>
      <c r="D208" s="63">
        <v>0</v>
      </c>
      <c r="E208" s="11"/>
      <c r="F208" s="6"/>
      <c r="G208" s="6"/>
      <c r="H208" s="56">
        <f t="shared" si="54"/>
        <v>0</v>
      </c>
      <c r="I208" s="56">
        <f>C208+H208</f>
        <v>275012.76255164266</v>
      </c>
      <c r="J208" s="12">
        <v>7.0000000000000007E-2</v>
      </c>
      <c r="K208" s="6"/>
      <c r="L208" s="6"/>
      <c r="M208" s="85">
        <f t="shared" si="55"/>
        <v>19250.89337861499</v>
      </c>
      <c r="N208" s="7">
        <f t="shared" si="57"/>
        <v>255761.86917302766</v>
      </c>
    </row>
    <row r="209" spans="1:14" x14ac:dyDescent="0.25">
      <c r="A209" s="26">
        <v>14.1</v>
      </c>
      <c r="B209" s="27" t="s">
        <v>74</v>
      </c>
      <c r="C209" s="10">
        <f t="shared" si="53"/>
        <v>465390.18925556022</v>
      </c>
      <c r="D209" s="63">
        <v>0</v>
      </c>
      <c r="E209" s="11"/>
      <c r="F209" s="6"/>
      <c r="G209" s="6"/>
      <c r="H209" s="56">
        <f t="shared" si="54"/>
        <v>0</v>
      </c>
      <c r="I209" s="56">
        <f>C209+H209</f>
        <v>465390.18925556022</v>
      </c>
      <c r="J209" s="12">
        <v>0.05</v>
      </c>
      <c r="K209" s="6"/>
      <c r="L209" s="6"/>
      <c r="M209" s="85">
        <f t="shared" si="55"/>
        <v>23269.509462778013</v>
      </c>
      <c r="N209" s="7">
        <f t="shared" si="57"/>
        <v>442120.67979278223</v>
      </c>
    </row>
    <row r="210" spans="1:14" x14ac:dyDescent="0.25">
      <c r="A210" s="26">
        <v>14.1</v>
      </c>
      <c r="B210" s="27" t="s">
        <v>82</v>
      </c>
      <c r="C210" s="10">
        <f t="shared" si="53"/>
        <v>0</v>
      </c>
      <c r="D210" s="63">
        <v>0</v>
      </c>
      <c r="E210" s="11"/>
      <c r="F210" s="6"/>
      <c r="G210" s="6"/>
      <c r="H210" s="56">
        <f t="shared" si="54"/>
        <v>0</v>
      </c>
      <c r="I210" s="56">
        <f>E210</f>
        <v>0</v>
      </c>
      <c r="J210" s="55">
        <f>J209*1.5</f>
        <v>7.5000000000000011E-2</v>
      </c>
      <c r="K210" s="6"/>
      <c r="L210" s="6"/>
      <c r="M210" s="85">
        <f t="shared" si="55"/>
        <v>0</v>
      </c>
      <c r="N210" s="7">
        <f t="shared" si="57"/>
        <v>0</v>
      </c>
    </row>
    <row r="211" spans="1:14" x14ac:dyDescent="0.25">
      <c r="A211" s="15">
        <v>17</v>
      </c>
      <c r="B211" s="17" t="s">
        <v>75</v>
      </c>
      <c r="C211" s="10">
        <f t="shared" si="53"/>
        <v>161919.23325227146</v>
      </c>
      <c r="D211" s="1">
        <v>0</v>
      </c>
      <c r="E211" s="63"/>
      <c r="F211" s="6"/>
      <c r="G211" s="6"/>
      <c r="H211" s="56">
        <f t="shared" ref="H211:H220" si="58">SUM(D211+G211)/2</f>
        <v>0</v>
      </c>
      <c r="I211" s="56">
        <f>C211+H211</f>
        <v>161919.23325227146</v>
      </c>
      <c r="J211" s="55">
        <v>0.08</v>
      </c>
      <c r="K211" s="6"/>
      <c r="L211" s="6"/>
      <c r="M211" s="85">
        <f t="shared" si="55"/>
        <v>12953.538660181717</v>
      </c>
      <c r="N211" s="7">
        <f t="shared" si="57"/>
        <v>148965.69459208974</v>
      </c>
    </row>
    <row r="212" spans="1:14" x14ac:dyDescent="0.25">
      <c r="A212" s="26">
        <v>43.2</v>
      </c>
      <c r="B212" s="58" t="s">
        <v>76</v>
      </c>
      <c r="C212" s="10">
        <f t="shared" si="53"/>
        <v>230.95796584725088</v>
      </c>
      <c r="D212" s="63">
        <v>0</v>
      </c>
      <c r="E212" s="11"/>
      <c r="F212" s="6"/>
      <c r="G212" s="6"/>
      <c r="H212" s="56">
        <f t="shared" si="58"/>
        <v>0</v>
      </c>
      <c r="I212" s="56">
        <f>C212+H212</f>
        <v>230.95796584725088</v>
      </c>
      <c r="J212" s="12">
        <v>0.5</v>
      </c>
      <c r="K212" s="6"/>
      <c r="L212" s="6"/>
      <c r="M212" s="85">
        <f t="shared" si="55"/>
        <v>115.47898292362544</v>
      </c>
      <c r="N212" s="7">
        <f t="shared" si="57"/>
        <v>115.47898292362544</v>
      </c>
    </row>
    <row r="213" spans="1:14" x14ac:dyDescent="0.25">
      <c r="A213" s="26">
        <v>46</v>
      </c>
      <c r="B213" s="9" t="s">
        <v>119</v>
      </c>
      <c r="C213" s="10">
        <f t="shared" si="53"/>
        <v>78546.878200000006</v>
      </c>
      <c r="D213" s="63">
        <f>'CCA - w accelerated'!E220</f>
        <v>1676475.58</v>
      </c>
      <c r="E213" s="11"/>
      <c r="F213" s="6"/>
      <c r="G213" s="6"/>
      <c r="H213" s="56">
        <f t="shared" si="58"/>
        <v>838237.79</v>
      </c>
      <c r="I213" s="56">
        <f>C213+H213</f>
        <v>916784.66820000007</v>
      </c>
      <c r="J213" s="12">
        <v>0.3</v>
      </c>
      <c r="K213" s="6"/>
      <c r="L213" s="6"/>
      <c r="M213" s="85">
        <f>(I213*J213)</f>
        <v>275035.40046000003</v>
      </c>
      <c r="N213" s="7">
        <f t="shared" si="57"/>
        <v>1479987.0577400001</v>
      </c>
    </row>
    <row r="214" spans="1:14" x14ac:dyDescent="0.25">
      <c r="A214" s="26">
        <v>46</v>
      </c>
      <c r="B214" s="9" t="s">
        <v>120</v>
      </c>
      <c r="C214" s="10">
        <f t="shared" si="53"/>
        <v>0</v>
      </c>
      <c r="D214" s="63"/>
      <c r="E214" s="11"/>
      <c r="F214" s="6"/>
      <c r="G214" s="6"/>
      <c r="H214" s="56">
        <f t="shared" si="58"/>
        <v>0</v>
      </c>
      <c r="I214" s="56">
        <f>E214</f>
        <v>0</v>
      </c>
      <c r="J214" s="12">
        <f>J213</f>
        <v>0.3</v>
      </c>
      <c r="K214" s="6"/>
      <c r="L214" s="6"/>
      <c r="M214" s="85">
        <f>(I214*J214)</f>
        <v>0</v>
      </c>
      <c r="N214" s="7">
        <f t="shared" si="57"/>
        <v>0</v>
      </c>
    </row>
    <row r="215" spans="1:14" x14ac:dyDescent="0.25">
      <c r="A215" s="8">
        <v>45</v>
      </c>
      <c r="B215" s="9" t="s">
        <v>77</v>
      </c>
      <c r="C215" s="10">
        <f t="shared" si="53"/>
        <v>5.0423632053731646</v>
      </c>
      <c r="D215" s="63">
        <v>0</v>
      </c>
      <c r="E215" s="11"/>
      <c r="F215" s="6"/>
      <c r="G215" s="6"/>
      <c r="H215" s="56">
        <f t="shared" si="58"/>
        <v>0</v>
      </c>
      <c r="I215" s="56">
        <f>C215+H215</f>
        <v>5.0423632053731646</v>
      </c>
      <c r="J215" s="55">
        <v>0.45</v>
      </c>
      <c r="K215" s="6"/>
      <c r="L215" s="51"/>
      <c r="M215" s="85">
        <f t="shared" si="55"/>
        <v>2.2690634424179241</v>
      </c>
      <c r="N215" s="7">
        <f t="shared" si="57"/>
        <v>2.7732997629552405</v>
      </c>
    </row>
    <row r="216" spans="1:14" x14ac:dyDescent="0.25">
      <c r="A216" s="15">
        <v>47</v>
      </c>
      <c r="B216" s="16" t="s">
        <v>78</v>
      </c>
      <c r="C216" s="10">
        <f t="shared" si="53"/>
        <v>72756694.186739281</v>
      </c>
      <c r="D216" s="63">
        <f>'CCA - w accelerated'!E222</f>
        <v>7770808.100000035</v>
      </c>
      <c r="E216" s="11"/>
      <c r="F216" s="6"/>
      <c r="G216" s="6"/>
      <c r="H216" s="56">
        <f t="shared" si="58"/>
        <v>3885404.0500000175</v>
      </c>
      <c r="I216" s="56">
        <f>C216+H216</f>
        <v>76642098.236739293</v>
      </c>
      <c r="J216" s="55">
        <v>0.08</v>
      </c>
      <c r="K216" s="6"/>
      <c r="L216" s="6"/>
      <c r="M216" s="85">
        <f t="shared" si="55"/>
        <v>6131367.8589391438</v>
      </c>
      <c r="N216" s="7">
        <f t="shared" si="57"/>
        <v>74396134.427800164</v>
      </c>
    </row>
    <row r="217" spans="1:14" x14ac:dyDescent="0.25">
      <c r="A217" s="15">
        <v>47</v>
      </c>
      <c r="B217" s="16" t="s">
        <v>80</v>
      </c>
      <c r="C217" s="10">
        <f t="shared" si="53"/>
        <v>0</v>
      </c>
      <c r="D217" s="64">
        <v>0</v>
      </c>
      <c r="E217" s="11"/>
      <c r="F217" s="6"/>
      <c r="G217" s="6"/>
      <c r="H217" s="56">
        <f t="shared" si="58"/>
        <v>0</v>
      </c>
      <c r="I217" s="56">
        <f>E217</f>
        <v>0</v>
      </c>
      <c r="J217" s="55">
        <f>J216*1.5</f>
        <v>0.12</v>
      </c>
      <c r="K217" s="6"/>
      <c r="L217" s="6"/>
      <c r="M217" s="85">
        <f t="shared" si="55"/>
        <v>0</v>
      </c>
      <c r="N217" s="7">
        <f t="shared" si="57"/>
        <v>0</v>
      </c>
    </row>
    <row r="218" spans="1:14" x14ac:dyDescent="0.25">
      <c r="A218" s="8">
        <v>50</v>
      </c>
      <c r="B218" s="9" t="s">
        <v>77</v>
      </c>
      <c r="C218" s="10">
        <f t="shared" si="53"/>
        <v>811687.96867477754</v>
      </c>
      <c r="D218" s="1">
        <f>'CCA - w accelerated'!E224</f>
        <v>1300614.3500000013</v>
      </c>
      <c r="E218" s="63"/>
      <c r="F218" s="6">
        <v>0</v>
      </c>
      <c r="G218" s="1">
        <v>0</v>
      </c>
      <c r="H218" s="56">
        <f t="shared" si="58"/>
        <v>650307.17500000063</v>
      </c>
      <c r="I218" s="56">
        <f>C218+H218</f>
        <v>1461995.1436747783</v>
      </c>
      <c r="J218" s="12">
        <v>0.55000000000000004</v>
      </c>
      <c r="K218" s="6"/>
      <c r="L218" s="6"/>
      <c r="M218" s="85">
        <f t="shared" si="55"/>
        <v>804097.32902112813</v>
      </c>
      <c r="N218" s="7">
        <f t="shared" si="57"/>
        <v>1308204.9896536509</v>
      </c>
    </row>
    <row r="219" spans="1:14" x14ac:dyDescent="0.25">
      <c r="A219" s="66">
        <v>50</v>
      </c>
      <c r="B219" s="9" t="s">
        <v>81</v>
      </c>
      <c r="C219" s="10">
        <f t="shared" si="53"/>
        <v>0</v>
      </c>
      <c r="D219" s="63">
        <v>0</v>
      </c>
      <c r="E219" s="11"/>
      <c r="F219" s="6"/>
      <c r="G219" s="6">
        <v>0</v>
      </c>
      <c r="H219" s="56">
        <f t="shared" si="58"/>
        <v>0</v>
      </c>
      <c r="I219" s="56">
        <f>E219</f>
        <v>0</v>
      </c>
      <c r="J219" s="55">
        <f>J218*1.5</f>
        <v>0.82500000000000007</v>
      </c>
      <c r="K219" s="6"/>
      <c r="L219" s="6"/>
      <c r="M219" s="85">
        <f t="shared" si="55"/>
        <v>0</v>
      </c>
      <c r="N219" s="7">
        <f t="shared" si="57"/>
        <v>0</v>
      </c>
    </row>
    <row r="220" spans="1:14" x14ac:dyDescent="0.25">
      <c r="A220" s="18">
        <v>95</v>
      </c>
      <c r="B220" s="19" t="s">
        <v>9</v>
      </c>
      <c r="C220" s="10">
        <f t="shared" si="53"/>
        <v>0</v>
      </c>
      <c r="D220" s="63">
        <v>0</v>
      </c>
      <c r="E220" s="11">
        <v>0</v>
      </c>
      <c r="F220" s="6">
        <v>0</v>
      </c>
      <c r="G220" s="6"/>
      <c r="H220" s="56">
        <f t="shared" si="58"/>
        <v>0</v>
      </c>
      <c r="I220" s="11">
        <f>C220+D220+F220</f>
        <v>0</v>
      </c>
      <c r="J220" s="12">
        <v>0</v>
      </c>
      <c r="K220" s="6"/>
      <c r="L220" s="6"/>
      <c r="M220" s="85">
        <f t="shared" si="55"/>
        <v>0</v>
      </c>
      <c r="N220" s="7">
        <f>I220-M220</f>
        <v>0</v>
      </c>
    </row>
    <row r="221" spans="1:14" ht="15.75" thickBot="1" x14ac:dyDescent="0.3">
      <c r="A221" s="24" t="s">
        <v>10</v>
      </c>
      <c r="B221" s="21"/>
      <c r="C221" s="22">
        <f t="shared" ref="C221:I221" si="59">SUM(C200:C220)</f>
        <v>106908457.90121379</v>
      </c>
      <c r="D221" s="65">
        <f t="shared" si="59"/>
        <v>12232238.650000036</v>
      </c>
      <c r="E221" s="65">
        <f t="shared" si="59"/>
        <v>0</v>
      </c>
      <c r="F221" s="46">
        <f t="shared" si="59"/>
        <v>0</v>
      </c>
      <c r="G221" s="61">
        <f t="shared" si="59"/>
        <v>0</v>
      </c>
      <c r="H221" s="22">
        <f t="shared" si="59"/>
        <v>6116119.3250000179</v>
      </c>
      <c r="I221" s="22">
        <f t="shared" si="59"/>
        <v>113024577.22621381</v>
      </c>
      <c r="J221" s="22" t="s">
        <v>0</v>
      </c>
      <c r="K221" s="22">
        <f>SUM(K200:K220)</f>
        <v>0</v>
      </c>
      <c r="L221" s="22">
        <f>SUM(L200:L220)</f>
        <v>0</v>
      </c>
      <c r="M221" s="22">
        <f>SUM(M200:M220)</f>
        <v>9476143.0915816091</v>
      </c>
      <c r="N221" s="22">
        <f>SUM(N200:N220)</f>
        <v>109664553.45963222</v>
      </c>
    </row>
    <row r="222" spans="1:14" ht="15.75" thickTop="1" x14ac:dyDescent="0.25"/>
    <row r="223" spans="1:14" x14ac:dyDescent="0.25">
      <c r="A223">
        <v>2026</v>
      </c>
      <c r="B223" t="s">
        <v>115</v>
      </c>
      <c r="D223" s="67"/>
      <c r="E223" s="67"/>
    </row>
    <row r="224" spans="1:14" ht="30" x14ac:dyDescent="0.25">
      <c r="A224" s="23" t="s">
        <v>1</v>
      </c>
      <c r="B224" s="2" t="s">
        <v>2</v>
      </c>
      <c r="C224" s="2" t="s">
        <v>116</v>
      </c>
      <c r="D224" s="3" t="s">
        <v>117</v>
      </c>
      <c r="E224" s="3" t="s">
        <v>83</v>
      </c>
      <c r="F224" s="3" t="s">
        <v>3</v>
      </c>
      <c r="G224" s="3" t="s">
        <v>11</v>
      </c>
      <c r="H224" s="3" t="s">
        <v>4</v>
      </c>
      <c r="I224" s="3" t="s">
        <v>5</v>
      </c>
      <c r="J224" s="3" t="s">
        <v>56</v>
      </c>
      <c r="K224" s="3" t="s">
        <v>57</v>
      </c>
      <c r="L224" s="3" t="s">
        <v>6</v>
      </c>
      <c r="M224" s="83" t="s">
        <v>61</v>
      </c>
      <c r="N224" s="4" t="s">
        <v>7</v>
      </c>
    </row>
    <row r="225" spans="1:14" x14ac:dyDescent="0.25">
      <c r="A225" s="23"/>
      <c r="B225" s="2"/>
      <c r="C225" s="47"/>
      <c r="D225" s="62"/>
      <c r="E225" s="11"/>
      <c r="F225" s="5"/>
      <c r="G225" s="5"/>
      <c r="H225" s="5"/>
      <c r="I225" s="48"/>
      <c r="J225" s="49"/>
      <c r="K225" s="5"/>
      <c r="L225" s="5"/>
      <c r="M225" s="84"/>
      <c r="N225" s="50"/>
    </row>
    <row r="226" spans="1:14" x14ac:dyDescent="0.25">
      <c r="A226" s="8">
        <v>1</v>
      </c>
      <c r="B226" s="9" t="s">
        <v>67</v>
      </c>
      <c r="C226" s="10">
        <f t="shared" ref="C226:C246" si="60">N200</f>
        <v>26023346.579678833</v>
      </c>
      <c r="D226" s="63">
        <f>'CCA - w accelerated'!E232</f>
        <v>73848.744311612041</v>
      </c>
      <c r="E226" s="11"/>
      <c r="F226" s="6"/>
      <c r="G226" s="6"/>
      <c r="H226" s="56">
        <f t="shared" ref="H226:H236" si="61">SUM(D226+G226)/2</f>
        <v>36924.372155806021</v>
      </c>
      <c r="I226" s="76">
        <f>C226+H226</f>
        <v>26060270.951834638</v>
      </c>
      <c r="J226" s="55">
        <v>0.04</v>
      </c>
      <c r="K226" s="6"/>
      <c r="L226" s="6"/>
      <c r="M226" s="85">
        <f t="shared" ref="M226:M246" si="62">(I226*J226)</f>
        <v>1042410.8380733855</v>
      </c>
      <c r="N226" s="7">
        <f t="shared" ref="N226:N231" si="63">H226+I226-M226</f>
        <v>25054784.485917058</v>
      </c>
    </row>
    <row r="227" spans="1:14" x14ac:dyDescent="0.25">
      <c r="A227" s="8">
        <v>1</v>
      </c>
      <c r="B227" s="9" t="s">
        <v>72</v>
      </c>
      <c r="C227" s="10">
        <f t="shared" si="60"/>
        <v>0</v>
      </c>
      <c r="D227" s="63">
        <v>0</v>
      </c>
      <c r="E227" s="11">
        <v>0</v>
      </c>
      <c r="F227" s="6" t="s">
        <v>0</v>
      </c>
      <c r="G227" s="6"/>
      <c r="H227" s="56">
        <f t="shared" si="61"/>
        <v>0</v>
      </c>
      <c r="I227" s="56">
        <f>E227</f>
        <v>0</v>
      </c>
      <c r="J227" s="55">
        <f>J226*1.5</f>
        <v>0.06</v>
      </c>
      <c r="K227" s="6"/>
      <c r="L227" s="6"/>
      <c r="M227" s="85">
        <f t="shared" si="62"/>
        <v>0</v>
      </c>
      <c r="N227" s="7">
        <f t="shared" si="63"/>
        <v>0</v>
      </c>
    </row>
    <row r="228" spans="1:14" x14ac:dyDescent="0.25">
      <c r="A228" s="14">
        <v>2</v>
      </c>
      <c r="B228" s="9" t="s">
        <v>68</v>
      </c>
      <c r="C228" s="10">
        <f t="shared" si="60"/>
        <v>3019009.1863821978</v>
      </c>
      <c r="D228" s="63">
        <v>0</v>
      </c>
      <c r="E228" s="11">
        <v>0</v>
      </c>
      <c r="F228" s="6"/>
      <c r="G228" s="6"/>
      <c r="H228" s="56">
        <f t="shared" si="61"/>
        <v>0</v>
      </c>
      <c r="I228" s="56">
        <f>C228+H228</f>
        <v>3019009.1863821978</v>
      </c>
      <c r="J228" s="55">
        <v>0.06</v>
      </c>
      <c r="K228" s="6"/>
      <c r="L228" s="6"/>
      <c r="M228" s="85">
        <f t="shared" si="62"/>
        <v>181140.55118293187</v>
      </c>
      <c r="N228" s="7">
        <f t="shared" si="63"/>
        <v>2837868.635199266</v>
      </c>
    </row>
    <row r="229" spans="1:14" x14ac:dyDescent="0.25">
      <c r="A229" s="15">
        <v>8</v>
      </c>
      <c r="B229" s="16" t="s">
        <v>69</v>
      </c>
      <c r="C229" s="10">
        <f t="shared" si="60"/>
        <v>1131381.5333149377</v>
      </c>
      <c r="D229" s="1">
        <f>'CCA - w accelerated'!E235</f>
        <v>63992.0163463547</v>
      </c>
      <c r="E229" s="63">
        <v>0</v>
      </c>
      <c r="F229" s="6"/>
      <c r="G229" s="6"/>
      <c r="H229" s="56">
        <f t="shared" si="61"/>
        <v>31996.00817317735</v>
      </c>
      <c r="I229" s="56">
        <f>C229+H229</f>
        <v>1163377.541488115</v>
      </c>
      <c r="J229" s="55">
        <v>0.2</v>
      </c>
      <c r="K229" s="6"/>
      <c r="L229" s="6"/>
      <c r="M229" s="85">
        <f t="shared" si="62"/>
        <v>232675.50829762302</v>
      </c>
      <c r="N229" s="7">
        <f t="shared" si="63"/>
        <v>962698.04136366921</v>
      </c>
    </row>
    <row r="230" spans="1:14" x14ac:dyDescent="0.25">
      <c r="A230" s="15">
        <v>8</v>
      </c>
      <c r="B230" s="16" t="s">
        <v>62</v>
      </c>
      <c r="C230" s="10">
        <f t="shared" si="60"/>
        <v>0</v>
      </c>
      <c r="D230" s="63">
        <v>0</v>
      </c>
      <c r="E230" s="11"/>
      <c r="F230" s="6"/>
      <c r="G230" s="6"/>
      <c r="H230" s="56">
        <f t="shared" si="61"/>
        <v>0</v>
      </c>
      <c r="I230" s="56">
        <f>E230</f>
        <v>0</v>
      </c>
      <c r="J230" s="55">
        <f>J229*1.5</f>
        <v>0.30000000000000004</v>
      </c>
      <c r="K230" s="6"/>
      <c r="L230" s="6"/>
      <c r="M230" s="85">
        <f t="shared" si="62"/>
        <v>0</v>
      </c>
      <c r="N230" s="7">
        <f t="shared" si="63"/>
        <v>0</v>
      </c>
    </row>
    <row r="231" spans="1:14" x14ac:dyDescent="0.25">
      <c r="A231" s="8">
        <v>10</v>
      </c>
      <c r="B231" s="9" t="s">
        <v>70</v>
      </c>
      <c r="C231" s="10">
        <f t="shared" si="60"/>
        <v>1291344.6492218473</v>
      </c>
      <c r="D231" s="63">
        <f>'CCA - w accelerated'!E237</f>
        <v>533180.71598354203</v>
      </c>
      <c r="E231" s="11"/>
      <c r="F231" s="6"/>
      <c r="G231" s="6">
        <v>0</v>
      </c>
      <c r="H231" s="56">
        <f t="shared" si="61"/>
        <v>266590.35799177102</v>
      </c>
      <c r="I231" s="56">
        <f>C231+H231</f>
        <v>1557935.0072136184</v>
      </c>
      <c r="J231" s="55">
        <v>0.3</v>
      </c>
      <c r="K231" s="6"/>
      <c r="L231" s="6"/>
      <c r="M231" s="85">
        <f t="shared" si="62"/>
        <v>467380.50216408551</v>
      </c>
      <c r="N231" s="7">
        <f t="shared" si="63"/>
        <v>1357144.8630413041</v>
      </c>
    </row>
    <row r="232" spans="1:14" x14ac:dyDescent="0.25">
      <c r="A232" s="15">
        <v>12</v>
      </c>
      <c r="B232" s="17" t="s">
        <v>71</v>
      </c>
      <c r="C232" s="10">
        <f t="shared" si="60"/>
        <v>168178.53999999957</v>
      </c>
      <c r="D232" s="63">
        <f>'CCA - w accelerated'!E239</f>
        <v>87083.282041180326</v>
      </c>
      <c r="E232" s="11"/>
      <c r="F232" s="6"/>
      <c r="G232" s="6"/>
      <c r="H232" s="56">
        <f t="shared" si="61"/>
        <v>43541.641020590163</v>
      </c>
      <c r="I232" s="56">
        <f>C232+H232</f>
        <v>211720.18102058972</v>
      </c>
      <c r="J232" s="55">
        <v>1</v>
      </c>
      <c r="K232" s="6"/>
      <c r="L232" s="6"/>
      <c r="M232" s="85">
        <f t="shared" si="62"/>
        <v>211720.18102058972</v>
      </c>
      <c r="N232" s="7">
        <f t="shared" ref="N232:N245" si="64">H232+I232-M232</f>
        <v>43541.641020590148</v>
      </c>
    </row>
    <row r="233" spans="1:14" x14ac:dyDescent="0.25">
      <c r="A233" s="15">
        <v>12</v>
      </c>
      <c r="B233" s="9" t="s">
        <v>79</v>
      </c>
      <c r="C233" s="10">
        <f t="shared" si="60"/>
        <v>0</v>
      </c>
      <c r="D233" s="63">
        <v>0</v>
      </c>
      <c r="E233" s="11"/>
      <c r="F233" s="6"/>
      <c r="G233" s="6"/>
      <c r="H233" s="56">
        <f t="shared" si="61"/>
        <v>0</v>
      </c>
      <c r="I233" s="56">
        <f>E233</f>
        <v>0</v>
      </c>
      <c r="J233" s="55">
        <f>J232</f>
        <v>1</v>
      </c>
      <c r="K233" s="6"/>
      <c r="L233" s="6"/>
      <c r="M233" s="85">
        <f t="shared" si="62"/>
        <v>0</v>
      </c>
      <c r="N233" s="7">
        <f t="shared" si="64"/>
        <v>0</v>
      </c>
    </row>
    <row r="234" spans="1:14" x14ac:dyDescent="0.25">
      <c r="A234" s="26">
        <v>14.1</v>
      </c>
      <c r="B234" s="58" t="s">
        <v>73</v>
      </c>
      <c r="C234" s="10">
        <f t="shared" si="60"/>
        <v>255761.86917302766</v>
      </c>
      <c r="D234" s="63">
        <v>0</v>
      </c>
      <c r="E234" s="11"/>
      <c r="F234" s="6"/>
      <c r="G234" s="6"/>
      <c r="H234" s="56">
        <f t="shared" si="61"/>
        <v>0</v>
      </c>
      <c r="I234" s="56">
        <f>C234+H234</f>
        <v>255761.86917302766</v>
      </c>
      <c r="J234" s="12">
        <v>7.0000000000000007E-2</v>
      </c>
      <c r="K234" s="6"/>
      <c r="L234" s="6"/>
      <c r="M234" s="85">
        <f t="shared" si="62"/>
        <v>17903.330842111936</v>
      </c>
      <c r="N234" s="7">
        <f t="shared" si="64"/>
        <v>237858.53833091573</v>
      </c>
    </row>
    <row r="235" spans="1:14" x14ac:dyDescent="0.25">
      <c r="A235" s="26">
        <v>14.1</v>
      </c>
      <c r="B235" s="27" t="s">
        <v>74</v>
      </c>
      <c r="C235" s="10">
        <f t="shared" si="60"/>
        <v>442120.67979278223</v>
      </c>
      <c r="D235" s="63">
        <v>0</v>
      </c>
      <c r="E235" s="11"/>
      <c r="F235" s="6"/>
      <c r="G235" s="6"/>
      <c r="H235" s="56">
        <f t="shared" si="61"/>
        <v>0</v>
      </c>
      <c r="I235" s="56">
        <f>C235+H235</f>
        <v>442120.67979278223</v>
      </c>
      <c r="J235" s="12">
        <v>0.05</v>
      </c>
      <c r="K235" s="6"/>
      <c r="L235" s="6"/>
      <c r="M235" s="85">
        <f t="shared" si="62"/>
        <v>22106.033989639112</v>
      </c>
      <c r="N235" s="7">
        <f t="shared" si="64"/>
        <v>420014.6458031431</v>
      </c>
    </row>
    <row r="236" spans="1:14" x14ac:dyDescent="0.25">
      <c r="A236" s="26">
        <v>14.1</v>
      </c>
      <c r="B236" s="27" t="s">
        <v>82</v>
      </c>
      <c r="C236" s="10">
        <f t="shared" si="60"/>
        <v>0</v>
      </c>
      <c r="D236" s="63">
        <v>0</v>
      </c>
      <c r="E236" s="11"/>
      <c r="F236" s="6"/>
      <c r="G236" s="6"/>
      <c r="H236" s="56">
        <f t="shared" si="61"/>
        <v>0</v>
      </c>
      <c r="I236" s="56">
        <f>E236</f>
        <v>0</v>
      </c>
      <c r="J236" s="55">
        <f>J235*1.5</f>
        <v>7.5000000000000011E-2</v>
      </c>
      <c r="K236" s="6"/>
      <c r="L236" s="6"/>
      <c r="M236" s="85">
        <f t="shared" si="62"/>
        <v>0</v>
      </c>
      <c r="N236" s="7">
        <f t="shared" si="64"/>
        <v>0</v>
      </c>
    </row>
    <row r="237" spans="1:14" x14ac:dyDescent="0.25">
      <c r="A237" s="15">
        <v>17</v>
      </c>
      <c r="B237" s="17" t="s">
        <v>75</v>
      </c>
      <c r="C237" s="10">
        <f t="shared" si="60"/>
        <v>148965.69459208974</v>
      </c>
      <c r="D237" s="1">
        <v>0</v>
      </c>
      <c r="E237" s="63"/>
      <c r="F237" s="6"/>
      <c r="G237" s="6"/>
      <c r="H237" s="56">
        <f t="shared" ref="H237:H246" si="65">SUM(D237+G237)/2</f>
        <v>0</v>
      </c>
      <c r="I237" s="56">
        <f>C237+H237</f>
        <v>148965.69459208974</v>
      </c>
      <c r="J237" s="55">
        <v>0.08</v>
      </c>
      <c r="K237" s="6"/>
      <c r="L237" s="6"/>
      <c r="M237" s="85">
        <f t="shared" si="62"/>
        <v>11917.25556736718</v>
      </c>
      <c r="N237" s="7">
        <f t="shared" si="64"/>
        <v>137048.43902472255</v>
      </c>
    </row>
    <row r="238" spans="1:14" x14ac:dyDescent="0.25">
      <c r="A238" s="26">
        <v>43.2</v>
      </c>
      <c r="B238" s="58" t="s">
        <v>76</v>
      </c>
      <c r="C238" s="10">
        <f t="shared" si="60"/>
        <v>115.47898292362544</v>
      </c>
      <c r="D238" s="63">
        <v>0</v>
      </c>
      <c r="E238" s="11"/>
      <c r="F238" s="6"/>
      <c r="G238" s="6"/>
      <c r="H238" s="56">
        <f t="shared" si="65"/>
        <v>0</v>
      </c>
      <c r="I238" s="56">
        <f>C238+H238</f>
        <v>115.47898292362544</v>
      </c>
      <c r="J238" s="12">
        <v>0.5</v>
      </c>
      <c r="K238" s="6"/>
      <c r="L238" s="6"/>
      <c r="M238" s="85">
        <f t="shared" si="62"/>
        <v>57.739491461812719</v>
      </c>
      <c r="N238" s="7">
        <f t="shared" si="64"/>
        <v>57.739491461812719</v>
      </c>
    </row>
    <row r="239" spans="1:14" x14ac:dyDescent="0.25">
      <c r="A239" s="26">
        <v>46</v>
      </c>
      <c r="B239" s="9" t="s">
        <v>119</v>
      </c>
      <c r="C239" s="10">
        <f>N213</f>
        <v>1479987.0577400001</v>
      </c>
      <c r="D239" s="63"/>
      <c r="E239" s="11"/>
      <c r="F239" s="6"/>
      <c r="G239" s="6"/>
      <c r="H239" s="56">
        <f t="shared" si="65"/>
        <v>0</v>
      </c>
      <c r="I239" s="56">
        <f>C239+H239</f>
        <v>1479987.0577400001</v>
      </c>
      <c r="J239" s="12">
        <v>0.3</v>
      </c>
      <c r="K239" s="6"/>
      <c r="L239" s="6"/>
      <c r="M239" s="85">
        <f>(I239*J239)</f>
        <v>443996.11732200003</v>
      </c>
      <c r="N239" s="7">
        <f t="shared" si="64"/>
        <v>1035990.9404180001</v>
      </c>
    </row>
    <row r="240" spans="1:14" x14ac:dyDescent="0.25">
      <c r="A240" s="26">
        <v>46</v>
      </c>
      <c r="B240" s="9" t="s">
        <v>120</v>
      </c>
      <c r="C240" s="10">
        <f t="shared" si="60"/>
        <v>0</v>
      </c>
      <c r="D240" s="63"/>
      <c r="E240" s="11"/>
      <c r="F240" s="6"/>
      <c r="G240" s="6"/>
      <c r="H240" s="56">
        <f t="shared" si="65"/>
        <v>0</v>
      </c>
      <c r="I240" s="56">
        <f>E240</f>
        <v>0</v>
      </c>
      <c r="J240" s="12">
        <f>J239</f>
        <v>0.3</v>
      </c>
      <c r="K240" s="6"/>
      <c r="L240" s="6"/>
      <c r="M240" s="85">
        <f>(I240*J240)</f>
        <v>0</v>
      </c>
      <c r="N240" s="7">
        <f t="shared" si="64"/>
        <v>0</v>
      </c>
    </row>
    <row r="241" spans="1:14" x14ac:dyDescent="0.25">
      <c r="A241" s="8">
        <v>45</v>
      </c>
      <c r="B241" s="9" t="s">
        <v>77</v>
      </c>
      <c r="C241" s="10">
        <f t="shared" si="60"/>
        <v>2.7732997629552405</v>
      </c>
      <c r="D241" s="63">
        <v>0</v>
      </c>
      <c r="E241" s="11"/>
      <c r="F241" s="6"/>
      <c r="G241" s="6"/>
      <c r="H241" s="56">
        <f t="shared" si="65"/>
        <v>0</v>
      </c>
      <c r="I241" s="56">
        <f>C241+H241</f>
        <v>2.7732997629552405</v>
      </c>
      <c r="J241" s="55">
        <v>0.45</v>
      </c>
      <c r="K241" s="6"/>
      <c r="L241" s="51"/>
      <c r="M241" s="85">
        <f t="shared" si="62"/>
        <v>1.2479848933298583</v>
      </c>
      <c r="N241" s="7">
        <f t="shared" si="64"/>
        <v>1.5253148696253822</v>
      </c>
    </row>
    <row r="242" spans="1:14" x14ac:dyDescent="0.25">
      <c r="A242" s="15">
        <v>47</v>
      </c>
      <c r="B242" s="16" t="s">
        <v>78</v>
      </c>
      <c r="C242" s="10">
        <f t="shared" si="60"/>
        <v>74396134.427800164</v>
      </c>
      <c r="D242" s="63">
        <f>'CCA - w accelerated'!E249</f>
        <v>8120310.4015776655</v>
      </c>
      <c r="E242" s="11"/>
      <c r="F242" s="6"/>
      <c r="G242" s="6"/>
      <c r="H242" s="56">
        <f t="shared" si="65"/>
        <v>4060155.2007888327</v>
      </c>
      <c r="I242" s="56">
        <f>C242+H242</f>
        <v>78456289.628588989</v>
      </c>
      <c r="J242" s="55">
        <v>0.08</v>
      </c>
      <c r="K242" s="6"/>
      <c r="L242" s="6"/>
      <c r="M242" s="85">
        <f t="shared" si="62"/>
        <v>6276503.1702871192</v>
      </c>
      <c r="N242" s="7">
        <f t="shared" si="64"/>
        <v>76239941.659090698</v>
      </c>
    </row>
    <row r="243" spans="1:14" x14ac:dyDescent="0.25">
      <c r="A243" s="15">
        <v>47</v>
      </c>
      <c r="B243" s="16" t="s">
        <v>80</v>
      </c>
      <c r="C243" s="10">
        <f t="shared" si="60"/>
        <v>0</v>
      </c>
      <c r="D243" s="64">
        <v>0</v>
      </c>
      <c r="E243" s="11"/>
      <c r="F243" s="6"/>
      <c r="G243" s="6"/>
      <c r="H243" s="56">
        <f t="shared" si="65"/>
        <v>0</v>
      </c>
      <c r="I243" s="56">
        <f>E243</f>
        <v>0</v>
      </c>
      <c r="J243" s="55">
        <f>J242*1.5</f>
        <v>0.12</v>
      </c>
      <c r="K243" s="6"/>
      <c r="L243" s="6"/>
      <c r="M243" s="85">
        <f t="shared" si="62"/>
        <v>0</v>
      </c>
      <c r="N243" s="7">
        <f t="shared" si="64"/>
        <v>0</v>
      </c>
    </row>
    <row r="244" spans="1:14" x14ac:dyDescent="0.25">
      <c r="A244" s="8">
        <v>50</v>
      </c>
      <c r="B244" s="9" t="s">
        <v>77</v>
      </c>
      <c r="C244" s="10">
        <f t="shared" si="60"/>
        <v>1308204.9896536509</v>
      </c>
      <c r="D244" s="1">
        <f>'CCA - w accelerated'!E251</f>
        <v>691287.78639203182</v>
      </c>
      <c r="E244" s="63"/>
      <c r="F244" s="6">
        <v>0</v>
      </c>
      <c r="G244" s="1">
        <v>0</v>
      </c>
      <c r="H244" s="56">
        <f t="shared" si="65"/>
        <v>345643.89319601591</v>
      </c>
      <c r="I244" s="56">
        <f>C244+H244</f>
        <v>1653848.8828496668</v>
      </c>
      <c r="J244" s="12">
        <v>0.55000000000000004</v>
      </c>
      <c r="K244" s="6"/>
      <c r="L244" s="6"/>
      <c r="M244" s="85">
        <f t="shared" si="62"/>
        <v>909616.88556731679</v>
      </c>
      <c r="N244" s="7">
        <f t="shared" si="64"/>
        <v>1089875.8904783658</v>
      </c>
    </row>
    <row r="245" spans="1:14" x14ac:dyDescent="0.25">
      <c r="A245" s="66">
        <v>50</v>
      </c>
      <c r="B245" s="9" t="s">
        <v>81</v>
      </c>
      <c r="C245" s="10">
        <f t="shared" si="60"/>
        <v>0</v>
      </c>
      <c r="D245" s="63">
        <v>0</v>
      </c>
      <c r="E245" s="11"/>
      <c r="F245" s="6"/>
      <c r="G245" s="6">
        <v>0</v>
      </c>
      <c r="H245" s="56">
        <f t="shared" si="65"/>
        <v>0</v>
      </c>
      <c r="I245" s="56">
        <f>E245</f>
        <v>0</v>
      </c>
      <c r="J245" s="55">
        <f>J244*1.5</f>
        <v>0.82500000000000007</v>
      </c>
      <c r="K245" s="6"/>
      <c r="L245" s="6"/>
      <c r="M245" s="85">
        <f t="shared" si="62"/>
        <v>0</v>
      </c>
      <c r="N245" s="7">
        <f t="shared" si="64"/>
        <v>0</v>
      </c>
    </row>
    <row r="246" spans="1:14" x14ac:dyDescent="0.25">
      <c r="A246" s="18">
        <v>95</v>
      </c>
      <c r="B246" s="19" t="s">
        <v>9</v>
      </c>
      <c r="C246" s="10">
        <f t="shared" si="60"/>
        <v>0</v>
      </c>
      <c r="D246" s="63">
        <v>0</v>
      </c>
      <c r="E246" s="11">
        <v>0</v>
      </c>
      <c r="F246" s="6">
        <v>0</v>
      </c>
      <c r="G246" s="6"/>
      <c r="H246" s="56">
        <f t="shared" si="65"/>
        <v>0</v>
      </c>
      <c r="I246" s="11">
        <f>C246+D246+F246</f>
        <v>0</v>
      </c>
      <c r="J246" s="12">
        <v>0</v>
      </c>
      <c r="K246" s="6"/>
      <c r="L246" s="6"/>
      <c r="M246" s="85">
        <f t="shared" si="62"/>
        <v>0</v>
      </c>
      <c r="N246" s="7">
        <f>I246-M246</f>
        <v>0</v>
      </c>
    </row>
    <row r="247" spans="1:14" ht="15.75" thickBot="1" x14ac:dyDescent="0.3">
      <c r="A247" s="24" t="s">
        <v>10</v>
      </c>
      <c r="B247" s="21"/>
      <c r="C247" s="22">
        <f t="shared" ref="C247:I247" si="66">SUM(C226:C246)</f>
        <v>109664553.45963222</v>
      </c>
      <c r="D247" s="65">
        <f t="shared" si="66"/>
        <v>9569702.9466523863</v>
      </c>
      <c r="E247" s="65">
        <f t="shared" si="66"/>
        <v>0</v>
      </c>
      <c r="F247" s="46">
        <f t="shared" si="66"/>
        <v>0</v>
      </c>
      <c r="G247" s="61">
        <f t="shared" si="66"/>
        <v>0</v>
      </c>
      <c r="H247" s="22">
        <f t="shared" si="66"/>
        <v>4784851.4733261932</v>
      </c>
      <c r="I247" s="22">
        <f t="shared" si="66"/>
        <v>114449404.93295839</v>
      </c>
      <c r="J247" s="22" t="s">
        <v>0</v>
      </c>
      <c r="K247" s="22">
        <f>SUM(K226:K246)</f>
        <v>0</v>
      </c>
      <c r="L247" s="22">
        <f>SUM(L226:L246)</f>
        <v>0</v>
      </c>
      <c r="M247" s="22">
        <f>SUM(M226:M246)</f>
        <v>9817429.3617905248</v>
      </c>
      <c r="N247" s="22">
        <f>SUM(N226:N246)</f>
        <v>109416827.04449408</v>
      </c>
    </row>
    <row r="248" spans="1:14" ht="15.75" thickTop="1" x14ac:dyDescent="0.25"/>
    <row r="249" spans="1:14" hidden="1" x14ac:dyDescent="0.25">
      <c r="A249">
        <v>2028</v>
      </c>
      <c r="B249" t="s">
        <v>115</v>
      </c>
      <c r="D249" s="67"/>
      <c r="E249" s="67"/>
    </row>
    <row r="250" spans="1:14" ht="30" hidden="1" x14ac:dyDescent="0.25">
      <c r="A250" s="23" t="s">
        <v>1</v>
      </c>
      <c r="B250" s="2" t="s">
        <v>2</v>
      </c>
      <c r="C250" s="2" t="s">
        <v>116</v>
      </c>
      <c r="D250" s="3" t="s">
        <v>117</v>
      </c>
      <c r="E250" s="3" t="s">
        <v>83</v>
      </c>
      <c r="F250" s="3" t="s">
        <v>3</v>
      </c>
      <c r="G250" s="3" t="s">
        <v>11</v>
      </c>
      <c r="H250" s="3" t="s">
        <v>4</v>
      </c>
      <c r="I250" s="3" t="s">
        <v>5</v>
      </c>
      <c r="J250" s="3" t="s">
        <v>56</v>
      </c>
      <c r="K250" s="3" t="s">
        <v>57</v>
      </c>
      <c r="L250" s="3" t="s">
        <v>6</v>
      </c>
      <c r="M250" s="83" t="s">
        <v>61</v>
      </c>
      <c r="N250" s="4" t="s">
        <v>7</v>
      </c>
    </row>
    <row r="251" spans="1:14" hidden="1" x14ac:dyDescent="0.25">
      <c r="A251" s="23"/>
      <c r="B251" s="2"/>
      <c r="C251" s="47"/>
      <c r="D251" s="62"/>
      <c r="E251" s="11"/>
      <c r="F251" s="5"/>
      <c r="G251" s="5"/>
      <c r="H251" s="5"/>
      <c r="I251" s="48"/>
      <c r="J251" s="49"/>
      <c r="K251" s="5"/>
      <c r="L251" s="5"/>
      <c r="M251" s="84"/>
      <c r="N251" s="50"/>
    </row>
    <row r="252" spans="1:14" hidden="1" x14ac:dyDescent="0.25">
      <c r="A252" s="8">
        <v>1</v>
      </c>
      <c r="B252" s="9" t="s">
        <v>67</v>
      </c>
      <c r="C252" s="10" t="e">
        <f>#REF!</f>
        <v>#REF!</v>
      </c>
      <c r="D252" s="63" t="e">
        <f>'CCA - w accelerated'!#REF!</f>
        <v>#REF!</v>
      </c>
      <c r="E252" s="11"/>
      <c r="F252" s="6"/>
      <c r="G252" s="6"/>
      <c r="H252" s="56" t="e">
        <f t="shared" ref="H252:H272" si="67">SUM(D252+G252)/2</f>
        <v>#REF!</v>
      </c>
      <c r="I252" s="76" t="e">
        <f>C252+H252</f>
        <v>#REF!</v>
      </c>
      <c r="J252" s="55">
        <v>0.04</v>
      </c>
      <c r="K252" s="6"/>
      <c r="L252" s="6"/>
      <c r="M252" s="85" t="e">
        <f t="shared" ref="M252:M258" si="68">(I252*J252)</f>
        <v>#REF!</v>
      </c>
      <c r="N252" s="7" t="e">
        <f t="shared" ref="N252:N271" si="69">H252+I252-M252</f>
        <v>#REF!</v>
      </c>
    </row>
    <row r="253" spans="1:14" hidden="1" x14ac:dyDescent="0.25">
      <c r="A253" s="8">
        <v>1</v>
      </c>
      <c r="B253" s="9" t="s">
        <v>72</v>
      </c>
      <c r="C253" s="10" t="e">
        <f>#REF!</f>
        <v>#REF!</v>
      </c>
      <c r="D253" s="63">
        <v>0</v>
      </c>
      <c r="E253" s="11">
        <v>0</v>
      </c>
      <c r="F253" s="6" t="s">
        <v>0</v>
      </c>
      <c r="G253" s="6"/>
      <c r="H253" s="56">
        <f t="shared" si="67"/>
        <v>0</v>
      </c>
      <c r="I253" s="56">
        <f>E253</f>
        <v>0</v>
      </c>
      <c r="J253" s="55">
        <f>J252*1.5</f>
        <v>0.06</v>
      </c>
      <c r="K253" s="6"/>
      <c r="L253" s="6"/>
      <c r="M253" s="85">
        <f t="shared" si="68"/>
        <v>0</v>
      </c>
      <c r="N253" s="7">
        <f t="shared" si="69"/>
        <v>0</v>
      </c>
    </row>
    <row r="254" spans="1:14" hidden="1" x14ac:dyDescent="0.25">
      <c r="A254" s="14">
        <v>2</v>
      </c>
      <c r="B254" s="9" t="s">
        <v>68</v>
      </c>
      <c r="C254" s="10" t="e">
        <f>#REF!</f>
        <v>#REF!</v>
      </c>
      <c r="D254" s="63">
        <v>0</v>
      </c>
      <c r="E254" s="11">
        <v>0</v>
      </c>
      <c r="F254" s="6"/>
      <c r="G254" s="6"/>
      <c r="H254" s="56">
        <f t="shared" si="67"/>
        <v>0</v>
      </c>
      <c r="I254" s="56" t="e">
        <f>C254+H254</f>
        <v>#REF!</v>
      </c>
      <c r="J254" s="55">
        <v>0.06</v>
      </c>
      <c r="K254" s="6"/>
      <c r="L254" s="6"/>
      <c r="M254" s="85" t="e">
        <f t="shared" si="68"/>
        <v>#REF!</v>
      </c>
      <c r="N254" s="7" t="e">
        <f t="shared" si="69"/>
        <v>#REF!</v>
      </c>
    </row>
    <row r="255" spans="1:14" hidden="1" x14ac:dyDescent="0.25">
      <c r="A255" s="15">
        <v>8</v>
      </c>
      <c r="B255" s="16" t="s">
        <v>69</v>
      </c>
      <c r="C255" s="10" t="e">
        <f>#REF!</f>
        <v>#REF!</v>
      </c>
      <c r="D255" s="1" t="e">
        <f>'CCA - w accelerated'!#REF!</f>
        <v>#REF!</v>
      </c>
      <c r="E255" s="63">
        <v>0</v>
      </c>
      <c r="F255" s="6"/>
      <c r="G255" s="6"/>
      <c r="H255" s="56" t="e">
        <f t="shared" si="67"/>
        <v>#REF!</v>
      </c>
      <c r="I255" s="56" t="e">
        <f>C255+H255</f>
        <v>#REF!</v>
      </c>
      <c r="J255" s="55">
        <v>0.2</v>
      </c>
      <c r="K255" s="6"/>
      <c r="L255" s="6"/>
      <c r="M255" s="85" t="e">
        <f t="shared" si="68"/>
        <v>#REF!</v>
      </c>
      <c r="N255" s="7" t="e">
        <f t="shared" si="69"/>
        <v>#REF!</v>
      </c>
    </row>
    <row r="256" spans="1:14" hidden="1" x14ac:dyDescent="0.25">
      <c r="A256" s="15">
        <v>8</v>
      </c>
      <c r="B256" s="16" t="s">
        <v>62</v>
      </c>
      <c r="C256" s="10" t="e">
        <f>#REF!</f>
        <v>#REF!</v>
      </c>
      <c r="D256" s="63">
        <v>0</v>
      </c>
      <c r="E256" s="11"/>
      <c r="F256" s="6"/>
      <c r="G256" s="6"/>
      <c r="H256" s="56">
        <f t="shared" si="67"/>
        <v>0</v>
      </c>
      <c r="I256" s="56">
        <f>E256</f>
        <v>0</v>
      </c>
      <c r="J256" s="55">
        <f>J255*1.5</f>
        <v>0.30000000000000004</v>
      </c>
      <c r="K256" s="6"/>
      <c r="L256" s="6"/>
      <c r="M256" s="85">
        <f t="shared" si="68"/>
        <v>0</v>
      </c>
      <c r="N256" s="7">
        <f t="shared" si="69"/>
        <v>0</v>
      </c>
    </row>
    <row r="257" spans="1:14" hidden="1" x14ac:dyDescent="0.25">
      <c r="A257" s="8">
        <v>10</v>
      </c>
      <c r="B257" s="9" t="s">
        <v>70</v>
      </c>
      <c r="C257" s="10" t="e">
        <f>#REF!</f>
        <v>#REF!</v>
      </c>
      <c r="D257" s="63" t="e">
        <f>'CCA - w accelerated'!#REF!</f>
        <v>#REF!</v>
      </c>
      <c r="E257" s="11"/>
      <c r="F257" s="6"/>
      <c r="G257" s="6">
        <v>0</v>
      </c>
      <c r="H257" s="56" t="e">
        <f t="shared" si="67"/>
        <v>#REF!</v>
      </c>
      <c r="I257" s="56" t="e">
        <f>C257+H257</f>
        <v>#REF!</v>
      </c>
      <c r="J257" s="55">
        <v>0.3</v>
      </c>
      <c r="K257" s="6"/>
      <c r="L257" s="6"/>
      <c r="M257" s="85" t="e">
        <f t="shared" si="68"/>
        <v>#REF!</v>
      </c>
      <c r="N257" s="7" t="e">
        <f t="shared" si="69"/>
        <v>#REF!</v>
      </c>
    </row>
    <row r="258" spans="1:14" hidden="1" x14ac:dyDescent="0.25">
      <c r="A258" s="15">
        <v>12</v>
      </c>
      <c r="B258" s="17" t="s">
        <v>71</v>
      </c>
      <c r="C258" s="10" t="e">
        <f>#REF!</f>
        <v>#REF!</v>
      </c>
      <c r="D258" s="63">
        <v>0</v>
      </c>
      <c r="E258" s="11"/>
      <c r="F258" s="6"/>
      <c r="G258" s="6"/>
      <c r="H258" s="56">
        <f t="shared" si="67"/>
        <v>0</v>
      </c>
      <c r="I258" s="56" t="e">
        <f>C258+H258</f>
        <v>#REF!</v>
      </c>
      <c r="J258" s="55">
        <v>1</v>
      </c>
      <c r="K258" s="6"/>
      <c r="L258" s="6"/>
      <c r="M258" s="85" t="e">
        <f t="shared" si="68"/>
        <v>#REF!</v>
      </c>
      <c r="N258" s="7" t="e">
        <f t="shared" si="69"/>
        <v>#REF!</v>
      </c>
    </row>
    <row r="259" spans="1:14" hidden="1" x14ac:dyDescent="0.25">
      <c r="A259" s="15">
        <v>12</v>
      </c>
      <c r="B259" s="9" t="s">
        <v>79</v>
      </c>
      <c r="C259" s="10" t="e">
        <f>#REF!</f>
        <v>#REF!</v>
      </c>
      <c r="D259" s="63" t="e">
        <f>'CCA - w accelerated'!#REF!</f>
        <v>#REF!</v>
      </c>
      <c r="E259" s="11"/>
      <c r="F259" s="6"/>
      <c r="G259" s="6"/>
      <c r="H259" s="56" t="e">
        <f t="shared" si="67"/>
        <v>#REF!</v>
      </c>
      <c r="I259" s="56">
        <f>E259</f>
        <v>0</v>
      </c>
      <c r="J259" s="55">
        <f>J258</f>
        <v>1</v>
      </c>
      <c r="K259" s="6"/>
      <c r="L259" s="6"/>
      <c r="M259" s="85">
        <f>(I259*J259)</f>
        <v>0</v>
      </c>
      <c r="N259" s="7" t="e">
        <f t="shared" si="69"/>
        <v>#REF!</v>
      </c>
    </row>
    <row r="260" spans="1:14" hidden="1" x14ac:dyDescent="0.25">
      <c r="A260" s="26">
        <v>14.1</v>
      </c>
      <c r="B260" s="58" t="s">
        <v>73</v>
      </c>
      <c r="C260" s="10" t="e">
        <f>#REF!</f>
        <v>#REF!</v>
      </c>
      <c r="D260" s="63">
        <v>0</v>
      </c>
      <c r="E260" s="11"/>
      <c r="F260" s="6"/>
      <c r="G260" s="6"/>
      <c r="H260" s="56">
        <f t="shared" si="67"/>
        <v>0</v>
      </c>
      <c r="I260" s="56" t="e">
        <f>C260+H260</f>
        <v>#REF!</v>
      </c>
      <c r="J260" s="12">
        <v>7.0000000000000007E-2</v>
      </c>
      <c r="K260" s="6"/>
      <c r="L260" s="6"/>
      <c r="M260" s="85" t="e">
        <f t="shared" ref="M260:M272" si="70">(I260*J260)</f>
        <v>#REF!</v>
      </c>
      <c r="N260" s="7" t="e">
        <f t="shared" si="69"/>
        <v>#REF!</v>
      </c>
    </row>
    <row r="261" spans="1:14" hidden="1" x14ac:dyDescent="0.25">
      <c r="A261" s="26">
        <v>14.1</v>
      </c>
      <c r="B261" s="27" t="s">
        <v>74</v>
      </c>
      <c r="C261" s="10" t="e">
        <f>#REF!</f>
        <v>#REF!</v>
      </c>
      <c r="D261" s="63">
        <v>0</v>
      </c>
      <c r="E261" s="11"/>
      <c r="F261" s="6"/>
      <c r="G261" s="6"/>
      <c r="H261" s="56">
        <f t="shared" si="67"/>
        <v>0</v>
      </c>
      <c r="I261" s="56" t="e">
        <f>C261+H261</f>
        <v>#REF!</v>
      </c>
      <c r="J261" s="12">
        <v>0.05</v>
      </c>
      <c r="K261" s="6"/>
      <c r="L261" s="6"/>
      <c r="M261" s="85" t="e">
        <f t="shared" si="70"/>
        <v>#REF!</v>
      </c>
      <c r="N261" s="7" t="e">
        <f t="shared" si="69"/>
        <v>#REF!</v>
      </c>
    </row>
    <row r="262" spans="1:14" hidden="1" x14ac:dyDescent="0.25">
      <c r="A262" s="26">
        <v>14.1</v>
      </c>
      <c r="B262" s="27" t="s">
        <v>82</v>
      </c>
      <c r="C262" s="10" t="e">
        <f>#REF!</f>
        <v>#REF!</v>
      </c>
      <c r="D262" s="63">
        <v>0</v>
      </c>
      <c r="E262" s="11"/>
      <c r="F262" s="6"/>
      <c r="G262" s="6"/>
      <c r="H262" s="56">
        <f t="shared" si="67"/>
        <v>0</v>
      </c>
      <c r="I262" s="56">
        <f>E262</f>
        <v>0</v>
      </c>
      <c r="J262" s="55">
        <f>J261*1.5</f>
        <v>7.5000000000000011E-2</v>
      </c>
      <c r="K262" s="6"/>
      <c r="L262" s="6"/>
      <c r="M262" s="85">
        <f t="shared" si="70"/>
        <v>0</v>
      </c>
      <c r="N262" s="7">
        <f t="shared" si="69"/>
        <v>0</v>
      </c>
    </row>
    <row r="263" spans="1:14" hidden="1" x14ac:dyDescent="0.25">
      <c r="A263" s="15">
        <v>17</v>
      </c>
      <c r="B263" s="17" t="s">
        <v>75</v>
      </c>
      <c r="C263" s="10" t="e">
        <f>#REF!</f>
        <v>#REF!</v>
      </c>
      <c r="D263" s="1">
        <v>0</v>
      </c>
      <c r="E263" s="63"/>
      <c r="F263" s="6"/>
      <c r="G263" s="6"/>
      <c r="H263" s="56">
        <f t="shared" si="67"/>
        <v>0</v>
      </c>
      <c r="I263" s="56" t="e">
        <f>C263+H263</f>
        <v>#REF!</v>
      </c>
      <c r="J263" s="55">
        <v>0.08</v>
      </c>
      <c r="K263" s="6"/>
      <c r="L263" s="6"/>
      <c r="M263" s="85" t="e">
        <f t="shared" si="70"/>
        <v>#REF!</v>
      </c>
      <c r="N263" s="7" t="e">
        <f t="shared" si="69"/>
        <v>#REF!</v>
      </c>
    </row>
    <row r="264" spans="1:14" hidden="1" x14ac:dyDescent="0.25">
      <c r="A264" s="26">
        <v>43.2</v>
      </c>
      <c r="B264" s="58" t="s">
        <v>76</v>
      </c>
      <c r="C264" s="10" t="e">
        <f>#REF!</f>
        <v>#REF!</v>
      </c>
      <c r="D264" s="63">
        <v>0</v>
      </c>
      <c r="E264" s="11"/>
      <c r="F264" s="6"/>
      <c r="G264" s="6"/>
      <c r="H264" s="56">
        <f t="shared" si="67"/>
        <v>0</v>
      </c>
      <c r="I264" s="56" t="e">
        <f>C264+H264</f>
        <v>#REF!</v>
      </c>
      <c r="J264" s="12">
        <v>0.5</v>
      </c>
      <c r="K264" s="6"/>
      <c r="L264" s="6"/>
      <c r="M264" s="85" t="e">
        <f t="shared" si="70"/>
        <v>#REF!</v>
      </c>
      <c r="N264" s="7" t="e">
        <f t="shared" si="69"/>
        <v>#REF!</v>
      </c>
    </row>
    <row r="265" spans="1:14" hidden="1" x14ac:dyDescent="0.25">
      <c r="A265" s="26">
        <v>46</v>
      </c>
      <c r="B265" s="9" t="s">
        <v>119</v>
      </c>
      <c r="C265" s="10" t="e">
        <f>#REF!</f>
        <v>#REF!</v>
      </c>
      <c r="D265" s="63"/>
      <c r="E265" s="11"/>
      <c r="F265" s="6"/>
      <c r="G265" s="6"/>
      <c r="H265" s="56">
        <f t="shared" si="67"/>
        <v>0</v>
      </c>
      <c r="I265" s="56" t="e">
        <f>C265+H265</f>
        <v>#REF!</v>
      </c>
      <c r="J265" s="12">
        <v>0.3</v>
      </c>
      <c r="K265" s="6"/>
      <c r="L265" s="6"/>
      <c r="M265" s="85" t="e">
        <f>(I265*J265)</f>
        <v>#REF!</v>
      </c>
      <c r="N265" s="7" t="e">
        <f t="shared" si="69"/>
        <v>#REF!</v>
      </c>
    </row>
    <row r="266" spans="1:14" hidden="1" x14ac:dyDescent="0.25">
      <c r="A266" s="26">
        <v>46</v>
      </c>
      <c r="B266" s="9" t="s">
        <v>120</v>
      </c>
      <c r="C266" s="10" t="e">
        <f>#REF!</f>
        <v>#REF!</v>
      </c>
      <c r="D266" s="63"/>
      <c r="E266" s="11"/>
      <c r="F266" s="6"/>
      <c r="G266" s="6"/>
      <c r="H266" s="56">
        <f t="shared" si="67"/>
        <v>0</v>
      </c>
      <c r="I266" s="56">
        <f>E266</f>
        <v>0</v>
      </c>
      <c r="J266" s="12">
        <f>J265</f>
        <v>0.3</v>
      </c>
      <c r="K266" s="6"/>
      <c r="L266" s="6"/>
      <c r="M266" s="85">
        <f>(I266*J266)</f>
        <v>0</v>
      </c>
      <c r="N266" s="7">
        <f t="shared" si="69"/>
        <v>0</v>
      </c>
    </row>
    <row r="267" spans="1:14" hidden="1" x14ac:dyDescent="0.25">
      <c r="A267" s="8">
        <v>45</v>
      </c>
      <c r="B267" s="9" t="s">
        <v>77</v>
      </c>
      <c r="C267" s="10" t="e">
        <f>#REF!</f>
        <v>#REF!</v>
      </c>
      <c r="D267" s="63">
        <v>0</v>
      </c>
      <c r="E267" s="11"/>
      <c r="F267" s="6"/>
      <c r="G267" s="6"/>
      <c r="H267" s="56">
        <f t="shared" si="67"/>
        <v>0</v>
      </c>
      <c r="I267" s="56" t="e">
        <f>C267+H267</f>
        <v>#REF!</v>
      </c>
      <c r="J267" s="55">
        <v>0.45</v>
      </c>
      <c r="K267" s="6"/>
      <c r="L267" s="51"/>
      <c r="M267" s="85" t="e">
        <f t="shared" si="70"/>
        <v>#REF!</v>
      </c>
      <c r="N267" s="7" t="e">
        <f t="shared" si="69"/>
        <v>#REF!</v>
      </c>
    </row>
    <row r="268" spans="1:14" hidden="1" x14ac:dyDescent="0.25">
      <c r="A268" s="15">
        <v>47</v>
      </c>
      <c r="B268" s="16" t="s">
        <v>78</v>
      </c>
      <c r="C268" s="10" t="e">
        <f>#REF!</f>
        <v>#REF!</v>
      </c>
      <c r="D268" s="63" t="e">
        <f>'CCA - w accelerated'!#REF!</f>
        <v>#REF!</v>
      </c>
      <c r="E268" s="11"/>
      <c r="F268" s="6"/>
      <c r="G268" s="6"/>
      <c r="H268" s="56" t="e">
        <f t="shared" si="67"/>
        <v>#REF!</v>
      </c>
      <c r="I268" s="56" t="e">
        <f>C268+H268</f>
        <v>#REF!</v>
      </c>
      <c r="J268" s="55">
        <v>0.08</v>
      </c>
      <c r="K268" s="6"/>
      <c r="L268" s="6"/>
      <c r="M268" s="85" t="e">
        <f t="shared" si="70"/>
        <v>#REF!</v>
      </c>
      <c r="N268" s="7" t="e">
        <f t="shared" si="69"/>
        <v>#REF!</v>
      </c>
    </row>
    <row r="269" spans="1:14" hidden="1" x14ac:dyDescent="0.25">
      <c r="A269" s="15">
        <v>47</v>
      </c>
      <c r="B269" s="16" t="s">
        <v>80</v>
      </c>
      <c r="C269" s="10" t="e">
        <f>#REF!</f>
        <v>#REF!</v>
      </c>
      <c r="D269" s="64">
        <v>0</v>
      </c>
      <c r="E269" s="11"/>
      <c r="F269" s="6"/>
      <c r="G269" s="6"/>
      <c r="H269" s="56">
        <f t="shared" si="67"/>
        <v>0</v>
      </c>
      <c r="I269" s="56">
        <f>E269</f>
        <v>0</v>
      </c>
      <c r="J269" s="55">
        <f>J268*1.5</f>
        <v>0.12</v>
      </c>
      <c r="K269" s="6"/>
      <c r="L269" s="6"/>
      <c r="M269" s="85">
        <f t="shared" si="70"/>
        <v>0</v>
      </c>
      <c r="N269" s="7">
        <f t="shared" si="69"/>
        <v>0</v>
      </c>
    </row>
    <row r="270" spans="1:14" hidden="1" x14ac:dyDescent="0.25">
      <c r="A270" s="8">
        <v>50</v>
      </c>
      <c r="B270" s="9" t="s">
        <v>77</v>
      </c>
      <c r="C270" s="10" t="e">
        <f>#REF!</f>
        <v>#REF!</v>
      </c>
      <c r="D270" s="1" t="e">
        <f>'CCA - w accelerated'!#REF!</f>
        <v>#REF!</v>
      </c>
      <c r="E270" s="63"/>
      <c r="F270" s="6">
        <v>0</v>
      </c>
      <c r="G270" s="1">
        <v>0</v>
      </c>
      <c r="H270" s="56" t="e">
        <f t="shared" si="67"/>
        <v>#REF!</v>
      </c>
      <c r="I270" s="56" t="e">
        <f>C270+H270</f>
        <v>#REF!</v>
      </c>
      <c r="J270" s="12">
        <v>0.55000000000000004</v>
      </c>
      <c r="K270" s="6"/>
      <c r="L270" s="6"/>
      <c r="M270" s="85" t="e">
        <f t="shared" si="70"/>
        <v>#REF!</v>
      </c>
      <c r="N270" s="7" t="e">
        <f t="shared" si="69"/>
        <v>#REF!</v>
      </c>
    </row>
    <row r="271" spans="1:14" hidden="1" x14ac:dyDescent="0.25">
      <c r="A271" s="66">
        <v>50</v>
      </c>
      <c r="B271" s="9" t="s">
        <v>81</v>
      </c>
      <c r="C271" s="10" t="e">
        <f>#REF!</f>
        <v>#REF!</v>
      </c>
      <c r="D271" s="63">
        <v>0</v>
      </c>
      <c r="E271" s="11"/>
      <c r="F271" s="6"/>
      <c r="G271" s="6">
        <v>0</v>
      </c>
      <c r="H271" s="56">
        <f t="shared" si="67"/>
        <v>0</v>
      </c>
      <c r="I271" s="56">
        <f>E271</f>
        <v>0</v>
      </c>
      <c r="J271" s="55">
        <f>J270*1.5</f>
        <v>0.82500000000000007</v>
      </c>
      <c r="K271" s="6"/>
      <c r="L271" s="6"/>
      <c r="M271" s="85">
        <f t="shared" si="70"/>
        <v>0</v>
      </c>
      <c r="N271" s="7">
        <f t="shared" si="69"/>
        <v>0</v>
      </c>
    </row>
    <row r="272" spans="1:14" hidden="1" x14ac:dyDescent="0.25">
      <c r="A272" s="18">
        <v>95</v>
      </c>
      <c r="B272" s="19" t="s">
        <v>9</v>
      </c>
      <c r="C272" s="10" t="e">
        <f>#REF!</f>
        <v>#REF!</v>
      </c>
      <c r="D272" s="63">
        <v>0</v>
      </c>
      <c r="E272" s="11">
        <v>0</v>
      </c>
      <c r="F272" s="6">
        <v>0</v>
      </c>
      <c r="G272" s="6"/>
      <c r="H272" s="56">
        <f t="shared" si="67"/>
        <v>0</v>
      </c>
      <c r="I272" s="11" t="e">
        <f>C272+D272+F272</f>
        <v>#REF!</v>
      </c>
      <c r="J272" s="12">
        <v>0</v>
      </c>
      <c r="K272" s="6"/>
      <c r="L272" s="6"/>
      <c r="M272" s="85" t="e">
        <f t="shared" si="70"/>
        <v>#REF!</v>
      </c>
      <c r="N272" s="7" t="e">
        <f>I272-M272</f>
        <v>#REF!</v>
      </c>
    </row>
    <row r="273" spans="1:14" ht="15.75" hidden="1" thickBot="1" x14ac:dyDescent="0.3">
      <c r="A273" s="24" t="s">
        <v>10</v>
      </c>
      <c r="B273" s="21"/>
      <c r="C273" s="22" t="e">
        <f t="shared" ref="C273:I273" si="71">SUM(C252:C272)</f>
        <v>#REF!</v>
      </c>
      <c r="D273" s="65" t="e">
        <f t="shared" si="71"/>
        <v>#REF!</v>
      </c>
      <c r="E273" s="65">
        <f t="shared" si="71"/>
        <v>0</v>
      </c>
      <c r="F273" s="46">
        <f t="shared" si="71"/>
        <v>0</v>
      </c>
      <c r="G273" s="61">
        <f t="shared" si="71"/>
        <v>0</v>
      </c>
      <c r="H273" s="22" t="e">
        <f t="shared" si="71"/>
        <v>#REF!</v>
      </c>
      <c r="I273" s="22" t="e">
        <f t="shared" si="71"/>
        <v>#REF!</v>
      </c>
      <c r="J273" s="22" t="s">
        <v>0</v>
      </c>
      <c r="K273" s="22">
        <f>SUM(K252:K272)</f>
        <v>0</v>
      </c>
      <c r="L273" s="22">
        <f>SUM(L252:L272)</f>
        <v>0</v>
      </c>
      <c r="M273" s="22" t="e">
        <f>SUM(M252:M272)</f>
        <v>#REF!</v>
      </c>
      <c r="N273" s="22" t="e">
        <f>SUM(N252:N272)</f>
        <v>#REF!</v>
      </c>
    </row>
    <row r="274" spans="1:14" hidden="1" x14ac:dyDescent="0.25"/>
    <row r="275" spans="1:14" hidden="1" x14ac:dyDescent="0.25">
      <c r="A275">
        <v>2029</v>
      </c>
      <c r="B275" t="s">
        <v>115</v>
      </c>
      <c r="D275" s="67"/>
      <c r="E275" s="67"/>
    </row>
    <row r="276" spans="1:14" ht="30" hidden="1" x14ac:dyDescent="0.25">
      <c r="A276" s="23" t="s">
        <v>1</v>
      </c>
      <c r="B276" s="2" t="s">
        <v>2</v>
      </c>
      <c r="C276" s="2" t="s">
        <v>121</v>
      </c>
      <c r="D276" s="3" t="s">
        <v>117</v>
      </c>
      <c r="E276" s="3" t="s">
        <v>83</v>
      </c>
      <c r="F276" s="3" t="s">
        <v>3</v>
      </c>
      <c r="G276" s="3" t="s">
        <v>11</v>
      </c>
      <c r="H276" s="3" t="s">
        <v>4</v>
      </c>
      <c r="I276" s="3" t="s">
        <v>5</v>
      </c>
      <c r="J276" s="3" t="s">
        <v>56</v>
      </c>
      <c r="K276" s="3" t="s">
        <v>57</v>
      </c>
      <c r="L276" s="3" t="s">
        <v>6</v>
      </c>
      <c r="M276" s="83" t="s">
        <v>61</v>
      </c>
      <c r="N276" s="4" t="s">
        <v>7</v>
      </c>
    </row>
    <row r="277" spans="1:14" hidden="1" x14ac:dyDescent="0.25">
      <c r="A277" s="23"/>
      <c r="B277" s="2"/>
      <c r="C277" s="47"/>
      <c r="D277" s="62"/>
      <c r="E277" s="11"/>
      <c r="F277" s="5"/>
      <c r="G277" s="5"/>
      <c r="H277" s="5"/>
      <c r="I277" s="48"/>
      <c r="J277" s="49"/>
      <c r="K277" s="5"/>
      <c r="L277" s="5"/>
      <c r="M277" s="84"/>
      <c r="N277" s="50"/>
    </row>
    <row r="278" spans="1:14" hidden="1" x14ac:dyDescent="0.25">
      <c r="A278" s="8">
        <v>1</v>
      </c>
      <c r="B278" s="9" t="s">
        <v>67</v>
      </c>
      <c r="C278" s="10" t="e">
        <f>N252</f>
        <v>#REF!</v>
      </c>
      <c r="D278" s="63" t="e">
        <f>'CCA - w accelerated'!#REF!</f>
        <v>#REF!</v>
      </c>
      <c r="E278" s="11"/>
      <c r="F278" s="6"/>
      <c r="G278" s="6"/>
      <c r="H278" s="56" t="e">
        <f t="shared" ref="H278:H298" si="72">SUM(D278+G278)/2</f>
        <v>#REF!</v>
      </c>
      <c r="I278" s="76" t="e">
        <f>C278+H278</f>
        <v>#REF!</v>
      </c>
      <c r="J278" s="55">
        <v>0.04</v>
      </c>
      <c r="K278" s="6"/>
      <c r="L278" s="6"/>
      <c r="M278" s="85" t="e">
        <f t="shared" ref="M278:M284" si="73">(I278*J278)</f>
        <v>#REF!</v>
      </c>
      <c r="N278" s="7" t="e">
        <f t="shared" ref="N278:N297" si="74">H278+I278-M278</f>
        <v>#REF!</v>
      </c>
    </row>
    <row r="279" spans="1:14" hidden="1" x14ac:dyDescent="0.25">
      <c r="A279" s="8">
        <v>1</v>
      </c>
      <c r="B279" s="9" t="s">
        <v>72</v>
      </c>
      <c r="C279" s="10">
        <f t="shared" ref="C279:C298" si="75">N253</f>
        <v>0</v>
      </c>
      <c r="D279" s="63" t="e">
        <f>'CCA - w accelerated'!#REF!</f>
        <v>#REF!</v>
      </c>
      <c r="E279" s="11">
        <v>0</v>
      </c>
      <c r="F279" s="6" t="s">
        <v>0</v>
      </c>
      <c r="G279" s="6"/>
      <c r="H279" s="56" t="e">
        <f t="shared" si="72"/>
        <v>#REF!</v>
      </c>
      <c r="I279" s="56">
        <f>E279</f>
        <v>0</v>
      </c>
      <c r="J279" s="55">
        <f>J278*1.5</f>
        <v>0.06</v>
      </c>
      <c r="K279" s="6"/>
      <c r="L279" s="6"/>
      <c r="M279" s="85">
        <f t="shared" si="73"/>
        <v>0</v>
      </c>
      <c r="N279" s="7" t="e">
        <f t="shared" si="74"/>
        <v>#REF!</v>
      </c>
    </row>
    <row r="280" spans="1:14" hidden="1" x14ac:dyDescent="0.25">
      <c r="A280" s="14">
        <v>2</v>
      </c>
      <c r="B280" s="9" t="s">
        <v>68</v>
      </c>
      <c r="C280" s="10" t="e">
        <f t="shared" si="75"/>
        <v>#REF!</v>
      </c>
      <c r="D280" s="63">
        <v>0</v>
      </c>
      <c r="E280" s="11">
        <v>0</v>
      </c>
      <c r="F280" s="6"/>
      <c r="G280" s="6"/>
      <c r="H280" s="56">
        <f t="shared" si="72"/>
        <v>0</v>
      </c>
      <c r="I280" s="56" t="e">
        <f>C280+H280</f>
        <v>#REF!</v>
      </c>
      <c r="J280" s="55">
        <v>0.06</v>
      </c>
      <c r="K280" s="6"/>
      <c r="L280" s="6"/>
      <c r="M280" s="85" t="e">
        <f t="shared" si="73"/>
        <v>#REF!</v>
      </c>
      <c r="N280" s="7" t="e">
        <f t="shared" si="74"/>
        <v>#REF!</v>
      </c>
    </row>
    <row r="281" spans="1:14" hidden="1" x14ac:dyDescent="0.25">
      <c r="A281" s="15">
        <v>8</v>
      </c>
      <c r="B281" s="16" t="s">
        <v>69</v>
      </c>
      <c r="C281" s="10" t="e">
        <f t="shared" si="75"/>
        <v>#REF!</v>
      </c>
      <c r="D281" s="1" t="e">
        <f>'CCA - w accelerated'!#REF!</f>
        <v>#REF!</v>
      </c>
      <c r="E281" s="63">
        <v>0</v>
      </c>
      <c r="F281" s="6"/>
      <c r="G281" s="6"/>
      <c r="H281" s="56" t="e">
        <f t="shared" si="72"/>
        <v>#REF!</v>
      </c>
      <c r="I281" s="56" t="e">
        <f>C281+H281</f>
        <v>#REF!</v>
      </c>
      <c r="J281" s="55">
        <v>0.2</v>
      </c>
      <c r="K281" s="6"/>
      <c r="L281" s="6"/>
      <c r="M281" s="85" t="e">
        <f t="shared" si="73"/>
        <v>#REF!</v>
      </c>
      <c r="N281" s="7" t="e">
        <f t="shared" si="74"/>
        <v>#REF!</v>
      </c>
    </row>
    <row r="282" spans="1:14" hidden="1" x14ac:dyDescent="0.25">
      <c r="A282" s="15">
        <v>8</v>
      </c>
      <c r="B282" s="16" t="s">
        <v>62</v>
      </c>
      <c r="C282" s="10">
        <f t="shared" si="75"/>
        <v>0</v>
      </c>
      <c r="D282" s="63">
        <v>0</v>
      </c>
      <c r="E282" s="11"/>
      <c r="F282" s="6"/>
      <c r="G282" s="6"/>
      <c r="H282" s="56">
        <f t="shared" si="72"/>
        <v>0</v>
      </c>
      <c r="I282" s="56">
        <f>E282</f>
        <v>0</v>
      </c>
      <c r="J282" s="55">
        <f>J281*1.5</f>
        <v>0.30000000000000004</v>
      </c>
      <c r="K282" s="6"/>
      <c r="L282" s="6"/>
      <c r="M282" s="85">
        <f t="shared" si="73"/>
        <v>0</v>
      </c>
      <c r="N282" s="7">
        <f t="shared" si="74"/>
        <v>0</v>
      </c>
    </row>
    <row r="283" spans="1:14" hidden="1" x14ac:dyDescent="0.25">
      <c r="A283" s="8">
        <v>10</v>
      </c>
      <c r="B283" s="9" t="s">
        <v>70</v>
      </c>
      <c r="C283" s="10" t="e">
        <f t="shared" si="75"/>
        <v>#REF!</v>
      </c>
      <c r="D283" s="63" t="e">
        <f>'CCA - w accelerated'!#REF!</f>
        <v>#REF!</v>
      </c>
      <c r="E283" s="11"/>
      <c r="F283" s="6"/>
      <c r="G283" s="6">
        <v>0</v>
      </c>
      <c r="H283" s="56" t="e">
        <f t="shared" si="72"/>
        <v>#REF!</v>
      </c>
      <c r="I283" s="56" t="e">
        <f>C283+H283</f>
        <v>#REF!</v>
      </c>
      <c r="J283" s="55">
        <v>0.3</v>
      </c>
      <c r="K283" s="6"/>
      <c r="L283" s="6"/>
      <c r="M283" s="85" t="e">
        <f t="shared" si="73"/>
        <v>#REF!</v>
      </c>
      <c r="N283" s="7" t="e">
        <f t="shared" si="74"/>
        <v>#REF!</v>
      </c>
    </row>
    <row r="284" spans="1:14" hidden="1" x14ac:dyDescent="0.25">
      <c r="A284" s="15">
        <v>12</v>
      </c>
      <c r="B284" s="17" t="s">
        <v>71</v>
      </c>
      <c r="C284" s="10" t="e">
        <f t="shared" si="75"/>
        <v>#REF!</v>
      </c>
      <c r="D284" s="63" t="e">
        <f>'CCA - w accelerated'!#REF!</f>
        <v>#REF!</v>
      </c>
      <c r="E284" s="11"/>
      <c r="F284" s="6"/>
      <c r="G284" s="6"/>
      <c r="H284" s="56" t="e">
        <f t="shared" si="72"/>
        <v>#REF!</v>
      </c>
      <c r="I284" s="56" t="e">
        <f>C284+H284</f>
        <v>#REF!</v>
      </c>
      <c r="J284" s="55">
        <v>1</v>
      </c>
      <c r="K284" s="6"/>
      <c r="L284" s="6"/>
      <c r="M284" s="85" t="e">
        <f t="shared" si="73"/>
        <v>#REF!</v>
      </c>
      <c r="N284" s="7" t="e">
        <f t="shared" si="74"/>
        <v>#REF!</v>
      </c>
    </row>
    <row r="285" spans="1:14" hidden="1" x14ac:dyDescent="0.25">
      <c r="A285" s="15">
        <v>12</v>
      </c>
      <c r="B285" s="9" t="s">
        <v>79</v>
      </c>
      <c r="C285" s="10" t="e">
        <f t="shared" si="75"/>
        <v>#REF!</v>
      </c>
      <c r="D285" s="63" t="e">
        <f>'CCA - w accelerated'!#REF!</f>
        <v>#REF!</v>
      </c>
      <c r="E285" s="11"/>
      <c r="F285" s="6"/>
      <c r="G285" s="6"/>
      <c r="H285" s="56" t="e">
        <f t="shared" si="72"/>
        <v>#REF!</v>
      </c>
      <c r="I285" s="56">
        <f>E285</f>
        <v>0</v>
      </c>
      <c r="J285" s="55">
        <f>J284</f>
        <v>1</v>
      </c>
      <c r="K285" s="6"/>
      <c r="L285" s="6"/>
      <c r="M285" s="85">
        <f t="shared" ref="M285:M292" si="76">(I285*J285)</f>
        <v>0</v>
      </c>
      <c r="N285" s="7" t="e">
        <f t="shared" si="74"/>
        <v>#REF!</v>
      </c>
    </row>
    <row r="286" spans="1:14" hidden="1" x14ac:dyDescent="0.25">
      <c r="A286" s="26">
        <v>14.1</v>
      </c>
      <c r="B286" s="58" t="s">
        <v>73</v>
      </c>
      <c r="C286" s="10" t="e">
        <f t="shared" si="75"/>
        <v>#REF!</v>
      </c>
      <c r="D286" s="63">
        <v>0</v>
      </c>
      <c r="E286" s="11"/>
      <c r="F286" s="6"/>
      <c r="G286" s="6"/>
      <c r="H286" s="56">
        <f t="shared" si="72"/>
        <v>0</v>
      </c>
      <c r="I286" s="56" t="e">
        <f>C286+H286</f>
        <v>#REF!</v>
      </c>
      <c r="J286" s="12">
        <v>7.0000000000000007E-2</v>
      </c>
      <c r="K286" s="6"/>
      <c r="L286" s="6"/>
      <c r="M286" s="85" t="e">
        <f t="shared" si="76"/>
        <v>#REF!</v>
      </c>
      <c r="N286" s="7" t="e">
        <f t="shared" si="74"/>
        <v>#REF!</v>
      </c>
    </row>
    <row r="287" spans="1:14" hidden="1" x14ac:dyDescent="0.25">
      <c r="A287" s="26">
        <v>14.1</v>
      </c>
      <c r="B287" s="27" t="s">
        <v>74</v>
      </c>
      <c r="C287" s="10" t="e">
        <f t="shared" si="75"/>
        <v>#REF!</v>
      </c>
      <c r="D287" s="63">
        <v>0</v>
      </c>
      <c r="E287" s="11"/>
      <c r="F287" s="6"/>
      <c r="G287" s="6"/>
      <c r="H287" s="56">
        <f t="shared" si="72"/>
        <v>0</v>
      </c>
      <c r="I287" s="56" t="e">
        <f>C287+H287</f>
        <v>#REF!</v>
      </c>
      <c r="J287" s="12">
        <v>0.05</v>
      </c>
      <c r="K287" s="6"/>
      <c r="L287" s="6"/>
      <c r="M287" s="85" t="e">
        <f t="shared" si="76"/>
        <v>#REF!</v>
      </c>
      <c r="N287" s="7" t="e">
        <f t="shared" si="74"/>
        <v>#REF!</v>
      </c>
    </row>
    <row r="288" spans="1:14" hidden="1" x14ac:dyDescent="0.25">
      <c r="A288" s="26">
        <v>14.1</v>
      </c>
      <c r="B288" s="27" t="s">
        <v>82</v>
      </c>
      <c r="C288" s="10">
        <f t="shared" si="75"/>
        <v>0</v>
      </c>
      <c r="D288" s="63">
        <v>0</v>
      </c>
      <c r="E288" s="11"/>
      <c r="F288" s="6"/>
      <c r="G288" s="6"/>
      <c r="H288" s="56">
        <f t="shared" si="72"/>
        <v>0</v>
      </c>
      <c r="I288" s="56">
        <f>E288</f>
        <v>0</v>
      </c>
      <c r="J288" s="55">
        <f>J287*1.5</f>
        <v>7.5000000000000011E-2</v>
      </c>
      <c r="K288" s="6"/>
      <c r="L288" s="6"/>
      <c r="M288" s="85">
        <f t="shared" si="76"/>
        <v>0</v>
      </c>
      <c r="N288" s="7">
        <f t="shared" si="74"/>
        <v>0</v>
      </c>
    </row>
    <row r="289" spans="1:14" hidden="1" x14ac:dyDescent="0.25">
      <c r="A289" s="15">
        <v>17</v>
      </c>
      <c r="B289" s="17" t="s">
        <v>75</v>
      </c>
      <c r="C289" s="10" t="e">
        <f t="shared" si="75"/>
        <v>#REF!</v>
      </c>
      <c r="D289" s="1">
        <v>0</v>
      </c>
      <c r="E289" s="63"/>
      <c r="F289" s="6"/>
      <c r="G289" s="6"/>
      <c r="H289" s="56">
        <f t="shared" si="72"/>
        <v>0</v>
      </c>
      <c r="I289" s="56" t="e">
        <f>C289+H289</f>
        <v>#REF!</v>
      </c>
      <c r="J289" s="55">
        <v>0.08</v>
      </c>
      <c r="K289" s="6"/>
      <c r="L289" s="6"/>
      <c r="M289" s="85" t="e">
        <f t="shared" si="76"/>
        <v>#REF!</v>
      </c>
      <c r="N289" s="7" t="e">
        <f t="shared" si="74"/>
        <v>#REF!</v>
      </c>
    </row>
    <row r="290" spans="1:14" hidden="1" x14ac:dyDescent="0.25">
      <c r="A290" s="26">
        <v>43.2</v>
      </c>
      <c r="B290" s="58" t="s">
        <v>76</v>
      </c>
      <c r="C290" s="10" t="e">
        <f t="shared" si="75"/>
        <v>#REF!</v>
      </c>
      <c r="D290" s="63">
        <v>0</v>
      </c>
      <c r="E290" s="11"/>
      <c r="F290" s="6"/>
      <c r="G290" s="6"/>
      <c r="H290" s="56">
        <f t="shared" si="72"/>
        <v>0</v>
      </c>
      <c r="I290" s="56" t="e">
        <f>C290+H290</f>
        <v>#REF!</v>
      </c>
      <c r="J290" s="12">
        <v>0.5</v>
      </c>
      <c r="K290" s="6"/>
      <c r="L290" s="6"/>
      <c r="M290" s="85" t="e">
        <f t="shared" si="76"/>
        <v>#REF!</v>
      </c>
      <c r="N290" s="7" t="e">
        <f t="shared" si="74"/>
        <v>#REF!</v>
      </c>
    </row>
    <row r="291" spans="1:14" hidden="1" x14ac:dyDescent="0.25">
      <c r="A291" s="26">
        <v>46</v>
      </c>
      <c r="B291" s="9" t="s">
        <v>119</v>
      </c>
      <c r="C291" s="10" t="e">
        <f t="shared" si="75"/>
        <v>#REF!</v>
      </c>
      <c r="D291" s="63"/>
      <c r="E291" s="11"/>
      <c r="F291" s="6"/>
      <c r="G291" s="6"/>
      <c r="H291" s="56">
        <f t="shared" si="72"/>
        <v>0</v>
      </c>
      <c r="I291" s="56" t="e">
        <f>C291+H291</f>
        <v>#REF!</v>
      </c>
      <c r="J291" s="12">
        <v>0.3</v>
      </c>
      <c r="K291" s="6"/>
      <c r="L291" s="6"/>
      <c r="M291" s="85" t="e">
        <f t="shared" si="76"/>
        <v>#REF!</v>
      </c>
      <c r="N291" s="7" t="e">
        <f t="shared" si="74"/>
        <v>#REF!</v>
      </c>
    </row>
    <row r="292" spans="1:14" hidden="1" x14ac:dyDescent="0.25">
      <c r="A292" s="26">
        <v>46</v>
      </c>
      <c r="B292" s="9" t="s">
        <v>120</v>
      </c>
      <c r="C292" s="10">
        <f t="shared" si="75"/>
        <v>0</v>
      </c>
      <c r="D292" s="63"/>
      <c r="E292" s="11"/>
      <c r="F292" s="6"/>
      <c r="G292" s="6"/>
      <c r="H292" s="56">
        <f t="shared" si="72"/>
        <v>0</v>
      </c>
      <c r="I292" s="56">
        <f>E292</f>
        <v>0</v>
      </c>
      <c r="J292" s="12">
        <f>J291</f>
        <v>0.3</v>
      </c>
      <c r="K292" s="6"/>
      <c r="L292" s="6"/>
      <c r="M292" s="85">
        <f t="shared" si="76"/>
        <v>0</v>
      </c>
      <c r="N292" s="7">
        <f t="shared" si="74"/>
        <v>0</v>
      </c>
    </row>
    <row r="293" spans="1:14" hidden="1" x14ac:dyDescent="0.25">
      <c r="A293" s="8">
        <v>45</v>
      </c>
      <c r="B293" s="9" t="s">
        <v>77</v>
      </c>
      <c r="C293" s="10" t="e">
        <f t="shared" si="75"/>
        <v>#REF!</v>
      </c>
      <c r="D293" s="63">
        <v>0</v>
      </c>
      <c r="E293" s="11"/>
      <c r="F293" s="6"/>
      <c r="G293" s="6"/>
      <c r="H293" s="56">
        <f t="shared" si="72"/>
        <v>0</v>
      </c>
      <c r="I293" s="56" t="e">
        <f>C293+H293</f>
        <v>#REF!</v>
      </c>
      <c r="J293" s="55">
        <v>0.45</v>
      </c>
      <c r="K293" s="6"/>
      <c r="L293" s="51"/>
      <c r="M293" s="85" t="e">
        <f t="shared" ref="M293:M298" si="77">(I293*J293)</f>
        <v>#REF!</v>
      </c>
      <c r="N293" s="7" t="e">
        <f t="shared" si="74"/>
        <v>#REF!</v>
      </c>
    </row>
    <row r="294" spans="1:14" hidden="1" x14ac:dyDescent="0.25">
      <c r="A294" s="15">
        <v>47</v>
      </c>
      <c r="B294" s="16" t="s">
        <v>78</v>
      </c>
      <c r="C294" s="10" t="e">
        <f t="shared" si="75"/>
        <v>#REF!</v>
      </c>
      <c r="D294" s="63" t="e">
        <f>'CCA - w accelerated'!#REF!</f>
        <v>#REF!</v>
      </c>
      <c r="E294" s="11"/>
      <c r="F294" s="6"/>
      <c r="G294" s="6"/>
      <c r="H294" s="56" t="e">
        <f t="shared" si="72"/>
        <v>#REF!</v>
      </c>
      <c r="I294" s="56" t="e">
        <f>C294+H294</f>
        <v>#REF!</v>
      </c>
      <c r="J294" s="55">
        <v>0.08</v>
      </c>
      <c r="K294" s="6"/>
      <c r="L294" s="6"/>
      <c r="M294" s="85" t="e">
        <f t="shared" si="77"/>
        <v>#REF!</v>
      </c>
      <c r="N294" s="7" t="e">
        <f t="shared" si="74"/>
        <v>#REF!</v>
      </c>
    </row>
    <row r="295" spans="1:14" hidden="1" x14ac:dyDescent="0.25">
      <c r="A295" s="15">
        <v>47</v>
      </c>
      <c r="B295" s="16" t="s">
        <v>80</v>
      </c>
      <c r="C295" s="10">
        <f t="shared" si="75"/>
        <v>0</v>
      </c>
      <c r="D295" s="64">
        <v>0</v>
      </c>
      <c r="E295" s="11"/>
      <c r="F295" s="6"/>
      <c r="G295" s="6"/>
      <c r="H295" s="56">
        <f t="shared" si="72"/>
        <v>0</v>
      </c>
      <c r="I295" s="56">
        <f>E295</f>
        <v>0</v>
      </c>
      <c r="J295" s="55">
        <f>J294*1.5</f>
        <v>0.12</v>
      </c>
      <c r="K295" s="6"/>
      <c r="L295" s="6"/>
      <c r="M295" s="85">
        <f t="shared" si="77"/>
        <v>0</v>
      </c>
      <c r="N295" s="7">
        <f t="shared" si="74"/>
        <v>0</v>
      </c>
    </row>
    <row r="296" spans="1:14" hidden="1" x14ac:dyDescent="0.25">
      <c r="A296" s="8">
        <v>50</v>
      </c>
      <c r="B296" s="9" t="s">
        <v>77</v>
      </c>
      <c r="C296" s="10" t="e">
        <f t="shared" si="75"/>
        <v>#REF!</v>
      </c>
      <c r="D296" s="1" t="e">
        <f>'CCA - w accelerated'!#REF!</f>
        <v>#REF!</v>
      </c>
      <c r="E296" s="63"/>
      <c r="F296" s="6">
        <v>0</v>
      </c>
      <c r="G296" s="1">
        <v>0</v>
      </c>
      <c r="H296" s="56" t="e">
        <f t="shared" si="72"/>
        <v>#REF!</v>
      </c>
      <c r="I296" s="56" t="e">
        <f>C296+H296</f>
        <v>#REF!</v>
      </c>
      <c r="J296" s="12">
        <v>0.55000000000000004</v>
      </c>
      <c r="K296" s="6"/>
      <c r="L296" s="6"/>
      <c r="M296" s="85" t="e">
        <f t="shared" si="77"/>
        <v>#REF!</v>
      </c>
      <c r="N296" s="7" t="e">
        <f t="shared" si="74"/>
        <v>#REF!</v>
      </c>
    </row>
    <row r="297" spans="1:14" hidden="1" x14ac:dyDescent="0.25">
      <c r="A297" s="66">
        <v>50</v>
      </c>
      <c r="B297" s="9" t="s">
        <v>81</v>
      </c>
      <c r="C297" s="10">
        <f t="shared" si="75"/>
        <v>0</v>
      </c>
      <c r="D297" s="63">
        <v>0</v>
      </c>
      <c r="E297" s="11"/>
      <c r="F297" s="6"/>
      <c r="G297" s="6">
        <v>0</v>
      </c>
      <c r="H297" s="56">
        <f t="shared" si="72"/>
        <v>0</v>
      </c>
      <c r="I297" s="56">
        <f>E297</f>
        <v>0</v>
      </c>
      <c r="J297" s="55">
        <f>J296*1.5</f>
        <v>0.82500000000000007</v>
      </c>
      <c r="K297" s="6"/>
      <c r="L297" s="6"/>
      <c r="M297" s="85">
        <f t="shared" si="77"/>
        <v>0</v>
      </c>
      <c r="N297" s="7">
        <f t="shared" si="74"/>
        <v>0</v>
      </c>
    </row>
    <row r="298" spans="1:14" hidden="1" x14ac:dyDescent="0.25">
      <c r="A298" s="18">
        <v>95</v>
      </c>
      <c r="B298" s="19" t="s">
        <v>9</v>
      </c>
      <c r="C298" s="10" t="e">
        <f t="shared" si="75"/>
        <v>#REF!</v>
      </c>
      <c r="D298" s="63">
        <v>0</v>
      </c>
      <c r="E298" s="11">
        <v>0</v>
      </c>
      <c r="F298" s="6">
        <v>0</v>
      </c>
      <c r="G298" s="6"/>
      <c r="H298" s="56">
        <f t="shared" si="72"/>
        <v>0</v>
      </c>
      <c r="I298" s="11" t="e">
        <f>C298+D298+F298</f>
        <v>#REF!</v>
      </c>
      <c r="J298" s="12">
        <v>0</v>
      </c>
      <c r="K298" s="6"/>
      <c r="L298" s="6"/>
      <c r="M298" s="85" t="e">
        <f t="shared" si="77"/>
        <v>#REF!</v>
      </c>
      <c r="N298" s="7" t="e">
        <f>I298-M298</f>
        <v>#REF!</v>
      </c>
    </row>
    <row r="299" spans="1:14" ht="15.75" hidden="1" thickBot="1" x14ac:dyDescent="0.3">
      <c r="A299" s="24" t="s">
        <v>10</v>
      </c>
      <c r="B299" s="21"/>
      <c r="C299" s="22" t="e">
        <f t="shared" ref="C299:I299" si="78">SUM(C278:C298)</f>
        <v>#REF!</v>
      </c>
      <c r="D299" s="65" t="e">
        <f t="shared" si="78"/>
        <v>#REF!</v>
      </c>
      <c r="E299" s="65">
        <f t="shared" si="78"/>
        <v>0</v>
      </c>
      <c r="F299" s="46">
        <f t="shared" si="78"/>
        <v>0</v>
      </c>
      <c r="G299" s="61">
        <f t="shared" si="78"/>
        <v>0</v>
      </c>
      <c r="H299" s="22" t="e">
        <f t="shared" si="78"/>
        <v>#REF!</v>
      </c>
      <c r="I299" s="22" t="e">
        <f t="shared" si="78"/>
        <v>#REF!</v>
      </c>
      <c r="J299" s="22" t="s">
        <v>0</v>
      </c>
      <c r="K299" s="22">
        <f>SUM(K278:K298)</f>
        <v>0</v>
      </c>
      <c r="L299" s="22">
        <f>SUM(L278:L298)</f>
        <v>0</v>
      </c>
      <c r="M299" s="22" t="e">
        <f>SUM(M278:M298)</f>
        <v>#REF!</v>
      </c>
      <c r="N299" s="22" t="e">
        <f>SUM(N278:N298)</f>
        <v>#REF!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7"/>
  <sheetViews>
    <sheetView topLeftCell="A25" workbookViewId="0">
      <selection activeCell="F30" sqref="F30"/>
    </sheetView>
  </sheetViews>
  <sheetFormatPr defaultRowHeight="15" x14ac:dyDescent="0.25"/>
  <cols>
    <col min="1" max="1" width="8.140625" bestFit="1" customWidth="1"/>
    <col min="2" max="2" width="32.140625" bestFit="1" customWidth="1"/>
    <col min="3" max="3" width="14.28515625" bestFit="1" customWidth="1"/>
    <col min="4" max="4" width="5.42578125" bestFit="1" customWidth="1"/>
    <col min="5" max="5" width="10.140625" bestFit="1" customWidth="1"/>
    <col min="7" max="7" width="13.28515625" bestFit="1" customWidth="1"/>
    <col min="9" max="9" width="12.28515625" bestFit="1" customWidth="1"/>
    <col min="10" max="10" width="9.7109375" bestFit="1" customWidth="1"/>
  </cols>
  <sheetData>
    <row r="1" spans="1:5" x14ac:dyDescent="0.25">
      <c r="A1" s="29"/>
      <c r="B1" s="29"/>
      <c r="C1" s="29"/>
      <c r="D1" s="30"/>
    </row>
    <row r="2" spans="1:5" x14ac:dyDescent="0.25">
      <c r="A2" s="31"/>
      <c r="B2" s="29" t="s">
        <v>53</v>
      </c>
      <c r="C2" s="31" t="s">
        <v>0</v>
      </c>
      <c r="D2" s="30"/>
    </row>
    <row r="3" spans="1:5" x14ac:dyDescent="0.25">
      <c r="A3" s="29"/>
      <c r="B3" s="29"/>
      <c r="C3" s="29"/>
      <c r="D3" s="30"/>
    </row>
    <row r="4" spans="1:5" ht="45" x14ac:dyDescent="0.25">
      <c r="A4" s="29" t="s">
        <v>12</v>
      </c>
      <c r="B4" s="29" t="s">
        <v>2</v>
      </c>
      <c r="C4" s="32" t="s">
        <v>52</v>
      </c>
      <c r="D4" s="32" t="s">
        <v>13</v>
      </c>
    </row>
    <row r="5" spans="1:5" x14ac:dyDescent="0.25">
      <c r="A5" s="33">
        <v>1908</v>
      </c>
      <c r="B5" s="34" t="s">
        <v>14</v>
      </c>
      <c r="C5" s="35">
        <v>200000</v>
      </c>
      <c r="D5" s="36">
        <v>1</v>
      </c>
      <c r="E5" t="s">
        <v>0</v>
      </c>
    </row>
    <row r="6" spans="1:5" x14ac:dyDescent="0.25">
      <c r="A6" s="33"/>
      <c r="B6" s="34"/>
      <c r="C6" s="37"/>
      <c r="D6" s="36"/>
      <c r="E6" t="s">
        <v>0</v>
      </c>
    </row>
    <row r="7" spans="1:5" x14ac:dyDescent="0.25">
      <c r="A7" s="33">
        <v>1915</v>
      </c>
      <c r="B7" s="34" t="s">
        <v>15</v>
      </c>
      <c r="C7" s="37">
        <v>60000</v>
      </c>
      <c r="D7" s="36">
        <v>8</v>
      </c>
      <c r="E7" t="s">
        <v>0</v>
      </c>
    </row>
    <row r="8" spans="1:5" x14ac:dyDescent="0.25">
      <c r="A8" s="33">
        <v>1940</v>
      </c>
      <c r="B8" s="34" t="s">
        <v>16</v>
      </c>
      <c r="C8" s="37">
        <v>250000</v>
      </c>
      <c r="D8" s="36">
        <v>8</v>
      </c>
      <c r="E8" t="s">
        <v>0</v>
      </c>
    </row>
    <row r="9" spans="1:5" x14ac:dyDescent="0.25">
      <c r="A9" s="33">
        <v>1955</v>
      </c>
      <c r="B9" s="34" t="s">
        <v>17</v>
      </c>
      <c r="C9" s="37">
        <v>36870</v>
      </c>
      <c r="D9" s="36">
        <v>8</v>
      </c>
      <c r="E9" t="s">
        <v>0</v>
      </c>
    </row>
    <row r="10" spans="1:5" x14ac:dyDescent="0.25">
      <c r="A10" s="33">
        <v>1980</v>
      </c>
      <c r="B10" s="34" t="s">
        <v>18</v>
      </c>
      <c r="C10" s="43">
        <v>589330</v>
      </c>
      <c r="D10" s="36">
        <v>8</v>
      </c>
      <c r="E10" t="s">
        <v>0</v>
      </c>
    </row>
    <row r="11" spans="1:5" x14ac:dyDescent="0.25">
      <c r="A11" s="33">
        <v>1945</v>
      </c>
      <c r="B11" s="34" t="s">
        <v>44</v>
      </c>
      <c r="C11" s="43">
        <v>0</v>
      </c>
      <c r="D11" s="36">
        <v>8</v>
      </c>
    </row>
    <row r="12" spans="1:5" x14ac:dyDescent="0.25">
      <c r="A12" s="33">
        <v>1960</v>
      </c>
      <c r="B12" s="34" t="s">
        <v>19</v>
      </c>
      <c r="C12" s="39">
        <v>25000</v>
      </c>
      <c r="D12" s="36">
        <v>8</v>
      </c>
      <c r="E12" t="s">
        <v>0</v>
      </c>
    </row>
    <row r="13" spans="1:5" x14ac:dyDescent="0.25">
      <c r="A13" s="33"/>
      <c r="B13" s="34"/>
      <c r="C13" s="35">
        <f>SUM(C7:C12)</f>
        <v>961200</v>
      </c>
      <c r="D13" s="36"/>
      <c r="E13" t="s">
        <v>0</v>
      </c>
    </row>
    <row r="14" spans="1:5" x14ac:dyDescent="0.25">
      <c r="E14" t="s">
        <v>0</v>
      </c>
    </row>
    <row r="15" spans="1:5" x14ac:dyDescent="0.25">
      <c r="A15" s="33">
        <v>1930</v>
      </c>
      <c r="B15" s="34" t="s">
        <v>8</v>
      </c>
      <c r="C15" s="39">
        <v>1300000</v>
      </c>
      <c r="D15" s="36">
        <v>10</v>
      </c>
      <c r="E15" t="s">
        <v>0</v>
      </c>
    </row>
    <row r="16" spans="1:5" x14ac:dyDescent="0.25">
      <c r="A16" s="33"/>
      <c r="B16" s="34"/>
      <c r="C16" s="35"/>
      <c r="D16" s="36"/>
      <c r="E16" t="s">
        <v>0</v>
      </c>
    </row>
    <row r="17" spans="1:10" x14ac:dyDescent="0.25">
      <c r="A17" s="33">
        <v>1611</v>
      </c>
      <c r="B17" s="34" t="s">
        <v>20</v>
      </c>
      <c r="C17" s="39">
        <v>1012000</v>
      </c>
      <c r="D17" s="36">
        <v>12</v>
      </c>
      <c r="E17" t="s">
        <v>0</v>
      </c>
    </row>
    <row r="18" spans="1:10" x14ac:dyDescent="0.25">
      <c r="A18" s="33"/>
      <c r="B18" s="34"/>
      <c r="C18" s="35"/>
      <c r="D18" s="36"/>
    </row>
    <row r="19" spans="1:10" x14ac:dyDescent="0.25">
      <c r="A19" s="33">
        <v>1910</v>
      </c>
      <c r="B19" s="34" t="s">
        <v>21</v>
      </c>
      <c r="C19" s="39">
        <v>0</v>
      </c>
      <c r="D19" s="36">
        <v>13</v>
      </c>
      <c r="E19" t="s">
        <v>0</v>
      </c>
    </row>
    <row r="20" spans="1:10" x14ac:dyDescent="0.25">
      <c r="A20" s="33"/>
      <c r="B20" s="34"/>
      <c r="C20" s="35"/>
      <c r="D20" s="36"/>
      <c r="E20" t="s">
        <v>0</v>
      </c>
    </row>
    <row r="21" spans="1:10" x14ac:dyDescent="0.25">
      <c r="A21" s="33">
        <v>1725</v>
      </c>
      <c r="B21" s="34" t="s">
        <v>22</v>
      </c>
      <c r="C21" s="37">
        <v>609928</v>
      </c>
      <c r="D21" s="36">
        <v>47</v>
      </c>
      <c r="E21" t="s">
        <v>0</v>
      </c>
    </row>
    <row r="22" spans="1:10" x14ac:dyDescent="0.25">
      <c r="A22" s="33">
        <v>1730</v>
      </c>
      <c r="B22" s="34" t="s">
        <v>23</v>
      </c>
      <c r="C22" s="37">
        <v>690283</v>
      </c>
      <c r="D22" s="36">
        <v>47</v>
      </c>
      <c r="E22" t="s">
        <v>0</v>
      </c>
    </row>
    <row r="23" spans="1:10" x14ac:dyDescent="0.25">
      <c r="A23" s="33">
        <v>1815</v>
      </c>
      <c r="B23" s="34" t="s">
        <v>41</v>
      </c>
      <c r="C23" s="37"/>
      <c r="D23" s="36"/>
    </row>
    <row r="24" spans="1:10" x14ac:dyDescent="0.25">
      <c r="A24" s="33">
        <v>1820</v>
      </c>
      <c r="B24" s="34" t="s">
        <v>24</v>
      </c>
      <c r="C24" s="37">
        <v>4245836</v>
      </c>
      <c r="D24" s="36">
        <v>47</v>
      </c>
      <c r="E24" t="s">
        <v>0</v>
      </c>
    </row>
    <row r="25" spans="1:10" x14ac:dyDescent="0.25">
      <c r="A25" s="33">
        <v>1830</v>
      </c>
      <c r="B25" s="34" t="s">
        <v>25</v>
      </c>
      <c r="C25" s="37">
        <v>2403863</v>
      </c>
      <c r="D25" s="36">
        <v>47</v>
      </c>
      <c r="E25" t="s">
        <v>0</v>
      </c>
    </row>
    <row r="26" spans="1:10" x14ac:dyDescent="0.25">
      <c r="A26" s="33">
        <v>1835</v>
      </c>
      <c r="B26" s="34" t="s">
        <v>26</v>
      </c>
      <c r="C26" s="37">
        <v>1436209</v>
      </c>
      <c r="D26" s="36">
        <v>47</v>
      </c>
      <c r="E26" t="s">
        <v>0</v>
      </c>
    </row>
    <row r="27" spans="1:10" x14ac:dyDescent="0.25">
      <c r="A27" s="33">
        <v>1840</v>
      </c>
      <c r="B27" s="34" t="s">
        <v>27</v>
      </c>
      <c r="C27" s="37">
        <v>524299</v>
      </c>
      <c r="D27" s="36">
        <v>47</v>
      </c>
      <c r="E27" t="s">
        <v>0</v>
      </c>
    </row>
    <row r="28" spans="1:10" ht="15" customHeight="1" x14ac:dyDescent="0.25">
      <c r="A28" s="34">
        <v>1845</v>
      </c>
      <c r="B28" s="34" t="s">
        <v>28</v>
      </c>
      <c r="C28" s="37">
        <v>8348022</v>
      </c>
      <c r="D28" s="36">
        <v>47</v>
      </c>
      <c r="E28" t="s">
        <v>0</v>
      </c>
    </row>
    <row r="29" spans="1:10" x14ac:dyDescent="0.25">
      <c r="A29" s="34">
        <v>1850</v>
      </c>
      <c r="B29" s="34" t="s">
        <v>29</v>
      </c>
      <c r="C29" s="37">
        <v>4213479</v>
      </c>
      <c r="D29" s="36">
        <v>47</v>
      </c>
      <c r="E29" t="s">
        <v>0</v>
      </c>
      <c r="H29" t="s">
        <v>0</v>
      </c>
    </row>
    <row r="30" spans="1:10" x14ac:dyDescent="0.25">
      <c r="A30" s="29">
        <v>1995</v>
      </c>
      <c r="B30" s="29" t="s">
        <v>30</v>
      </c>
      <c r="C30" s="42">
        <v>-4825082</v>
      </c>
      <c r="D30" s="36">
        <v>47</v>
      </c>
      <c r="E30" t="s">
        <v>0</v>
      </c>
      <c r="H30" t="s">
        <v>33</v>
      </c>
      <c r="I30" s="38" t="s">
        <v>0</v>
      </c>
      <c r="J30" s="25" t="s">
        <v>0</v>
      </c>
    </row>
    <row r="31" spans="1:10" x14ac:dyDescent="0.25">
      <c r="A31" s="33">
        <v>1855</v>
      </c>
      <c r="B31" s="34" t="s">
        <v>31</v>
      </c>
      <c r="C31" s="37">
        <v>1355075</v>
      </c>
      <c r="D31" s="36">
        <v>47</v>
      </c>
      <c r="E31" t="s">
        <v>0</v>
      </c>
      <c r="H31" t="s">
        <v>0</v>
      </c>
    </row>
    <row r="32" spans="1:10" x14ac:dyDescent="0.25">
      <c r="A32" s="33">
        <v>1860</v>
      </c>
      <c r="B32" s="34" t="s">
        <v>32</v>
      </c>
      <c r="C32" s="44">
        <v>753000</v>
      </c>
      <c r="D32" s="36">
        <v>47</v>
      </c>
      <c r="E32" t="s">
        <v>0</v>
      </c>
    </row>
    <row r="33" spans="1:5" x14ac:dyDescent="0.25">
      <c r="A33" s="33"/>
      <c r="B33" s="34"/>
      <c r="C33" s="35">
        <f>SUM(C21:C32)</f>
        <v>19754912</v>
      </c>
      <c r="D33" s="36"/>
    </row>
    <row r="34" spans="1:5" x14ac:dyDescent="0.25">
      <c r="A34" s="33">
        <v>1920</v>
      </c>
      <c r="B34" s="34" t="s">
        <v>34</v>
      </c>
      <c r="C34" s="35">
        <v>363500</v>
      </c>
      <c r="D34" s="36">
        <v>50</v>
      </c>
    </row>
    <row r="35" spans="1:5" x14ac:dyDescent="0.25">
      <c r="A35" s="33"/>
      <c r="B35" s="34"/>
      <c r="C35" s="37"/>
      <c r="D35" s="36"/>
      <c r="E35" t="s">
        <v>0</v>
      </c>
    </row>
    <row r="36" spans="1:5" x14ac:dyDescent="0.25">
      <c r="A36" s="33">
        <v>1800</v>
      </c>
      <c r="B36" s="34" t="s">
        <v>35</v>
      </c>
      <c r="C36" s="40">
        <v>175000</v>
      </c>
      <c r="D36" s="36" t="s">
        <v>36</v>
      </c>
      <c r="E36" t="s">
        <v>0</v>
      </c>
    </row>
    <row r="37" spans="1:5" x14ac:dyDescent="0.25">
      <c r="A37" s="33">
        <v>1735</v>
      </c>
      <c r="B37" s="34" t="s">
        <v>37</v>
      </c>
      <c r="C37" s="35">
        <v>0</v>
      </c>
      <c r="D37" s="36">
        <v>47</v>
      </c>
      <c r="E37" t="s">
        <v>0</v>
      </c>
    </row>
    <row r="38" spans="1:5" x14ac:dyDescent="0.25">
      <c r="A38" s="33">
        <v>1740</v>
      </c>
      <c r="B38" s="34" t="s">
        <v>38</v>
      </c>
      <c r="C38" s="35">
        <v>0</v>
      </c>
      <c r="D38" s="36">
        <v>47</v>
      </c>
    </row>
    <row r="39" spans="1:5" x14ac:dyDescent="0.25">
      <c r="A39" s="33">
        <v>1806</v>
      </c>
      <c r="B39" s="34" t="s">
        <v>39</v>
      </c>
      <c r="C39" s="37">
        <v>0</v>
      </c>
      <c r="D39" s="36" t="s">
        <v>36</v>
      </c>
      <c r="E39" t="s">
        <v>0</v>
      </c>
    </row>
    <row r="40" spans="1:5" x14ac:dyDescent="0.25">
      <c r="A40" s="33">
        <v>1808</v>
      </c>
      <c r="B40" s="34" t="s">
        <v>40</v>
      </c>
      <c r="C40" s="37">
        <v>0</v>
      </c>
      <c r="D40" s="36"/>
    </row>
    <row r="41" spans="1:5" x14ac:dyDescent="0.25">
      <c r="A41" s="33">
        <v>1901</v>
      </c>
      <c r="B41" s="34" t="s">
        <v>39</v>
      </c>
      <c r="C41" s="37">
        <v>0</v>
      </c>
      <c r="D41" s="36"/>
    </row>
    <row r="42" spans="1:5" x14ac:dyDescent="0.25">
      <c r="A42" s="33">
        <v>1905</v>
      </c>
      <c r="B42" s="34" t="s">
        <v>42</v>
      </c>
      <c r="C42" s="40">
        <v>0</v>
      </c>
      <c r="D42" s="36"/>
    </row>
    <row r="43" spans="1:5" x14ac:dyDescent="0.25">
      <c r="A43" s="33">
        <v>1935</v>
      </c>
      <c r="B43" s="34" t="s">
        <v>43</v>
      </c>
      <c r="C43" s="37">
        <v>0</v>
      </c>
      <c r="D43" s="36"/>
    </row>
    <row r="44" spans="1:5" x14ac:dyDescent="0.25">
      <c r="A44" s="29">
        <v>1865</v>
      </c>
      <c r="B44" s="29" t="s">
        <v>45</v>
      </c>
      <c r="C44" s="37"/>
      <c r="D44" s="36"/>
    </row>
    <row r="45" spans="1:5" x14ac:dyDescent="0.25">
      <c r="A45" s="29"/>
      <c r="B45" s="29"/>
      <c r="C45" s="29"/>
      <c r="D45" s="30"/>
    </row>
    <row r="46" spans="1:5" x14ac:dyDescent="0.25">
      <c r="A46" s="29"/>
      <c r="E46" t="s">
        <v>0</v>
      </c>
    </row>
    <row r="47" spans="1:5" x14ac:dyDescent="0.25">
      <c r="A47" s="29">
        <v>2075</v>
      </c>
      <c r="B47" t="s">
        <v>46</v>
      </c>
      <c r="C47" s="54">
        <v>0</v>
      </c>
      <c r="D47" t="s">
        <v>0</v>
      </c>
    </row>
    <row r="48" spans="1:5" x14ac:dyDescent="0.25">
      <c r="A48" s="29"/>
      <c r="C48" s="54"/>
    </row>
    <row r="49" spans="1:7" x14ac:dyDescent="0.25">
      <c r="A49" s="29"/>
      <c r="B49" s="31" t="s">
        <v>10</v>
      </c>
      <c r="C49" s="41">
        <f>+C5+C13+C15+C17+C19+C33+C34+C36</f>
        <v>23766612</v>
      </c>
      <c r="D49" s="30"/>
    </row>
    <row r="50" spans="1:7" x14ac:dyDescent="0.25">
      <c r="B50" s="29" t="s">
        <v>0</v>
      </c>
      <c r="C50" s="29" t="s">
        <v>0</v>
      </c>
      <c r="D50" s="30"/>
      <c r="E50" t="s">
        <v>0</v>
      </c>
    </row>
    <row r="52" spans="1:7" x14ac:dyDescent="0.25">
      <c r="A52">
        <v>6040</v>
      </c>
      <c r="B52" t="s">
        <v>49</v>
      </c>
      <c r="C52" s="45">
        <v>0</v>
      </c>
      <c r="E52" t="s">
        <v>51</v>
      </c>
    </row>
    <row r="54" spans="1:7" x14ac:dyDescent="0.25">
      <c r="A54">
        <v>1612</v>
      </c>
      <c r="B54" t="s">
        <v>50</v>
      </c>
      <c r="C54">
        <v>0</v>
      </c>
    </row>
    <row r="55" spans="1:7" x14ac:dyDescent="0.25">
      <c r="A55">
        <v>1610</v>
      </c>
      <c r="B55" t="s">
        <v>48</v>
      </c>
      <c r="C55" s="53">
        <v>730000</v>
      </c>
    </row>
    <row r="56" spans="1:7" x14ac:dyDescent="0.25">
      <c r="E56" t="s">
        <v>54</v>
      </c>
      <c r="G56" t="s">
        <v>55</v>
      </c>
    </row>
    <row r="57" spans="1:7" x14ac:dyDescent="0.25">
      <c r="B57" t="s">
        <v>47</v>
      </c>
      <c r="C57" s="38">
        <f>C49+C54+C55</f>
        <v>24496612</v>
      </c>
      <c r="E57" s="57">
        <v>24496612</v>
      </c>
      <c r="G57" s="38">
        <f>C57-E57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56B24BA03CC41807CCB77DED0D7D2" ma:contentTypeVersion="17" ma:contentTypeDescription="Create a new document." ma:contentTypeScope="" ma:versionID="851ab5cc86adacac765f47f34a7e6fc8">
  <xsd:schema xmlns:xsd="http://www.w3.org/2001/XMLSchema" xmlns:xs="http://www.w3.org/2001/XMLSchema" xmlns:p="http://schemas.microsoft.com/office/2006/metadata/properties" xmlns:ns2="1ebb5cdf-5803-4e55-8f90-2858ffc370dd" targetNamespace="http://schemas.microsoft.com/office/2006/metadata/properties" ma:root="true" ma:fieldsID="99cfc8a51fbcdc5c9df4152d9bf605ea" ns2:_="">
    <xsd:import namespace="1ebb5cdf-5803-4e55-8f90-2858ffc370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rategic" minOccurs="0"/>
                <xsd:element ref="ns2:LeadPen" minOccurs="0"/>
                <xsd:element ref="ns2:DRP_x0028_Elexicon_x0029_" minOccurs="0"/>
                <xsd:element ref="ns2:Statu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Witnes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bb5cdf-5803-4e55-8f90-2858ffc3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rategic" ma:index="12" nillable="true" ma:displayName="Strategic" ma:default="0" ma:format="Dropdown" ma:internalName="Strategic">
      <xsd:simpleType>
        <xsd:restriction base="dms:Boolean"/>
      </xsd:simpleType>
    </xsd:element>
    <xsd:element name="LeadPen" ma:index="13" nillable="true" ma:displayName="Lead Pen" ma:format="Dropdown" ma:list="UserInfo" ma:SharePointGroup="0" ma:internalName="LeadP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P_x0028_Elexicon_x0029_" ma:index="14" nillable="true" ma:displayName="DRP (Elexicon)" ma:format="Dropdown" ma:list="UserInfo" ma:SharePointGroup="0" ma:internalName="DRP_x0028_Elexicon_x0029_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5" nillable="true" ma:displayName="Status" ma:format="Dropdown" ma:internalName="Status">
      <xsd:simpleType>
        <xsd:union memberTypes="dms:Text">
          <xsd:simpleType>
            <xsd:restriction base="dms:Choice">
              <xsd:enumeration value="Not Started"/>
              <xsd:enumeration value="First Draft in-progress"/>
              <xsd:enumeration value="Revised Draft in-progress"/>
              <xsd:enumeration value="with Torys"/>
              <xsd:enumeration value="Ready for Witness Review"/>
              <xsd:enumeration value="Needs revisions/inputs"/>
              <xsd:enumeration value="Signed-off by Witness"/>
              <xsd:enumeration value="Formatting in Progress"/>
              <xsd:enumeration value="Ready for Final Regulatory Review"/>
              <xsd:enumeration value="Ready to be Filed"/>
              <xsd:enumeration value="Ready for PDFing"/>
            </xsd:restriction>
          </xsd:simpleType>
        </xsd:un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3a22a3d-408e-4f18-9ceb-0cfc2189b2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Witness" ma:index="21" nillable="true" ma:displayName="Witness" ma:format="Dropdown" ma:internalName="Witnes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ynthia Chan"/>
                        <xsd:enumeration value="Stephen Vetsis"/>
                        <xsd:enumeration value="Kriston Romano"/>
                        <xsd:enumeration value="Lincoln Frost-Hunt"/>
                        <xsd:enumeration value="Sam Sadeghi"/>
                        <xsd:enumeration value="Brad Walker"/>
                        <xsd:enumeration value="Stephen Sheehy"/>
                        <xsd:enumeration value="Munish Multani"/>
                        <xsd:enumeration value="Zubair Islam"/>
                        <xsd:enumeration value="Andrew Blair (PA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adPen xmlns="1ebb5cdf-5803-4e55-8f90-2858ffc370dd">
      <UserInfo>
        <DisplayName/>
        <AccountId xsi:nil="true"/>
        <AccountType/>
      </UserInfo>
    </LeadPen>
    <lcf76f155ced4ddcb4097134ff3c332f xmlns="1ebb5cdf-5803-4e55-8f90-2858ffc370dd">
      <Terms xmlns="http://schemas.microsoft.com/office/infopath/2007/PartnerControls"/>
    </lcf76f155ced4ddcb4097134ff3c332f>
    <Strategic xmlns="1ebb5cdf-5803-4e55-8f90-2858ffc370dd">false</Strategic>
    <DRP_x0028_Elexicon_x0029_ xmlns="1ebb5cdf-5803-4e55-8f90-2858ffc370dd">
      <UserInfo>
        <DisplayName/>
        <AccountId xsi:nil="true"/>
        <AccountType/>
      </UserInfo>
    </DRP_x0028_Elexicon_x0029_>
    <Status xmlns="1ebb5cdf-5803-4e55-8f90-2858ffc370dd" xsi:nil="true"/>
    <Witness xmlns="1ebb5cdf-5803-4e55-8f90-2858ffc3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C1147F-CDF2-48C8-A50E-6EB9EA3EDC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bb5cdf-5803-4e55-8f90-2858ffc3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4CC8FF-C513-415A-A9DB-5A846917992C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1ebb5cdf-5803-4e55-8f90-2858ffc370dd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1C4815E-0180-49A2-83A9-3D330E8A07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CCA - w accelerated</vt:lpstr>
      <vt:lpstr>CCA - wo accelerated</vt:lpstr>
      <vt:lpstr>cap add 16 Q3 proj</vt:lpstr>
    </vt:vector>
  </TitlesOfParts>
  <Company>Veridian Connections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asharma</dc:creator>
  <cp:lastModifiedBy>Susan Kim</cp:lastModifiedBy>
  <cp:lastPrinted>2018-02-12T22:47:02Z</cp:lastPrinted>
  <dcterms:created xsi:type="dcterms:W3CDTF">2012-11-07T16:03:37Z</dcterms:created>
  <dcterms:modified xsi:type="dcterms:W3CDTF">2026-04-02T13:12:44Z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0x0101007C856B24BA03CC41807CCB77DED0D7D2</vt:lpwstr>
  </property>
  <property fmtid="{D5CDD505-2E9C-101B-9397-08002B2CF9AE}" pid="3" name="MediaServiceImageTags">
    <vt:lpwstr/>
  </property>
</Properties>
</file>