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egresearch-my.sharepoint.com/personal/mmakos_pacificeconomicsgroup_com/Documents/"/>
    </mc:Choice>
  </mc:AlternateContent>
  <xr:revisionPtr revIDLastSave="0" documentId="8_{89028B7D-07F4-4818-80D9-F7882E61855C}" xr6:coauthVersionLast="47" xr6:coauthVersionMax="47" xr10:uidLastSave="{00000000-0000-0000-0000-000000000000}"/>
  <bookViews>
    <workbookView xWindow="-108" yWindow="-108" windowWidth="23256" windowHeight="13896" activeTab="1" xr2:uid="{DB0EEDB9-00E1-4FB6-9380-113E1584FE45}"/>
  </bookViews>
  <sheets>
    <sheet name="Escalation Factors HWI" sheetId="1" r:id="rId1"/>
    <sheet name="Own-Cost Trend Capex Less CIAC" sheetId="2" r:id="rId2"/>
  </sheets>
  <definedNames>
    <definedName name="\A">#REF!</definedName>
    <definedName name="\b">#REF!</definedName>
    <definedName name="\P">#REF!</definedName>
    <definedName name="__123Graph_D" hidden="1">#REF!</definedName>
    <definedName name="__123Graph_E" hidden="1">#REF!</definedName>
    <definedName name="__FDS_HYPERLINK_TOGGLE_STATE__" hidden="1">"ON"</definedName>
    <definedName name="__Key1" hidden="1">#REF!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Sort" hidden="1">#REF!</definedName>
    <definedName name="_V1" hidden="1">{#N/A,#N/A,FALSE,"Aging Summary";#N/A,#N/A,FALSE,"Ratio Analysis";#N/A,#N/A,FALSE,"Test 120 Day Accts";#N/A,#N/A,FALSE,"Tickmarks"}</definedName>
    <definedName name="_xlcn.WorksheetConnection_T9A2C161" hidden="1">#REF!</definedName>
    <definedName name="a" hidden="1">{#N/A,#N/A,FALSE,"Aging Summary";#N/A,#N/A,FALSE,"Ratio Analysis";#N/A,#N/A,FALSE,"Test 120 Day Accts";#N/A,#N/A,FALSE,"Tickmarks"}</definedName>
    <definedName name="aa" hidden="1">{#N/A,#N/A,FALSE,"Aging Summary";#N/A,#N/A,FALSE,"Ratio Analysis";#N/A,#N/A,FALSE,"Test 120 Day Accts";#N/A,#N/A,FALSE,"Tickmarks"}</definedName>
    <definedName name="aaaaaaaa" hidden="1">{#N/A,#N/A,FALSE,"Aging Summary";#N/A,#N/A,FALSE,"Ratio Analysis";#N/A,#N/A,FALSE,"Test 120 Day Accts";#N/A,#N/A,FALSE,"Tickmarks"}</definedName>
    <definedName name="ab" hidden="1">{#N/A,#N/A,FALSE,"Aging Summary";#N/A,#N/A,FALSE,"Ratio Analysis";#N/A,#N/A,FALSE,"Test 120 Day Accts";#N/A,#N/A,FALSE,"Tickmarks"}</definedName>
    <definedName name="abc" hidden="1">{#N/A,#N/A,FALSE,"Aging Summary";#N/A,#N/A,FALSE,"Ratio Analysis";#N/A,#N/A,FALSE,"Test 120 Day Accts";#N/A,#N/A,FALSE,"Tickmarks"}</definedName>
    <definedName name="AccountNames">#REF!</definedName>
    <definedName name="Actual">#REF!</definedName>
    <definedName name="adf" hidden="1">{#N/A,#N/A,FALSE,"Aging Summary";#N/A,#N/A,FALSE,"Ratio Analysis";#N/A,#N/A,FALSE,"Test 120 Day Accts";#N/A,#N/A,FALSE,"Tickmarks"}</definedName>
    <definedName name="aj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llHistory">#REF!,#REF!</definedName>
    <definedName name="AllPages">#REF!,#REF!,#REF!,#REF!,#REF!,#REF!,#REF!,#REF!,#REF!,#REF!,#REF!</definedName>
    <definedName name="AllSum98">#REF!,#REF!,#REF!</definedName>
    <definedName name="AltCFStart">#REF!</definedName>
    <definedName name="amort">#REF!</definedName>
    <definedName name="analysis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nual_Cost_per_User_MSOffice365">#REF!</definedName>
    <definedName name="APPENDIX">#REF!</definedName>
    <definedName name="area1">#REF!,#REF!,#REF!,#REF!,#REF!,#REF!</definedName>
    <definedName name="area2">#REF!,#REF!</definedName>
    <definedName name="AS2DocOpenMode" hidden="1">"AS2DocumentEdit"</definedName>
    <definedName name="AS2HasNoAutoHeaderFooter" hidden="1">" "</definedName>
    <definedName name="Avg_Burdened_Rate_of_Email_Users">#REF!</definedName>
    <definedName name="bb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rampton">#REF!</definedName>
    <definedName name="Brampton___Mississauga">#REF!</definedName>
    <definedName name="Brampton___St._Catherines">#REF!</definedName>
    <definedName name="Brampton___Vaughan">#REF!</definedName>
    <definedName name="branch">#REF!</definedName>
    <definedName name="BridgeYear">#REF!</definedName>
    <definedName name="cafe_validation_temp" hidden="1">#REF!</definedName>
    <definedName name="CAPITAL">#REF!</definedName>
    <definedName name="CASHFLOW">#REF!</definedName>
    <definedName name="cc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d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F">#REF!</definedName>
    <definedName name="CFStart">#REF!</definedName>
    <definedName name="CIQWBGuid" hidden="1">"2de395d8-5f10-4a3a-843c-d290bc7f8287"</definedName>
    <definedName name="Crystal_1_1_WEBI_DataGrid" hidden="1">#REF!</definedName>
    <definedName name="Crystal_1_1_WEBI_HHeading" hidden="1">#REF!</definedName>
    <definedName name="Crystal_1_1_WEBI_Table" hidden="1">#REF!</definedName>
    <definedName name="Crystal_10_1_WEBI_DataGrid" hidden="1">#REF!</definedName>
    <definedName name="Crystal_10_1_WEBI_HHeading" hidden="1">#REF!</definedName>
    <definedName name="Crystal_10_1_WEBI_Table" hidden="1">#REF!</definedName>
    <definedName name="Crystal_12_1_WEBI_DataGrid" hidden="1">#REF!</definedName>
    <definedName name="Crystal_12_1_WEBI_HHeading" hidden="1">#REF!</definedName>
    <definedName name="Crystal_12_1_WEBI_Table" hidden="1">#REF!</definedName>
    <definedName name="Crystal_14_1_WEBI_DataGrid" hidden="1">#REF!</definedName>
    <definedName name="Crystal_14_1_WEBI_HHeading" hidden="1">#REF!</definedName>
    <definedName name="Crystal_14_1_WEBI_Table" hidden="1">#REF!</definedName>
    <definedName name="Crystal_16_1_WEBI_DataGrid" hidden="1">#REF!</definedName>
    <definedName name="Crystal_16_1_WEBI_HHeading" hidden="1">#REF!</definedName>
    <definedName name="Crystal_16_1_WEBI_Table" hidden="1">#REF!</definedName>
    <definedName name="Crystal_18_1_WEBI_DataGrid" hidden="1">#REF!</definedName>
    <definedName name="Crystal_18_1_WEBI_HHeading" hidden="1">#REF!</definedName>
    <definedName name="Crystal_18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rystal_5_1_WEBI_DataGrid" hidden="1">#REF!</definedName>
    <definedName name="Crystal_5_1_WEBI_HHeading" hidden="1">#REF!</definedName>
    <definedName name="Crystal_5_1_WEBI_Table" hidden="1">#REF!</definedName>
    <definedName name="Crystal_6_1_WEBI_DataGrid" hidden="1">#REF!</definedName>
    <definedName name="Crystal_6_1_WEBI_HHeading" hidden="1">#REF!</definedName>
    <definedName name="Crystal_6_1_WEBI_Table" hidden="1">#REF!</definedName>
    <definedName name="Crystal_8_1_WEBI_DataGrid" hidden="1">#REF!</definedName>
    <definedName name="Crystal_8_1_WEBI_HHeading" hidden="1">#REF!</definedName>
    <definedName name="Crystal_8_1_WEBI_Table" hidden="1">#REF!</definedName>
    <definedName name="Crystal_9_1_WEBI_DataGrid" hidden="1">#REF!</definedName>
    <definedName name="Crystal_9_1_WEBI_HHeading" hidden="1">#REF!</definedName>
    <definedName name="Crystal_9_1_WEBI_Table" hidden="1">#REF!</definedName>
    <definedName name="d" hidden="1">#REF!</definedName>
    <definedName name="D0016Pull">#REF!</definedName>
    <definedName name="D0042Pull">#REF!</definedName>
    <definedName name="D0044Pull">#REF!</definedName>
    <definedName name="D0045Pull">#REF!</definedName>
    <definedName name="D0046Pull">#REF!</definedName>
    <definedName name="D0047Pull">#REF!</definedName>
    <definedName name="D0048Pull">#REF!</definedName>
    <definedName name="D0049Pull">#REF!</definedName>
    <definedName name="D0055Pull">#REF!</definedName>
    <definedName name="dc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d" hidden="1">#REF!</definedName>
    <definedName name="DEBT">#REF!</definedName>
    <definedName name="Department_List">#REF!</definedName>
    <definedName name="Deptid">#REF!</definedName>
    <definedName name="dividend">#REF!</definedName>
    <definedName name="e" hidden="1">#REF!</definedName>
    <definedName name="EB">#REF!</definedName>
    <definedName name="EBNUMBER">#REF!</definedName>
    <definedName name="ee" hidden="1">#REF!</definedName>
    <definedName name="Essbase_Ret">#REF!</definedName>
    <definedName name="etet" hidden="1">#REF!</definedName>
    <definedName name="ExchangeRate">#REF!</definedName>
    <definedName name="FDHDF" hidden="1">#REF!</definedName>
    <definedName name="ff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f">#REF!</definedName>
    <definedName name="fill" hidden="1">#REF!</definedName>
    <definedName name="firstTimeRunReport">0</definedName>
    <definedName name="fnew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recastSubTotalMatch" localSheetId="0">OFFSET(ForecastSubTotalRecordMatch, 1, 0, [0]!nVariables, 1)</definedName>
    <definedName name="ForecastSubTotalMatch" localSheetId="1">OFFSET(ForecastSubTotalRecordMatch, 1, 0, [0]!nVariables, 1)</definedName>
    <definedName name="ForecastSubTotalMatch">OFFSET(ForecastSubTotalRecordMatch, 1, 0, nVariables, 1)</definedName>
    <definedName name="formRange" localSheetId="0">OFFSET(sPic, 1, 1, [0]!nVariables, [0]!Years+1)</definedName>
    <definedName name="formRange" localSheetId="1">OFFSET(sPic, 1, 1, [0]!nVariables, [0]!Years+1)</definedName>
    <definedName name="formRange">OFFSET(sPic, 1, 1, nVariables, Years+1)</definedName>
    <definedName name="FS_LINES">#REF!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FHDF" hidden="1">#REF!</definedName>
    <definedName name="gg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ggggg" hidden="1">{#N/A,#N/A,FALSE,"Aging Summary";#N/A,#N/A,FALSE,"Ratio Analysis";#N/A,#N/A,FALSE,"Test 120 Day Accts";#N/A,#N/A,FALSE,"Tickmarks"}</definedName>
    <definedName name="gggj" hidden="1">{#N/A,#N/A,FALSE,"Aging Summary";#N/A,#N/A,FALSE,"Ratio Analysis";#N/A,#N/A,FALSE,"Test 120 Day Accts";#N/A,#N/A,FALSE,"Tickmarks"}</definedName>
    <definedName name="GHJ" hidden="1">#REF!</definedName>
    <definedName name="Graph" hidden="1">#REF!</definedName>
    <definedName name="Hamilton">#REF!</definedName>
    <definedName name="Hamilton___Brampton">#REF!</definedName>
    <definedName name="Hamilton___Missisauga">#REF!</definedName>
    <definedName name="Hamilton___St._Catherines">#REF!</definedName>
    <definedName name="hgjgjgjg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hjhgjh" hidden="1">{#N/A,#N/A,FALSE,"Aging Summary";#N/A,#N/A,FALSE,"Ratio Analysis";#N/A,#N/A,FALSE,"Test 120 Day Accts";#N/A,#N/A,FALSE,"Tickmarks"}</definedName>
    <definedName name="hjhgjhgjg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KL" hidden="1">#REF!</definedName>
    <definedName name="HLJKGJKL" hidden="1">#REF!</definedName>
    <definedName name="HOEPDec">#REF!</definedName>
    <definedName name="HOEPFeb">#REF!</definedName>
    <definedName name="HOEPJan">#REF!</definedName>
    <definedName name="HOEPJul">#REF!</definedName>
    <definedName name="HOEPJun">#REF!</definedName>
    <definedName name="HOEPMar">#REF!</definedName>
    <definedName name="HOEPMay">#REF!</definedName>
    <definedName name="HOEPNov">#REF!</definedName>
    <definedName name="HOEPOct">#REF!</definedName>
    <definedName name="HOEPSep">#REF!</definedName>
    <definedName name="INCOME">#REF!</definedName>
    <definedName name="Internal_Resource_Burdened_Rate_Yearly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CIQ" hidden="1">"c4994"</definedName>
    <definedName name="IQ_EPS_EST_REUT" hidden="1">"c5453"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TDDEV_EST" hidden="1">"c422"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40892.6053125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TDDEV_EST" hidden="1">"c1721"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ICE_CFPS_FWD" hidden="1">"c2237"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CIQ" hidden="1">"c3616"</definedName>
    <definedName name="IQ_REVENUE_EST_REUT" hidden="1">"c3634"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39266.6333564815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" hidden="1">{#N/A,#N/A,FALSE,"Aging Summary";#N/A,#N/A,FALSE,"Ratio Analysis";#N/A,#N/A,FALSE,"Test 120 Day Accts";#N/A,#N/A,FALSE,"Tickmarks"}</definedName>
    <definedName name="jgg" hidden="1">{#N/A,#N/A,FALSE,"Aging Summary";#N/A,#N/A,FALSE,"Ratio Analysis";#N/A,#N/A,FALSE,"Test 120 Day Accts";#N/A,#N/A,FALSE,"Tickmarks"}</definedName>
    <definedName name="jgjgjgj" hidden="1">{#N/A,#N/A,FALSE,"Aging Summary";#N/A,#N/A,FALSE,"Ratio Analysis";#N/A,#N/A,FALSE,"Test 120 Day Accts";#N/A,#N/A,FALSE,"Tickmarks"}</definedName>
    <definedName name="jgjhgj" hidden="1">{#N/A,#N/A,FALSE,"Aging Summary";#N/A,#N/A,FALSE,"Ratio Analysis";#N/A,#N/A,FALSE,"Test 120 Day Accts";#N/A,#N/A,FALSE,"Tickmarks"}</definedName>
    <definedName name="jhgjhgjhgj" hidden="1">{#N/A,#N/A,FALSE,"Aging Summary";#N/A,#N/A,FALSE,"Ratio Analysis";#N/A,#N/A,FALSE,"Test 120 Day Accts";#N/A,#N/A,FALSE,"Tickmarks"}</definedName>
    <definedName name="jj" hidden="1">{#N/A,#N/A,FALSE,"Aging Summary";#N/A,#N/A,FALSE,"Ratio Analysis";#N/A,#N/A,FALSE,"Test 120 Day Accts";#N/A,#N/A,FALSE,"Tickmarks"}</definedName>
    <definedName name="jjj" hidden="1">#REF!</definedName>
    <definedName name="K" hidden="1">{#N/A,#N/A,FALSE,"Aging Summary";#N/A,#N/A,FALSE,"Ratio Analysis";#N/A,#N/A,FALSE,"Test 120 Day Accts";#N/A,#N/A,FALSE,"Tickmarks"}</definedName>
    <definedName name="l" hidden="1">{#N/A,#N/A,FALSE,"Aging Summary";#N/A,#N/A,FALSE,"Ratio Analysis";#N/A,#N/A,FALSE,"Test 120 Day Accts";#N/A,#N/A,FALSE,"Tickmarks"}</definedName>
    <definedName name="LastSheet" hidden="1">"Fixed Asset Amort and  UCC 2"</definedName>
    <definedName name="LKASFDH" hidden="1">#REF!</definedName>
    <definedName name="m" hidden="1">{#N/A,#N/A,FALSE,"Aging Summary";#N/A,#N/A,FALSE,"Ratio Analysis";#N/A,#N/A,FALSE,"Test 120 Day Accts";#N/A,#N/A,FALSE,"Tickmarks"}</definedName>
    <definedName name="Main">#REF!</definedName>
    <definedName name="Max">#REF!</definedName>
    <definedName name="metricbridge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in">#REF!</definedName>
    <definedName name="Mississauga">#REF!</definedName>
    <definedName name="Mississauga___St._Catherines">#REF!</definedName>
    <definedName name="mmm">#REF!</definedName>
    <definedName name="Mnum">#REF!</definedName>
    <definedName name="n" hidden="1">{#N/A,#N/A,FALSE,"Aging Summary";#N/A,#N/A,FALSE,"Ratio Analysis";#N/A,#N/A,FALSE,"Test 120 Day Accts";#N/A,#N/A,FALSE,"Tickmarks"}</definedName>
    <definedName name="nnn">#REF!</definedName>
    <definedName name="nOfScoreFunctions">COUNTA(#REF!)-1</definedName>
    <definedName name="nVariables">10</definedName>
    <definedName name="NvsAnswerCol">"[B0096.xls]Sheet1!$A$8:$A$426"</definedName>
    <definedName name="NvsASD">"V2009-10-03"</definedName>
    <definedName name="NvsAutoDrillOk">"VY"</definedName>
    <definedName name="NvsElapsedTime">0.00299768518016208</definedName>
    <definedName name="NvsEndTime">40154.6928703704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"V2006-01-01"</definedName>
    <definedName name="NvsPanelSetid">"VCTC01"</definedName>
    <definedName name="NvsReqBU">"VCONSO"</definedName>
    <definedName name="NvsReqBUOnly">"VN"</definedName>
    <definedName name="NvsTransLed">"VN"</definedName>
    <definedName name="NvsTreeASD">"V2009-10-03"</definedName>
    <definedName name="NvsValTbl.CURRENCY_CD">"CURRENCY_CD_TBL"</definedName>
    <definedName name="ofalse">INDEX(#REF!, MATCH("false",#REF!, 0))</definedName>
    <definedName name="oi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o" hidden="1">{#N/A,#N/A,FALSE,"Aging Summary";#N/A,#N/A,FALSE,"Ratio Analysis";#N/A,#N/A,FALSE,"Test 120 Day Accts";#N/A,#N/A,FALSE,"Tickmarks"}</definedName>
    <definedName name="Order" hidden="1">255</definedName>
    <definedName name="otrue">INDEX(#REF!, MATCH("true",#REF!, 0))</definedName>
    <definedName name="p" hidden="1">{#N/A,#N/A,FALSE,"Aging Summary";#N/A,#N/A,FALSE,"Ratio Analysis";#N/A,#N/A,FALSE,"Test 120 Day Accts";#N/A,#N/A,FALSE,"Tickmarks"}</definedName>
    <definedName name="Pages2000b">#REF!,#REF!,#REF!,#REF!,#REF!,#REF!,#REF!</definedName>
    <definedName name="PagesAll">#REF!,#REF!,#REF!,#REF!,#REF!,#REF!,#REF!,#REF!,#REF!,#REF!,#REF!,#REF!</definedName>
    <definedName name="pp" hidden="1">{#N/A,#N/A,FALSE,"Aging Summary";#N/A,#N/A,FALSE,"Ratio Analysis";#N/A,#N/A,FALSE,"Test 120 Day Accts";#N/A,#N/A,FALSE,"Tickmarks"}</definedName>
    <definedName name="_xlnm.Print_Area" localSheetId="0">'Escalation Factors HWI'!$A$2:$P$58</definedName>
    <definedName name="_xlnm.Print_Area" localSheetId="1">'Own-Cost Trend Capex Less CIAC'!$D$1:$AL$58</definedName>
    <definedName name="_xlnm.Print_Area">#REF!</definedName>
    <definedName name="qbs_table">#REF!</definedName>
    <definedName name="Retearn">#REF!</definedName>
    <definedName name="rr" hidden="1">{#N/A,#N/A,FALSE,"Aging Summary";#N/A,#N/A,FALSE,"Ratio Analysis";#N/A,#N/A,FALSE,"Test 120 Day Accts";#N/A,#N/A,FALSE,"Tickmarks"}</definedName>
    <definedName name="rrr">#REF!</definedName>
    <definedName name="rtyr" hidden="1">{#N/A,#N/A,FALSE,"Aging Summary";#N/A,#N/A,FALSE,"Ratio Analysis";#N/A,#N/A,FALSE,"Test 120 Day Accts";#N/A,#N/A,FALSE,"Tickmarks"}</definedName>
    <definedName name="Scenario">#REF!</definedName>
    <definedName name="ScoreFunctions">OFFSET(#REF!, 1, 0, nOfScoreFunctions, 1)</definedName>
    <definedName name="SCriteria">#REF!</definedName>
    <definedName name="sFunction">#REF!</definedName>
    <definedName name="Sor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ss">#REF!</definedName>
    <definedName name="St._Catherines">#REF!</definedName>
    <definedName name="StartYear">#REF!</definedName>
    <definedName name="sub_table">#REF!</definedName>
    <definedName name="TableReportAll">#REF!,#REF!,#REF!</definedName>
    <definedName name="Target">#REF!</definedName>
    <definedName name="tes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Year">#REF!</definedName>
    <definedName name="TM1REBUILDOPTION">1</definedName>
    <definedName name="Total_Email_Users_to_Migrate">#REF!</definedName>
    <definedName name="tretert" hidden="1">#REF!</definedName>
    <definedName name="tryytry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T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t" hidden="1">{#N/A,#N/A,FALSE,"Aging Summary";#N/A,#N/A,FALSE,"Ratio Analysis";#N/A,#N/A,FALSE,"Test 120 Day Accts";#N/A,#N/A,FALSE,"Tickmarks"}</definedName>
    <definedName name="tutu" hidden="1">#REF!</definedName>
    <definedName name="USD">#REF!</definedName>
    <definedName name="uu" hidden="1">{#N/A,#N/A,FALSE,"Aging Summary";#N/A,#N/A,FALSE,"Ratio Analysis";#N/A,#N/A,FALSE,"Test 120 Day Accts";#N/A,#N/A,FALSE,"Tickmarks"}</definedName>
    <definedName name="uuu" hidden="1">#REF!</definedName>
    <definedName name="uuuu" hidden="1">{#N/A,#N/A,FALSE,"Aging Summary";#N/A,#N/A,FALSE,"Ratio Analysis";#N/A,#N/A,FALSE,"Test 120 Day Accts";#N/A,#N/A,FALSE,"Tickmarks"}</definedName>
    <definedName name="v">#REF!</definedName>
    <definedName name="VARIANCECOMMENTS">#REF!</definedName>
    <definedName name="Vaughan">#REF!</definedName>
    <definedName name="Vaughan___Hamilton">#REF!</definedName>
    <definedName name="Vaughan___Mississauga">#REF!</definedName>
    <definedName name="Vaughan___St._Catherines">#REF!</definedName>
    <definedName name="vbbbbbbbbb" hidden="1">{#N/A,#N/A,FALSE,"Aging Summary";#N/A,#N/A,FALSE,"Ratio Analysis";#N/A,#N/A,FALSE,"Test 120 Day Accts";#N/A,#N/A,FALSE,"Tickmarks"}</definedName>
    <definedName name="VOLVERC">#REF!</definedName>
    <definedName name="w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IP_ACCRUAL">#REF!</definedName>
    <definedName name="Working_Version">"Retrieve_1"</definedName>
    <definedName name="wrn.5._.Year._.Plan." hidden="1">{#N/A,#N/A,FALSE,"Cover";#N/A,#N/A,FALSE,"Key Assumptions";#N/A,#N/A,FALSE,"Assum1";#N/A,#N/A,FALSE,"Revenue";#N/A,#N/A,FALSE,"Operating Income";#N/A,#N/A,FALSE,"Capital employed";#N/A,#N/A,FALSE,"Cap Emp WS"}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ging._.and._.Trend._.Analysis." hidden="1">{#N/A,#N/A,FALSE,"Aging Summary";#N/A,#N/A,FALSE,"Ratio Analysis";#N/A,#N/A,FALSE,"Test 120 Day Accts";#N/A,#N/A,FALSE,"Tickmarks"}</definedName>
    <definedName name="wrn.Appendixes._.for._.OEB.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backups._.for._.appendixes.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prorate._.Package.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rrent._.Year._.Plan._.Only.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stadds_volumes." hidden="1">{"datatable",#N/A,FALSE,"Cust.Adds_Volumes"}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xception._.Report." hidden="1">{#N/A,#N/A,FALSE,"Exception Report"}</definedName>
    <definedName name="wrn.Five._.Year._.Plan.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ull._.Business._.Plan._.Package.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income." hidden="1">{"income",#N/A,FALSE,"income_statement"}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OMreport." hidden="1">{"OM_data",#N/A,FALSE,"O&amp;M Data Table";"OM_regulatory_adjustments",#N/A,FALSE,"O&amp;M Data Table";"OM_select_data",#N/A,FALSE,"O&amp;M Data Table"}</definedName>
    <definedName name="wrn.Plan._.Support._.Only.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reliminary._.Plan." hidden="1">{#N/A,#N/A,FALSE,"Part E";#N/A,#N/A,FALSE,"E.1 Prelim Earnings Plan"}</definedName>
    <definedName name="wrn.President._.Report." hidden="1">{#N/A,#N/A,FALSE,"President's Cover";#N/A,#N/A,FALSE,"A.1 1998 Objectives";#N/A,#N/A,FALSE,"A.2 President's Measures";#N/A,#N/A,FALSE,"A.3 Commentary"}</definedName>
    <definedName name="wrn.Quarter._.1._.Forecast.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2._.Forecast.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3._.Forecast.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ly._.Consolidation._.Report.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Supplemental._.Pkg..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Year._.End._.Reporting._.Pkg..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x">#REF!</definedName>
    <definedName name="xxx">#REF!</definedName>
    <definedName name="xxxxxxx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YearlyFinancialMatch" localSheetId="0">OFFSET(YearlyFinancialRecordMatch, 1, 0, [0]!nVariables, 1)</definedName>
    <definedName name="YearlyFinancialMatch" localSheetId="1">OFFSET(YearlyFinancialRecordMatch, 1, 0, [0]!nVariables, 1)</definedName>
    <definedName name="YearlyFinancialMatch">OFFSET(YearlyFinancialRecordMatch, 1, 0, nVariables, 1)</definedName>
    <definedName name="yearNom">INDEX(#REF!, MATCH("ForecastColumnHeaders",#REF!, 0))</definedName>
    <definedName name="Years">#REF!</definedName>
    <definedName name="ytrytry" hidden="1">{#N/A,#N/A,FALSE,"Aging Summary";#N/A,#N/A,FALSE,"Ratio Analysis";#N/A,#N/A,FALSE,"Test 120 Day Accts";#N/A,#N/A,FALSE,"Tickmarks"}</definedName>
    <definedName name="yy" hidden="1">{#N/A,#N/A,FALSE,"Aging Summary";#N/A,#N/A,FALSE,"Ratio Analysis";#N/A,#N/A,FALSE,"Test 120 Day Accts";#N/A,#N/A,FALSE,"Tickmarks"}</definedName>
    <definedName name="yytr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">#REF!</definedName>
  </definedName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5" i="2" l="1"/>
  <c r="AD65" i="2"/>
  <c r="AC65" i="2"/>
  <c r="AB65" i="2"/>
  <c r="AA65" i="2"/>
  <c r="S65" i="2"/>
  <c r="R65" i="2"/>
  <c r="I65" i="2"/>
  <c r="H65" i="2"/>
  <c r="G65" i="2"/>
  <c r="F65" i="2"/>
  <c r="E65" i="2"/>
  <c r="AE57" i="2"/>
  <c r="AD57" i="2"/>
  <c r="AC57" i="2"/>
  <c r="AB57" i="2"/>
  <c r="AH57" i="2" s="1"/>
  <c r="AA57" i="2"/>
  <c r="S57" i="2"/>
  <c r="R57" i="2"/>
  <c r="I57" i="2"/>
  <c r="H57" i="2"/>
  <c r="G53" i="2"/>
  <c r="F53" i="2"/>
  <c r="E53" i="2"/>
  <c r="G51" i="2"/>
  <c r="F51" i="2"/>
  <c r="F57" i="2" s="1"/>
  <c r="E51" i="2"/>
  <c r="E57" i="2" s="1"/>
  <c r="AE47" i="2"/>
  <c r="AE49" i="2" s="1"/>
  <c r="AD47" i="2"/>
  <c r="AD49" i="2" s="1"/>
  <c r="AC47" i="2"/>
  <c r="AC49" i="2" s="1"/>
  <c r="AB47" i="2"/>
  <c r="AA47" i="2"/>
  <c r="AA49" i="2" s="1"/>
  <c r="S47" i="2"/>
  <c r="S49" i="2" s="1"/>
  <c r="R47" i="2"/>
  <c r="R49" i="2" s="1"/>
  <c r="I47" i="2"/>
  <c r="I49" i="2" s="1"/>
  <c r="H47" i="2"/>
  <c r="H49" i="2" s="1"/>
  <c r="G47" i="2"/>
  <c r="G49" i="2" s="1"/>
  <c r="F47" i="2"/>
  <c r="F49" i="2" s="1"/>
  <c r="E47" i="2"/>
  <c r="E49" i="2" s="1"/>
  <c r="AH46" i="2"/>
  <c r="AH45" i="2"/>
  <c r="AH44" i="2"/>
  <c r="AH43" i="2"/>
  <c r="AH42" i="2"/>
  <c r="AH38" i="2"/>
  <c r="AE37" i="2"/>
  <c r="AE39" i="2" s="1"/>
  <c r="AD37" i="2"/>
  <c r="AD39" i="2" s="1"/>
  <c r="AC37" i="2"/>
  <c r="AC39" i="2" s="1"/>
  <c r="AB37" i="2"/>
  <c r="AA37" i="2"/>
  <c r="AA39" i="2" s="1"/>
  <c r="S37" i="2"/>
  <c r="S39" i="2" s="1"/>
  <c r="R37" i="2"/>
  <c r="R39" i="2" s="1"/>
  <c r="I37" i="2"/>
  <c r="I39" i="2" s="1"/>
  <c r="H37" i="2"/>
  <c r="G37" i="2"/>
  <c r="F37" i="2"/>
  <c r="F39" i="2" s="1"/>
  <c r="E37" i="2"/>
  <c r="E39" i="2" s="1"/>
  <c r="AH36" i="2"/>
  <c r="AH35" i="2"/>
  <c r="AH34" i="2"/>
  <c r="AH33" i="2"/>
  <c r="AH31" i="2"/>
  <c r="AE26" i="2"/>
  <c r="AE28" i="2" s="1"/>
  <c r="AD26" i="2"/>
  <c r="AD28" i="2" s="1"/>
  <c r="AH28" i="2" s="1"/>
  <c r="AC26" i="2"/>
  <c r="AC28" i="2" s="1"/>
  <c r="AB26" i="2"/>
  <c r="AB28" i="2" s="1"/>
  <c r="AA26" i="2"/>
  <c r="AA28" i="2" s="1"/>
  <c r="S26" i="2"/>
  <c r="S28" i="2" s="1"/>
  <c r="R26" i="2"/>
  <c r="R28" i="2" s="1"/>
  <c r="I26" i="2"/>
  <c r="I28" i="2" s="1"/>
  <c r="H26" i="2"/>
  <c r="H28" i="2" s="1"/>
  <c r="G26" i="2"/>
  <c r="G28" i="2" s="1"/>
  <c r="F26" i="2"/>
  <c r="F28" i="2" s="1"/>
  <c r="E26" i="2"/>
  <c r="AH25" i="2"/>
  <c r="AH24" i="2"/>
  <c r="AH23" i="2"/>
  <c r="AH22" i="2"/>
  <c r="AE17" i="2"/>
  <c r="AD17" i="2"/>
  <c r="AD19" i="2" s="1"/>
  <c r="AC17" i="2"/>
  <c r="AB17" i="2"/>
  <c r="AB19" i="2" s="1"/>
  <c r="AA17" i="2"/>
  <c r="AA19" i="2" s="1"/>
  <c r="AA52" i="2" s="1"/>
  <c r="AA54" i="2" s="1"/>
  <c r="S17" i="2"/>
  <c r="S19" i="2" s="1"/>
  <c r="R17" i="2"/>
  <c r="R19" i="2" s="1"/>
  <c r="I17" i="2"/>
  <c r="I19" i="2" s="1"/>
  <c r="H17" i="2"/>
  <c r="H19" i="2" s="1"/>
  <c r="G17" i="2"/>
  <c r="G19" i="2" s="1"/>
  <c r="F17" i="2"/>
  <c r="E17" i="2"/>
  <c r="AH16" i="2"/>
  <c r="AH15" i="2"/>
  <c r="AH13" i="2"/>
  <c r="AH12" i="2"/>
  <c r="AH11" i="2"/>
  <c r="V62" i="1"/>
  <c r="W60" i="1" s="1"/>
  <c r="A45" i="1"/>
  <c r="A46" i="1" s="1"/>
  <c r="A47" i="1" s="1"/>
  <c r="A48" i="1" s="1"/>
  <c r="A49" i="1" s="1"/>
  <c r="A50" i="1" s="1"/>
  <c r="AF36" i="1"/>
  <c r="AF37" i="1" s="1"/>
  <c r="AF38" i="1" s="1"/>
  <c r="AF39" i="1" s="1"/>
  <c r="AF40" i="1" s="1"/>
  <c r="AF41" i="1" s="1"/>
  <c r="AF42" i="1" s="1"/>
  <c r="AF43" i="1" s="1"/>
  <c r="AF44" i="1" s="1"/>
  <c r="AF45" i="1" s="1"/>
  <c r="AF46" i="1" s="1"/>
  <c r="AF47" i="1" s="1"/>
  <c r="AF48" i="1" s="1"/>
  <c r="AF49" i="1" s="1"/>
  <c r="AF50" i="1" s="1"/>
  <c r="AF51" i="1" s="1"/>
  <c r="AF52" i="1" s="1"/>
  <c r="AF53" i="1" s="1"/>
  <c r="AF54" i="1" s="1"/>
  <c r="AF55" i="1" s="1"/>
  <c r="AF57" i="1" s="1"/>
  <c r="AF58" i="1" s="1"/>
  <c r="AF59" i="1" s="1"/>
  <c r="AF60" i="1" s="1"/>
  <c r="F27" i="1"/>
  <c r="G27" i="1" s="1"/>
  <c r="H27" i="1" s="1"/>
  <c r="I27" i="1" s="1"/>
  <c r="J27" i="1" s="1"/>
  <c r="K27" i="1" s="1"/>
  <c r="L27" i="1" s="1"/>
  <c r="M27" i="1" s="1"/>
  <c r="N27" i="1" s="1"/>
  <c r="O27" i="1" s="1"/>
  <c r="P27" i="1" s="1"/>
  <c r="F25" i="1"/>
  <c r="G25" i="1" s="1"/>
  <c r="H25" i="1" s="1"/>
  <c r="I25" i="1" s="1"/>
  <c r="J25" i="1" s="1"/>
  <c r="A25" i="1"/>
  <c r="A26" i="1" s="1"/>
  <c r="A27" i="1" s="1"/>
  <c r="Y17" i="1"/>
  <c r="Z17" i="1" s="1"/>
  <c r="AA17" i="1" s="1"/>
  <c r="K29" i="1" s="1"/>
  <c r="K8" i="1" s="1"/>
  <c r="K9" i="1" s="1"/>
  <c r="Y16" i="1"/>
  <c r="Y15" i="1"/>
  <c r="Z16" i="1" s="1"/>
  <c r="AA16" i="1" s="1"/>
  <c r="J29" i="1" s="1"/>
  <c r="J8" i="1" s="1"/>
  <c r="J9" i="1" s="1"/>
  <c r="Y14" i="1"/>
  <c r="Y13" i="1"/>
  <c r="Y12" i="1"/>
  <c r="Z12" i="1" s="1"/>
  <c r="AA12" i="1" s="1"/>
  <c r="F29" i="1" s="1"/>
  <c r="F8" i="1" s="1"/>
  <c r="Y11" i="1"/>
  <c r="Z11" i="1" s="1"/>
  <c r="AA11" i="1" s="1"/>
  <c r="E29" i="1" s="1"/>
  <c r="E8" i="1" s="1"/>
  <c r="Y10" i="1"/>
  <c r="Y9" i="1"/>
  <c r="Z9" i="1" s="1"/>
  <c r="AA9" i="1" s="1"/>
  <c r="A9" i="1"/>
  <c r="A10" i="1" s="1"/>
  <c r="A11" i="1" s="1"/>
  <c r="Y8" i="1"/>
  <c r="F7" i="1"/>
  <c r="G7" i="1" s="1"/>
  <c r="H7" i="1" s="1"/>
  <c r="I7" i="1" s="1"/>
  <c r="J7" i="1" s="1"/>
  <c r="K7" i="1" s="1"/>
  <c r="L7" i="1" s="1"/>
  <c r="M7" i="1" s="1"/>
  <c r="N7" i="1" s="1"/>
  <c r="O7" i="1" s="1"/>
  <c r="P7" i="1" s="1"/>
  <c r="AH65" i="2" l="1"/>
  <c r="AA58" i="2"/>
  <c r="AA66" i="2" s="1"/>
  <c r="R58" i="2"/>
  <c r="R66" i="2" s="1"/>
  <c r="AB49" i="2"/>
  <c r="AH47" i="2"/>
  <c r="AD58" i="2"/>
  <c r="AD66" i="2" s="1"/>
  <c r="Z13" i="1"/>
  <c r="AA13" i="1" s="1"/>
  <c r="G29" i="1" s="1"/>
  <c r="G8" i="1" s="1"/>
  <c r="G9" i="1" s="1"/>
  <c r="Z10" i="1"/>
  <c r="AA10" i="1" s="1"/>
  <c r="E46" i="1"/>
  <c r="F46" i="1" s="1"/>
  <c r="W61" i="1"/>
  <c r="E50" i="1" s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E9" i="1"/>
  <c r="L29" i="1"/>
  <c r="L8" i="1" s="1"/>
  <c r="K25" i="1"/>
  <c r="E10" i="1"/>
  <c r="E11" i="1" s="1"/>
  <c r="F69" i="2" s="1"/>
  <c r="F9" i="1"/>
  <c r="Z14" i="1"/>
  <c r="AA14" i="1" s="1"/>
  <c r="H29" i="1" s="1"/>
  <c r="H8" i="1" s="1"/>
  <c r="AC19" i="2"/>
  <c r="AC58" i="2" s="1"/>
  <c r="AC66" i="2" s="1"/>
  <c r="R52" i="2"/>
  <c r="R54" i="2" s="1"/>
  <c r="AB39" i="2"/>
  <c r="AH37" i="2"/>
  <c r="AH17" i="2"/>
  <c r="AD52" i="2"/>
  <c r="AD54" i="2" s="1"/>
  <c r="I58" i="2"/>
  <c r="I66" i="2" s="1"/>
  <c r="E19" i="2"/>
  <c r="S52" i="2"/>
  <c r="S54" i="2" s="1"/>
  <c r="G39" i="2"/>
  <c r="H39" i="2"/>
  <c r="AH26" i="2"/>
  <c r="S58" i="2"/>
  <c r="S66" i="2" s="1"/>
  <c r="I52" i="2"/>
  <c r="E28" i="2"/>
  <c r="G57" i="2"/>
  <c r="G52" i="2"/>
  <c r="F19" i="2"/>
  <c r="AE19" i="2"/>
  <c r="Z15" i="1"/>
  <c r="AA15" i="1" s="1"/>
  <c r="I29" i="1" s="1"/>
  <c r="I8" i="1" s="1"/>
  <c r="AH49" i="2" l="1"/>
  <c r="AB52" i="2"/>
  <c r="AB54" i="2" s="1"/>
  <c r="E58" i="2"/>
  <c r="E66" i="2" s="1"/>
  <c r="E52" i="2" a="1"/>
  <c r="E52" i="2" s="1"/>
  <c r="E54" i="2" s="1"/>
  <c r="AE58" i="2"/>
  <c r="AE66" i="2" s="1"/>
  <c r="AE52" i="2"/>
  <c r="AE54" i="2" s="1"/>
  <c r="G69" i="2"/>
  <c r="E69" i="2"/>
  <c r="G54" i="2"/>
  <c r="H9" i="1"/>
  <c r="I54" i="2"/>
  <c r="H58" i="2"/>
  <c r="H66" i="2" s="1"/>
  <c r="G58" i="2"/>
  <c r="G66" i="2" s="1"/>
  <c r="M29" i="1"/>
  <c r="M8" i="1" s="1"/>
  <c r="L25" i="1"/>
  <c r="I9" i="1"/>
  <c r="AH19" i="2"/>
  <c r="H52" i="2"/>
  <c r="G46" i="1"/>
  <c r="F10" i="1"/>
  <c r="F11" i="1" s="1"/>
  <c r="F70" i="2" s="1"/>
  <c r="G70" i="2" s="1"/>
  <c r="AH39" i="2"/>
  <c r="AB58" i="2"/>
  <c r="F58" i="2"/>
  <c r="F66" i="2" s="1"/>
  <c r="L9" i="1"/>
  <c r="F52" i="2"/>
  <c r="AC52" i="2"/>
  <c r="AC54" i="2" s="1"/>
  <c r="N29" i="1" l="1"/>
  <c r="N8" i="1" s="1"/>
  <c r="M25" i="1"/>
  <c r="M9" i="1"/>
  <c r="G10" i="1"/>
  <c r="G11" i="1" s="1"/>
  <c r="F71" i="2" s="1"/>
  <c r="G71" i="2" s="1"/>
  <c r="H54" i="2"/>
  <c r="F54" i="2"/>
  <c r="AH54" i="2"/>
  <c r="E70" i="2"/>
  <c r="AB66" i="2"/>
  <c r="AH58" i="2"/>
  <c r="AH66" i="2" s="1"/>
  <c r="AH52" i="2"/>
  <c r="H46" i="1"/>
  <c r="E71" i="2" l="1"/>
  <c r="O29" i="1"/>
  <c r="O8" i="1" s="1"/>
  <c r="N25" i="1"/>
  <c r="I46" i="1"/>
  <c r="H10" i="1"/>
  <c r="H11" i="1" s="1"/>
  <c r="F72" i="2" s="1"/>
  <c r="G72" i="2" s="1"/>
  <c r="N9" i="1"/>
  <c r="I10" i="1" l="1"/>
  <c r="I11" i="1" s="1"/>
  <c r="F73" i="2" s="1"/>
  <c r="G73" i="2" s="1"/>
  <c r="J46" i="1"/>
  <c r="P29" i="1"/>
  <c r="P8" i="1" s="1"/>
  <c r="O25" i="1"/>
  <c r="P25" i="1" s="1"/>
  <c r="O9" i="1"/>
  <c r="E72" i="2"/>
  <c r="E73" i="2" l="1"/>
  <c r="J10" i="1"/>
  <c r="J11" i="1" s="1"/>
  <c r="F74" i="2" s="1"/>
  <c r="G74" i="2" s="1"/>
  <c r="L44" i="2"/>
  <c r="O38" i="2"/>
  <c r="N11" i="2"/>
  <c r="K25" i="2"/>
  <c r="K11" i="2"/>
  <c r="M44" i="2"/>
  <c r="N48" i="2"/>
  <c r="K47" i="2"/>
  <c r="K45" i="2"/>
  <c r="K35" i="2"/>
  <c r="N27" i="2"/>
  <c r="L42" i="2"/>
  <c r="L31" i="2"/>
  <c r="O17" i="2"/>
  <c r="M48" i="2"/>
  <c r="N31" i="2"/>
  <c r="M27" i="2"/>
  <c r="K12" i="2"/>
  <c r="M23" i="2"/>
  <c r="K48" i="2"/>
  <c r="K42" i="2"/>
  <c r="K31" i="2"/>
  <c r="K23" i="2"/>
  <c r="N17" i="2"/>
  <c r="O15" i="2"/>
  <c r="O11" i="2"/>
  <c r="O44" i="2"/>
  <c r="P9" i="1"/>
  <c r="K46" i="1"/>
  <c r="M36" i="2" l="1"/>
  <c r="L33" i="2"/>
  <c r="K24" i="2"/>
  <c r="L18" i="2"/>
  <c r="M42" i="2"/>
  <c r="K44" i="2"/>
  <c r="N38" i="2"/>
  <c r="L36" i="2"/>
  <c r="K33" i="2"/>
  <c r="K18" i="2"/>
  <c r="O13" i="2"/>
  <c r="O42" i="2"/>
  <c r="L38" i="2"/>
  <c r="O25" i="2"/>
  <c r="N22" i="2"/>
  <c r="M25" i="2"/>
  <c r="L22" i="2"/>
  <c r="K13" i="2"/>
  <c r="M38" i="2"/>
  <c r="K36" i="2"/>
  <c r="O22" i="2"/>
  <c r="N13" i="2"/>
  <c r="M13" i="2"/>
  <c r="O45" i="2"/>
  <c r="N42" i="2"/>
  <c r="K38" i="2"/>
  <c r="O26" i="2"/>
  <c r="K27" i="2"/>
  <c r="O23" i="2"/>
  <c r="N15" i="2"/>
  <c r="M11" i="2"/>
  <c r="O43" i="2"/>
  <c r="O31" i="2"/>
  <c r="N23" i="2"/>
  <c r="L11" i="2"/>
  <c r="P11" i="2" s="1"/>
  <c r="N46" i="2"/>
  <c r="M43" i="2"/>
  <c r="N35" i="2"/>
  <c r="M31" i="2"/>
  <c r="P31" i="2" s="1"/>
  <c r="L23" i="2"/>
  <c r="P23" i="2" s="1"/>
  <c r="K15" i="2"/>
  <c r="O48" i="2"/>
  <c r="L47" i="2"/>
  <c r="L45" i="2"/>
  <c r="L35" i="2"/>
  <c r="K16" i="2"/>
  <c r="M12" i="2"/>
  <c r="L12" i="2"/>
  <c r="L48" i="2"/>
  <c r="P48" i="2" s="1"/>
  <c r="L27" i="2"/>
  <c r="M34" i="2"/>
  <c r="L25" i="2"/>
  <c r="K34" i="2"/>
  <c r="M17" i="2"/>
  <c r="M16" i="2"/>
  <c r="O49" i="2"/>
  <c r="N26" i="2"/>
  <c r="M45" i="2"/>
  <c r="N16" i="2"/>
  <c r="O47" i="2"/>
  <c r="K46" i="2"/>
  <c r="O18" i="2"/>
  <c r="N53" i="2"/>
  <c r="O24" i="2"/>
  <c r="K39" i="2"/>
  <c r="M18" i="2"/>
  <c r="L24" i="2"/>
  <c r="N36" i="2"/>
  <c r="M26" i="2"/>
  <c r="L17" i="2"/>
  <c r="M37" i="2"/>
  <c r="N28" i="2"/>
  <c r="N37" i="2"/>
  <c r="M53" i="2"/>
  <c r="N19" i="2"/>
  <c r="L39" i="2"/>
  <c r="K26" i="2"/>
  <c r="L49" i="2"/>
  <c r="K17" i="2"/>
  <c r="P17" i="2" s="1"/>
  <c r="O39" i="2"/>
  <c r="O28" i="2"/>
  <c r="M19" i="2"/>
  <c r="K49" i="2"/>
  <c r="L37" i="2"/>
  <c r="L28" i="2"/>
  <c r="M28" i="2"/>
  <c r="O19" i="2"/>
  <c r="O37" i="2"/>
  <c r="L19" i="2"/>
  <c r="K19" i="2"/>
  <c r="K52" i="2"/>
  <c r="O52" i="2"/>
  <c r="M39" i="2"/>
  <c r="M52" i="2"/>
  <c r="P52" i="2" s="1"/>
  <c r="K37" i="2"/>
  <c r="P37" i="2" s="1"/>
  <c r="O34" i="2"/>
  <c r="N25" i="2"/>
  <c r="M22" i="2"/>
  <c r="L13" i="2"/>
  <c r="P13" i="2" s="1"/>
  <c r="N45" i="2"/>
  <c r="P45" i="2" s="1"/>
  <c r="O27" i="2"/>
  <c r="N34" i="2"/>
  <c r="M15" i="2"/>
  <c r="L15" i="2"/>
  <c r="L34" i="2"/>
  <c r="N44" i="2"/>
  <c r="P44" i="2" s="1"/>
  <c r="E74" i="2"/>
  <c r="M49" i="2"/>
  <c r="N43" i="2"/>
  <c r="L26" i="2"/>
  <c r="O35" i="2"/>
  <c r="O46" i="2"/>
  <c r="M46" i="2"/>
  <c r="M33" i="2"/>
  <c r="K53" i="2"/>
  <c r="L16" i="2"/>
  <c r="K22" i="2"/>
  <c r="L43" i="2"/>
  <c r="O51" i="2"/>
  <c r="O53" i="2"/>
  <c r="K51" i="2"/>
  <c r="M35" i="2"/>
  <c r="O33" i="2"/>
  <c r="N18" i="2"/>
  <c r="N33" i="2"/>
  <c r="N24" i="2"/>
  <c r="K43" i="2"/>
  <c r="N51" i="2"/>
  <c r="M51" i="2"/>
  <c r="L51" i="2"/>
  <c r="L46" i="2"/>
  <c r="N12" i="2"/>
  <c r="O16" i="2"/>
  <c r="M24" i="2"/>
  <c r="O36" i="2"/>
  <c r="N49" i="2"/>
  <c r="M47" i="2"/>
  <c r="L53" i="2"/>
  <c r="O12" i="2"/>
  <c r="N47" i="2"/>
  <c r="K28" i="2"/>
  <c r="N39" i="2"/>
  <c r="N52" i="2"/>
  <c r="K54" i="2"/>
  <c r="O54" i="2"/>
  <c r="M54" i="2"/>
  <c r="L52" i="2"/>
  <c r="L54" i="2"/>
  <c r="N54" i="2"/>
  <c r="P54" i="2"/>
  <c r="K10" i="1"/>
  <c r="K11" i="1" s="1"/>
  <c r="F75" i="2" s="1"/>
  <c r="G75" i="2" s="1"/>
  <c r="L46" i="1"/>
  <c r="P38" i="2" l="1"/>
  <c r="P12" i="2"/>
  <c r="P19" i="2"/>
  <c r="P42" i="2"/>
  <c r="P47" i="2"/>
  <c r="P36" i="2"/>
  <c r="P26" i="2"/>
  <c r="P34" i="2"/>
  <c r="P18" i="2"/>
  <c r="P24" i="2"/>
  <c r="O57" i="2"/>
  <c r="O58" i="2" s="1"/>
  <c r="N65" i="2"/>
  <c r="P28" i="2"/>
  <c r="P27" i="2"/>
  <c r="K65" i="2"/>
  <c r="P25" i="2"/>
  <c r="P46" i="2"/>
  <c r="P43" i="2"/>
  <c r="P39" i="2"/>
  <c r="P33" i="2"/>
  <c r="P53" i="2"/>
  <c r="P51" i="2"/>
  <c r="N57" i="2"/>
  <c r="N58" i="2" s="1"/>
  <c r="O65" i="2"/>
  <c r="M57" i="2"/>
  <c r="M58" i="2" s="1"/>
  <c r="P15" i="2"/>
  <c r="L57" i="2"/>
  <c r="L58" i="2" s="1"/>
  <c r="P49" i="2"/>
  <c r="P16" i="2"/>
  <c r="L65" i="2"/>
  <c r="P22" i="2"/>
  <c r="K57" i="2"/>
  <c r="P35" i="2"/>
  <c r="M65" i="2"/>
  <c r="E75" i="2"/>
  <c r="L10" i="1"/>
  <c r="L11" i="1" s="1"/>
  <c r="F76" i="2" s="1"/>
  <c r="G76" i="2" s="1"/>
  <c r="M46" i="1"/>
  <c r="M66" i="2" l="1"/>
  <c r="O66" i="2"/>
  <c r="P65" i="2"/>
  <c r="N66" i="2"/>
  <c r="L66" i="2"/>
  <c r="P57" i="2"/>
  <c r="K58" i="2"/>
  <c r="M10" i="1"/>
  <c r="M11" i="1" s="1"/>
  <c r="F77" i="2" s="1"/>
  <c r="G77" i="2" s="1"/>
  <c r="E76" i="2"/>
  <c r="N46" i="1"/>
  <c r="K66" i="2" l="1"/>
  <c r="P58" i="2"/>
  <c r="P66" i="2" s="1"/>
  <c r="O46" i="1"/>
  <c r="E77" i="2"/>
  <c r="N10" i="1"/>
  <c r="N11" i="1" s="1"/>
  <c r="F78" i="2" s="1"/>
  <c r="G78" i="2" s="1"/>
  <c r="O10" i="1" l="1"/>
  <c r="O11" i="1" s="1"/>
  <c r="F79" i="2" s="1"/>
  <c r="G79" i="2" s="1"/>
  <c r="E78" i="2"/>
  <c r="I77" i="2"/>
  <c r="K77" i="2" s="1"/>
  <c r="V15" i="2"/>
  <c r="V33" i="2"/>
  <c r="V39" i="2"/>
  <c r="V34" i="2"/>
  <c r="V38" i="2"/>
  <c r="V26" i="2"/>
  <c r="V35" i="2"/>
  <c r="V43" i="2"/>
  <c r="V22" i="2"/>
  <c r="V44" i="2"/>
  <c r="V18" i="2"/>
  <c r="V27" i="2"/>
  <c r="V12" i="2"/>
  <c r="V13" i="2"/>
  <c r="V48" i="2"/>
  <c r="V11" i="2"/>
  <c r="V25" i="2"/>
  <c r="V17" i="2"/>
  <c r="V37" i="2"/>
  <c r="V54" i="2"/>
  <c r="V47" i="2"/>
  <c r="V31" i="2"/>
  <c r="V52" i="2"/>
  <c r="V28" i="2"/>
  <c r="V23" i="2"/>
  <c r="V36" i="2"/>
  <c r="V42" i="2"/>
  <c r="V51" i="2"/>
  <c r="V53" i="2"/>
  <c r="V45" i="2"/>
  <c r="V19" i="2"/>
  <c r="V46" i="2"/>
  <c r="V24" i="2"/>
  <c r="V49" i="2"/>
  <c r="V16" i="2"/>
  <c r="P46" i="1"/>
  <c r="P10" i="1" l="1"/>
  <c r="P11" i="1" s="1"/>
  <c r="F80" i="2" s="1"/>
  <c r="G80" i="2" s="1"/>
  <c r="E79" i="2"/>
  <c r="I78" i="2"/>
  <c r="K78" i="2" s="1"/>
  <c r="W39" i="2"/>
  <c r="W33" i="2"/>
  <c r="W15" i="2"/>
  <c r="W54" i="2"/>
  <c r="W31" i="2"/>
  <c r="W43" i="2"/>
  <c r="W47" i="2"/>
  <c r="W18" i="2"/>
  <c r="W45" i="2"/>
  <c r="W52" i="2"/>
  <c r="W35" i="2"/>
  <c r="W27" i="2"/>
  <c r="W48" i="2"/>
  <c r="W19" i="2"/>
  <c r="W24" i="2"/>
  <c r="W49" i="2"/>
  <c r="W16" i="2"/>
  <c r="W37" i="2"/>
  <c r="W26" i="2"/>
  <c r="W51" i="2"/>
  <c r="W53" i="2"/>
  <c r="W22" i="2"/>
  <c r="W28" i="2"/>
  <c r="W23" i="2"/>
  <c r="W12" i="2"/>
  <c r="W36" i="2"/>
  <c r="W42" i="2"/>
  <c r="W38" i="2"/>
  <c r="W44" i="2"/>
  <c r="W11" i="2"/>
  <c r="W25" i="2"/>
  <c r="W17" i="2"/>
  <c r="W34" i="2"/>
  <c r="W13" i="2"/>
  <c r="W46" i="2"/>
  <c r="V65" i="2"/>
  <c r="V57" i="2"/>
  <c r="W57" i="2" l="1"/>
  <c r="W58" i="2" s="1"/>
  <c r="I79" i="2"/>
  <c r="K79" i="2" s="1"/>
  <c r="E80" i="2"/>
  <c r="X33" i="2"/>
  <c r="X39" i="2"/>
  <c r="X15" i="2"/>
  <c r="X42" i="2"/>
  <c r="X43" i="2"/>
  <c r="X31" i="2"/>
  <c r="X45" i="2"/>
  <c r="X24" i="2"/>
  <c r="X25" i="2"/>
  <c r="X49" i="2"/>
  <c r="X37" i="2"/>
  <c r="X51" i="2"/>
  <c r="X53" i="2"/>
  <c r="X26" i="2"/>
  <c r="X47" i="2"/>
  <c r="X22" i="2"/>
  <c r="X44" i="2"/>
  <c r="X35" i="2"/>
  <c r="X18" i="2"/>
  <c r="X11" i="2"/>
  <c r="X28" i="2"/>
  <c r="X38" i="2"/>
  <c r="X52" i="2"/>
  <c r="X27" i="2"/>
  <c r="X48" i="2"/>
  <c r="X12" i="2"/>
  <c r="X23" i="2"/>
  <c r="X13" i="2"/>
  <c r="X36" i="2"/>
  <c r="X19" i="2"/>
  <c r="X16" i="2"/>
  <c r="X46" i="2"/>
  <c r="X17" i="2"/>
  <c r="X34" i="2"/>
  <c r="X54" i="2"/>
  <c r="W65" i="2"/>
  <c r="V58" i="2"/>
  <c r="W66" i="2" l="1"/>
  <c r="X65" i="2"/>
  <c r="X57" i="2"/>
  <c r="V66" i="2"/>
  <c r="I80" i="2"/>
  <c r="K80" i="2" s="1"/>
  <c r="Y39" i="2"/>
  <c r="AG39" i="2" s="1"/>
  <c r="AI39" i="2" s="1"/>
  <c r="Y15" i="2"/>
  <c r="AG15" i="2" s="1"/>
  <c r="AI15" i="2" s="1"/>
  <c r="Y33" i="2"/>
  <c r="AG33" i="2" s="1"/>
  <c r="AI33" i="2" s="1"/>
  <c r="Y51" i="2"/>
  <c r="AG51" i="2" s="1"/>
  <c r="Y37" i="2"/>
  <c r="AG37" i="2" s="1"/>
  <c r="AI37" i="2" s="1"/>
  <c r="Y26" i="2"/>
  <c r="AG26" i="2" s="1"/>
  <c r="AI26" i="2" s="1"/>
  <c r="Y18" i="2"/>
  <c r="Y44" i="2"/>
  <c r="AG44" i="2" s="1"/>
  <c r="AI44" i="2" s="1"/>
  <c r="Y27" i="2"/>
  <c r="Y45" i="2"/>
  <c r="AG45" i="2" s="1"/>
  <c r="AI45" i="2" s="1"/>
  <c r="Y12" i="2"/>
  <c r="Y24" i="2"/>
  <c r="AG24" i="2" s="1"/>
  <c r="AI24" i="2" s="1"/>
  <c r="Y34" i="2"/>
  <c r="AG34" i="2" s="1"/>
  <c r="AI34" i="2" s="1"/>
  <c r="Y53" i="2"/>
  <c r="AG53" i="2" s="1"/>
  <c r="Y43" i="2"/>
  <c r="AG43" i="2" s="1"/>
  <c r="AI43" i="2" s="1"/>
  <c r="Y52" i="2"/>
  <c r="AG52" i="2" s="1"/>
  <c r="AI52" i="2" s="1"/>
  <c r="Y22" i="2"/>
  <c r="AG22" i="2" s="1"/>
  <c r="AI22" i="2" s="1"/>
  <c r="Y28" i="2"/>
  <c r="AG28" i="2" s="1"/>
  <c r="AI28" i="2" s="1"/>
  <c r="Y13" i="2"/>
  <c r="AG13" i="2" s="1"/>
  <c r="AI13" i="2" s="1"/>
  <c r="Y48" i="2"/>
  <c r="AG48" i="2" s="1"/>
  <c r="Y36" i="2"/>
  <c r="AG36" i="2" s="1"/>
  <c r="AI36" i="2" s="1"/>
  <c r="Y16" i="2"/>
  <c r="AG16" i="2" s="1"/>
  <c r="Y46" i="2"/>
  <c r="AG46" i="2" s="1"/>
  <c r="AI46" i="2" s="1"/>
  <c r="Y17" i="2"/>
  <c r="AG17" i="2" s="1"/>
  <c r="AI17" i="2" s="1"/>
  <c r="Y54" i="2"/>
  <c r="AG54" i="2" s="1"/>
  <c r="AI54" i="2" s="1"/>
  <c r="Y31" i="2"/>
  <c r="AG31" i="2" s="1"/>
  <c r="AI31" i="2" s="1"/>
  <c r="Y47" i="2"/>
  <c r="AG47" i="2" s="1"/>
  <c r="AI47" i="2" s="1"/>
  <c r="Y35" i="2"/>
  <c r="AG35" i="2" s="1"/>
  <c r="AI35" i="2" s="1"/>
  <c r="Y23" i="2"/>
  <c r="AG23" i="2" s="1"/>
  <c r="AI23" i="2" s="1"/>
  <c r="Y11" i="2"/>
  <c r="AG11" i="2" s="1"/>
  <c r="AI11" i="2" s="1"/>
  <c r="Y19" i="2"/>
  <c r="AG19" i="2" s="1"/>
  <c r="AI19" i="2" s="1"/>
  <c r="Y25" i="2"/>
  <c r="AG25" i="2" s="1"/>
  <c r="AI25" i="2" s="1"/>
  <c r="Y38" i="2"/>
  <c r="AG38" i="2" s="1"/>
  <c r="Y49" i="2"/>
  <c r="AG49" i="2" s="1"/>
  <c r="AI49" i="2" s="1"/>
  <c r="Y42" i="2"/>
  <c r="AG42" i="2" s="1"/>
  <c r="AI42" i="2" s="1"/>
  <c r="X58" i="2" l="1"/>
  <c r="AG65" i="2"/>
  <c r="AI16" i="2"/>
  <c r="Y57" i="2"/>
  <c r="AG12" i="2"/>
  <c r="AI12" i="2" s="1"/>
  <c r="Y65" i="2"/>
  <c r="AG57" i="2" l="1"/>
  <c r="Y58" i="2"/>
  <c r="X66" i="2"/>
  <c r="AI60" i="2" l="1"/>
  <c r="AI57" i="2"/>
  <c r="Y66" i="2"/>
  <c r="AG58" i="2"/>
  <c r="AG66" i="2"/>
  <c r="AI5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<sst xmlns="http://schemas.openxmlformats.org/spreadsheetml/2006/main" count="209" uniqueCount="114">
  <si>
    <t>Table 2a</t>
  </si>
  <si>
    <t>Calculating the Capex Escalation Factors</t>
  </si>
  <si>
    <t>Actuals</t>
  </si>
  <si>
    <t>Forecasts</t>
  </si>
  <si>
    <t>Handy Whitman Index</t>
  </si>
  <si>
    <t>Line No.</t>
  </si>
  <si>
    <t>Jan 1 value</t>
  </si>
  <si>
    <t>July 1 value</t>
  </si>
  <si>
    <t>Annual value</t>
  </si>
  <si>
    <t>Inflation*</t>
  </si>
  <si>
    <t>*</t>
  </si>
  <si>
    <t>Inflation Escalation Factor = (1+I)</t>
  </si>
  <si>
    <t>Elexicon Annual Output Growth Rate (OG)</t>
  </si>
  <si>
    <t>I+OG Escalation Factor = [1+(I+OG)]</t>
  </si>
  <si>
    <t>Notes:</t>
  </si>
  <si>
    <t>Actual inflation data are available through 2026, however, actual output data are only available through 2024.</t>
  </si>
  <si>
    <t xml:space="preserve">The actual inflation data are from the Handy Whitman Index for Total Power Distribution Plant in the North Atlantic region.  See Table 2b for additional details. </t>
  </si>
  <si>
    <t>Table 2b</t>
  </si>
  <si>
    <t>Calculating Inflation Adjustments for the 2027-2031</t>
  </si>
  <si>
    <t>Average Weekly Earnings (AWE) - Ontario</t>
  </si>
  <si>
    <t>Elexicon Proposed Weight - Labor Price</t>
  </si>
  <si>
    <t>Gross Domestic Product Implicit Price Index for Final Domestic Demand for Canada</t>
  </si>
  <si>
    <t>Elexicon Proposed Weight - Non-Labor Price</t>
  </si>
  <si>
    <t>Inflation Adjustment</t>
  </si>
  <si>
    <t>I factor = HWI for 2020-2026.</t>
  </si>
  <si>
    <t xml:space="preserve">Inflation adjustments are based on inflation data that are lagged by 2 years (e.g., the inflation adjustment for 2026 is based on the inflation that occurred in 2024).  As a result, actual inflation adjustments are available through 2026.  Inflation adjustments for the 2027-2031 period are based on forecast inflation for 2 years prior to that year (e.g., the forecasted inflation adjustment in 2028 is based on the forecasted inflation that is expected to occur in 2026). </t>
  </si>
  <si>
    <t>The inflation adjustments for the 2020-2026 period are based on growth in the Handy Whitman Index of Public Utility Construction Costs for Total Power Distribution Plant of the North Atlantic Region.</t>
  </si>
  <si>
    <t xml:space="preserve">For the 2025-2031 period, PEG purchased forecasts of the Average Weekly Wages and Salaries per Employee for the Ontario industrial composite from Signal 49 Research. </t>
  </si>
  <si>
    <t>Peak data from CS WP</t>
  </si>
  <si>
    <t>For the 2025-2031 period, PEG also obtained Canadian GDP deflator forecasts from Toronto Dominion Economics and used that as a proxy for the Canadian Gross Domestic Product Implict Price Index for Final Domestic Demand.
Source: https://economics.td.com/ca-forecast-tables#lt-ca</t>
  </si>
  <si>
    <t>Table 2c</t>
  </si>
  <si>
    <t>From CS WP</t>
  </si>
  <si>
    <t>Calculating Output Growth</t>
  </si>
  <si>
    <t>Year</t>
  </si>
  <si>
    <t>yn</t>
  </si>
  <si>
    <t>peakadj</t>
  </si>
  <si>
    <t>Number of Customers</t>
  </si>
  <si>
    <t>Customer Growth</t>
  </si>
  <si>
    <t>Weight on Customer Growth</t>
  </si>
  <si>
    <t>Peak Demand</t>
  </si>
  <si>
    <t>Ratcheted Peak Demand</t>
  </si>
  <si>
    <t>Ratcheted Peak Demand Growth</t>
  </si>
  <si>
    <t>Weight on Ratcheted Peak</t>
  </si>
  <si>
    <t>Output Growth</t>
  </si>
  <si>
    <t>Weights on each output were drawn from the elasticities in a recent PEG capital cost model.</t>
  </si>
  <si>
    <t>Elasticity Weight Calculations</t>
  </si>
  <si>
    <t>4/2/2026 12:52pm</t>
  </si>
  <si>
    <t>Customers</t>
  </si>
  <si>
    <t>Alternative Ratemaking Treatments of Capital Projects from Elexicon's Distribution System Plan</t>
  </si>
  <si>
    <t>Ratemaking Treatment</t>
  </si>
  <si>
    <t>Next Plan Averages (2028-2031)</t>
  </si>
  <si>
    <t>Own-cost Trending</t>
  </si>
  <si>
    <t>Forecast/Y Factor</t>
  </si>
  <si>
    <t>Actual Expenditures</t>
  </si>
  <si>
    <t>Actual Expenditures Adjusted to Forecasted 2024 Prices and Customers</t>
  </si>
  <si>
    <t>Forecasts: Bridge Years</t>
  </si>
  <si>
    <t>Hypothetical Budgets from Historical Own-Cost Trending: Next Plan</t>
  </si>
  <si>
    <t xml:space="preserve">Alectra Forecasts: Next Plan </t>
  </si>
  <si>
    <t>Hypothetical Own-Cost Trending Budget</t>
  </si>
  <si>
    <t>Elexicon's Forecast</t>
  </si>
  <si>
    <t>Comparison</t>
  </si>
  <si>
    <t>Projects ($M)</t>
  </si>
  <si>
    <t>Average</t>
  </si>
  <si>
    <t>[A]</t>
  </si>
  <si>
    <t>[B]</t>
  </si>
  <si>
    <t>[A/B]</t>
  </si>
  <si>
    <t>Reporting Basis</t>
  </si>
  <si>
    <t>MIFRS</t>
  </si>
  <si>
    <t>System Access</t>
  </si>
  <si>
    <t>A1 Externally-Initiated Plant Relocation</t>
  </si>
  <si>
    <t>NA</t>
  </si>
  <si>
    <t>A2 Customer &amp; Generation Connections</t>
  </si>
  <si>
    <t>A3 System Expansion</t>
  </si>
  <si>
    <t>A4 Metering &amp; AMI 2.0</t>
  </si>
  <si>
    <t>Metering</t>
  </si>
  <si>
    <t>AMI 2.0</t>
  </si>
  <si>
    <t>System Access Net Expenditures</t>
  </si>
  <si>
    <t>Sub-Total</t>
  </si>
  <si>
    <t>System Renewal</t>
  </si>
  <si>
    <t>R1 Substation Renewal</t>
  </si>
  <si>
    <t>R2 Underground System Renewal</t>
  </si>
  <si>
    <t>R3 Overhead System Renewal</t>
  </si>
  <si>
    <t>R4 Reactive Capital</t>
  </si>
  <si>
    <t>System Renewal Net Expenditures</t>
  </si>
  <si>
    <t>System Service</t>
  </si>
  <si>
    <t>S1 Substation Growth</t>
  </si>
  <si>
    <t>S2 Grid Enhancements</t>
  </si>
  <si>
    <t>Distribution Modernization</t>
  </si>
  <si>
    <t>Station Modernization</t>
  </si>
  <si>
    <t>Distribution Capacity and Reliability Enhancements</t>
  </si>
  <si>
    <t>S3 Voltage &amp; System Conversion</t>
  </si>
  <si>
    <t>System Service Net Expenditures</t>
  </si>
  <si>
    <t>General Plant</t>
  </si>
  <si>
    <t>P1 Facilities Management</t>
  </si>
  <si>
    <t>P2 Fleet</t>
  </si>
  <si>
    <t>P3 IT Systems</t>
  </si>
  <si>
    <t>P4 Equipment</t>
  </si>
  <si>
    <t>P5 OT Systems</t>
  </si>
  <si>
    <t>General Plant Net Expenditures</t>
  </si>
  <si>
    <t>Miscellaneous (Renewables/Lease)</t>
  </si>
  <si>
    <t>Total</t>
  </si>
  <si>
    <r>
      <t xml:space="preserve">Less Renewable Generation Facility Assets and Other Non-Rate-Regulated Utility Assets </t>
    </r>
    <r>
      <rPr>
        <b/>
        <i/>
        <sz val="10"/>
        <color rgb="FFFF0000"/>
        <rFont val="Arial"/>
        <family val="2"/>
      </rPr>
      <t>(input as negative)</t>
    </r>
  </si>
  <si>
    <t>By Ratemaking Treatment</t>
  </si>
  <si>
    <t>Subtotal: Own-Cost Trending</t>
  </si>
  <si>
    <t>Subtotal: Forecasted/Y-Factored Additions</t>
  </si>
  <si>
    <t xml:space="preserve">Notes: </t>
  </si>
  <si>
    <t>Data used in calculations are capital expenditures net of customer contributions.</t>
  </si>
  <si>
    <t xml:space="preserve">Highlighted rows show those capital projects that PEG believes are appropriate for historical own-cost trending. </t>
  </si>
  <si>
    <t>Source: Elexicon Appendix 2-AA and Exhibit 2B, Tab 4, Schedule 3, Appendices A-P.</t>
  </si>
  <si>
    <t>Check</t>
  </si>
  <si>
    <t>Elexicon Escalation Factor</t>
  </si>
  <si>
    <t>Confidential  Document</t>
  </si>
  <si>
    <t>Confidedntial Document</t>
  </si>
  <si>
    <t xml:space="preserve">The source for the number of customers and peak demand data was Clearspring's working papers.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</si>
</sst>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43" formatCode="_(* #,##0.00_);_(* \(#,##0.00\);_(* &quot;-&quot;??_);_(@_)"/>
    <numFmt numFmtId="164" formatCode="0.0%"/>
    <numFmt numFmtId="165" formatCode="0.00000"/>
    <numFmt numFmtId="166" formatCode="_(* #,##0_);_(* \(#,##0\);_(* &quot;-&quot;??_);_(@_)"/>
    <numFmt numFmtId="167" formatCode="_(* #,##0.000_);_(* \(#,##0.000\);_(* &quot;-&quot;??_);_(@_)"/>
    <numFmt numFmtId="168" formatCode="_-&quot;$&quot;* #,##0.00_-;\-&quot;$&quot;* #,##0.00_-;_-&quot;$&quot;* &quot;-&quot;??_-;_-@_-"/>
    <numFmt numFmtId="169" formatCode="_-* #,##0.00_-;\-* #,##0.00_-;_-* &quot;-&quot;??_-;_-@_-"/>
    <numFmt numFmtId="170" formatCode="0.0"/>
    <numFmt numFmtId="171" formatCode="_-* #,##0.0_-;\-* #,##0.0_-;_-* &quot;-&quot;??_-;_-@_-"/>
    <numFmt numFmtId="172" formatCode="_(* #,##0.0_);_(* \(#,##0.0\);_(* &quot;-&quot;??_);_(@_)"/>
    <numFmt numFmtId="173" formatCode="_(* #,##0.0_);_(* \(#,##0.0\);_(* &quot;-&quot;?_);_(@_)"/>
    <numFmt numFmtId="174" formatCode="0.000"/>
  </numFmts>
  <fonts count="3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0"/>
      <name val="Calibri"/>
      <family val="2"/>
    </font>
    <font>
      <b/>
      <vertAlign val="subscript"/>
      <sz val="10"/>
      <color theme="1"/>
      <name val="Calibri"/>
      <family val="2"/>
    </font>
    <font>
      <sz val="12"/>
      <name val="Tahoma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1"/>
      <name val="Calibri"/>
      <family val="2"/>
    </font>
    <font>
      <sz val="11"/>
      <name val="Aptos Narrow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4"/>
      <color theme="1"/>
      <name val="Aptos Narrow"/>
      <family val="2"/>
      <scheme val="minor"/>
    </font>
    <font>
      <b/>
      <sz val="18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name val="Arial"/>
      <family val="2"/>
    </font>
    <font>
      <b/>
      <i/>
      <sz val="10"/>
      <color rgb="FFFF0000"/>
      <name val="Arial"/>
      <family val="2"/>
    </font>
    <font>
      <b/>
      <i/>
      <sz val="10"/>
      <name val="Arial"/>
      <family val="2"/>
    </font>
    <font>
      <b/>
      <sz val="11"/>
      <name val="Aptos Narrow"/>
      <family val="2"/>
    </font>
    <font>
      <sz val="11"/>
      <name val="Aptos Narrow"/>
      <family val="2"/>
      <scheme val="minor"/>
    </font>
    <font>
      <sz val="12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307">
    <xf numFmtId="0" fontId="0" fillId="0" borderId="0" xfId="0"/>
    <xf numFmtId="0" fontId="5" fillId="0" borderId="0" xfId="2" applyFont="1" applyAlignment="1">
      <alignment horizontal="left"/>
    </xf>
    <xf numFmtId="0" fontId="6" fillId="0" borderId="0" xfId="0" applyFont="1"/>
    <xf numFmtId="0" fontId="7" fillId="0" borderId="0" xfId="2" applyFont="1"/>
    <xf numFmtId="0" fontId="8" fillId="0" borderId="0" xfId="0" applyFont="1"/>
    <xf numFmtId="0" fontId="9" fillId="0" borderId="1" xfId="0" applyFont="1" applyBorder="1"/>
    <xf numFmtId="0" fontId="7" fillId="0" borderId="4" xfId="3" applyFont="1" applyBorder="1" applyAlignment="1">
      <alignment horizontal="center" wrapText="1"/>
    </xf>
    <xf numFmtId="6" fontId="7" fillId="0" borderId="4" xfId="4" quotePrefix="1" applyNumberFormat="1" applyFont="1" applyBorder="1"/>
    <xf numFmtId="6" fontId="7" fillId="0" borderId="0" xfId="4" quotePrefix="1" applyNumberFormat="1" applyFont="1"/>
    <xf numFmtId="1" fontId="7" fillId="0" borderId="0" xfId="4" quotePrefix="1" applyNumberFormat="1" applyFont="1" applyAlignment="1">
      <alignment horizontal="right"/>
    </xf>
    <xf numFmtId="0" fontId="11" fillId="0" borderId="5" xfId="5" applyNumberFormat="1" applyFont="1" applyBorder="1" applyAlignment="1">
      <alignment horizontal="right" wrapText="1"/>
    </xf>
    <xf numFmtId="0" fontId="11" fillId="0" borderId="4" xfId="5" applyNumberFormat="1" applyFont="1" applyBorder="1" applyAlignment="1">
      <alignment horizontal="right" wrapText="1"/>
    </xf>
    <xf numFmtId="0" fontId="11" fillId="0" borderId="6" xfId="5" applyNumberFormat="1" applyFont="1" applyBorder="1" applyAlignment="1">
      <alignment horizontal="right" wrapText="1"/>
    </xf>
    <xf numFmtId="0" fontId="12" fillId="2" borderId="0" xfId="3" applyFont="1" applyFill="1" applyAlignment="1">
      <alignment horizontal="center"/>
    </xf>
    <xf numFmtId="0" fontId="9" fillId="2" borderId="0" xfId="4" applyFont="1" applyFill="1"/>
    <xf numFmtId="0" fontId="13" fillId="2" borderId="0" xfId="4" applyFont="1" applyFill="1"/>
    <xf numFmtId="10" fontId="12" fillId="2" borderId="7" xfId="6" applyNumberFormat="1" applyFont="1" applyFill="1" applyBorder="1"/>
    <xf numFmtId="10" fontId="12" fillId="2" borderId="0" xfId="6" applyNumberFormat="1" applyFont="1" applyFill="1" applyBorder="1"/>
    <xf numFmtId="10" fontId="12" fillId="2" borderId="8" xfId="6" applyNumberFormat="1" applyFont="1" applyFill="1" applyBorder="1"/>
    <xf numFmtId="0" fontId="12" fillId="0" borderId="0" xfId="3" applyFont="1" applyAlignment="1">
      <alignment horizontal="center"/>
    </xf>
    <xf numFmtId="0" fontId="9" fillId="0" borderId="0" xfId="4" applyFont="1"/>
    <xf numFmtId="0" fontId="13" fillId="0" borderId="0" xfId="4" applyFont="1"/>
    <xf numFmtId="0" fontId="8" fillId="0" borderId="0" xfId="4" applyFont="1"/>
    <xf numFmtId="10" fontId="12" fillId="0" borderId="7" xfId="6" applyNumberFormat="1" applyFont="1" applyFill="1" applyBorder="1"/>
    <xf numFmtId="10" fontId="12" fillId="0" borderId="0" xfId="6" applyNumberFormat="1" applyFont="1" applyFill="1" applyBorder="1"/>
    <xf numFmtId="10" fontId="12" fillId="0" borderId="8" xfId="6" applyNumberFormat="1" applyFont="1" applyFill="1" applyBorder="1"/>
    <xf numFmtId="10" fontId="0" fillId="0" borderId="0" xfId="1" applyNumberFormat="1" applyFont="1"/>
    <xf numFmtId="10" fontId="0" fillId="0" borderId="0" xfId="0" applyNumberFormat="1"/>
    <xf numFmtId="10" fontId="8" fillId="2" borderId="7" xfId="4" applyNumberFormat="1" applyFont="1" applyFill="1" applyBorder="1"/>
    <xf numFmtId="10" fontId="8" fillId="2" borderId="0" xfId="4" applyNumberFormat="1" applyFont="1" applyFill="1"/>
    <xf numFmtId="10" fontId="8" fillId="2" borderId="8" xfId="4" applyNumberFormat="1" applyFont="1" applyFill="1" applyBorder="1"/>
    <xf numFmtId="164" fontId="12" fillId="0" borderId="7" xfId="6" applyNumberFormat="1" applyFont="1" applyFill="1" applyBorder="1"/>
    <xf numFmtId="164" fontId="12" fillId="0" borderId="0" xfId="6" applyNumberFormat="1" applyFont="1" applyBorder="1"/>
    <xf numFmtId="164" fontId="12" fillId="0" borderId="7" xfId="6" applyNumberFormat="1" applyFont="1" applyBorder="1"/>
    <xf numFmtId="164" fontId="12" fillId="0" borderId="8" xfId="6" applyNumberFormat="1" applyFont="1" applyBorder="1"/>
    <xf numFmtId="10" fontId="8" fillId="0" borderId="5" xfId="1" applyNumberFormat="1" applyFont="1" applyFill="1" applyBorder="1"/>
    <xf numFmtId="10" fontId="8" fillId="0" borderId="4" xfId="1" applyNumberFormat="1" applyFont="1" applyFill="1" applyBorder="1"/>
    <xf numFmtId="10" fontId="8" fillId="0" borderId="6" xfId="1" applyNumberFormat="1" applyFont="1" applyFill="1" applyBorder="1"/>
    <xf numFmtId="0" fontId="15" fillId="0" borderId="0" xfId="0" applyFont="1"/>
    <xf numFmtId="3" fontId="16" fillId="0" borderId="0" xfId="0" applyNumberFormat="1" applyFont="1" applyAlignment="1">
      <alignment horizontal="left" vertical="center" wrapText="1"/>
    </xf>
    <xf numFmtId="3" fontId="16" fillId="0" borderId="0" xfId="0" applyNumberFormat="1" applyFont="1" applyAlignment="1">
      <alignment horizontal="right" vertical="center" wrapText="1"/>
    </xf>
    <xf numFmtId="10" fontId="15" fillId="0" borderId="0" xfId="0" applyNumberFormat="1" applyFont="1"/>
    <xf numFmtId="0" fontId="7" fillId="0" borderId="0" xfId="0" applyFont="1"/>
    <xf numFmtId="165" fontId="0" fillId="0" borderId="0" xfId="0" applyNumberFormat="1"/>
    <xf numFmtId="0" fontId="17" fillId="0" borderId="0" xfId="0" applyFont="1" applyAlignment="1">
      <alignment horizontal="left" wrapText="1"/>
    </xf>
    <xf numFmtId="1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0" fontId="12" fillId="0" borderId="0" xfId="0" applyFont="1"/>
    <xf numFmtId="0" fontId="20" fillId="0" borderId="4" xfId="0" applyFont="1" applyBorder="1"/>
    <xf numFmtId="0" fontId="11" fillId="0" borderId="3" xfId="0" applyFont="1" applyBorder="1" applyAlignment="1">
      <alignment wrapText="1"/>
    </xf>
    <xf numFmtId="0" fontId="11" fillId="0" borderId="11" xfId="0" applyFont="1" applyBorder="1" applyAlignment="1">
      <alignment wrapText="1"/>
    </xf>
    <xf numFmtId="0" fontId="11" fillId="0" borderId="11" xfId="0" applyFont="1" applyBorder="1"/>
    <xf numFmtId="0" fontId="11" fillId="0" borderId="12" xfId="0" applyFont="1" applyBorder="1" applyAlignment="1">
      <alignment wrapText="1"/>
    </xf>
    <xf numFmtId="0" fontId="9" fillId="2" borderId="0" xfId="0" applyFont="1" applyFill="1"/>
    <xf numFmtId="0" fontId="15" fillId="2" borderId="0" xfId="0" applyFont="1" applyFill="1"/>
    <xf numFmtId="10" fontId="8" fillId="2" borderId="7" xfId="0" applyNumberFormat="1" applyFont="1" applyFill="1" applyBorder="1" applyAlignment="1">
      <alignment vertical="center"/>
    </xf>
    <xf numFmtId="10" fontId="8" fillId="2" borderId="0" xfId="0" applyNumberFormat="1" applyFont="1" applyFill="1" applyAlignment="1">
      <alignment vertical="center"/>
    </xf>
    <xf numFmtId="10" fontId="8" fillId="2" borderId="8" xfId="0" applyNumberFormat="1" applyFont="1" applyFill="1" applyBorder="1" applyAlignment="1">
      <alignment vertical="center"/>
    </xf>
    <xf numFmtId="0" fontId="9" fillId="0" borderId="0" xfId="0" applyFont="1"/>
    <xf numFmtId="10" fontId="8" fillId="0" borderId="7" xfId="0" applyNumberFormat="1" applyFont="1" applyBorder="1" applyAlignment="1">
      <alignment vertical="center"/>
    </xf>
    <xf numFmtId="10" fontId="8" fillId="0" borderId="0" xfId="0" applyNumberFormat="1" applyFont="1" applyAlignment="1">
      <alignment vertical="center"/>
    </xf>
    <xf numFmtId="10" fontId="8" fillId="0" borderId="8" xfId="0" applyNumberFormat="1" applyFont="1" applyBorder="1" applyAlignment="1">
      <alignment vertical="center"/>
    </xf>
    <xf numFmtId="0" fontId="12" fillId="2" borderId="0" xfId="3" applyFont="1" applyFill="1" applyAlignment="1">
      <alignment horizontal="center" vertical="center"/>
    </xf>
    <xf numFmtId="0" fontId="7" fillId="2" borderId="0" xfId="0" applyFont="1" applyFill="1" applyAlignment="1">
      <alignment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8" xfId="0" applyFont="1" applyBorder="1" applyAlignment="1">
      <alignment vertical="center"/>
    </xf>
    <xf numFmtId="0" fontId="11" fillId="2" borderId="3" xfId="0" applyFont="1" applyFill="1" applyBorder="1"/>
    <xf numFmtId="0" fontId="10" fillId="2" borderId="11" xfId="0" applyFont="1" applyFill="1" applyBorder="1"/>
    <xf numFmtId="10" fontId="10" fillId="3" borderId="3" xfId="1" applyNumberFormat="1" applyFont="1" applyFill="1" applyBorder="1"/>
    <xf numFmtId="10" fontId="10" fillId="3" borderId="11" xfId="1" applyNumberFormat="1" applyFont="1" applyFill="1" applyBorder="1"/>
    <xf numFmtId="10" fontId="10" fillId="3" borderId="12" xfId="1" applyNumberFormat="1" applyFont="1" applyFill="1" applyBorder="1"/>
    <xf numFmtId="10" fontId="10" fillId="2" borderId="3" xfId="0" applyNumberFormat="1" applyFont="1" applyFill="1" applyBorder="1"/>
    <xf numFmtId="10" fontId="10" fillId="2" borderId="11" xfId="0" applyNumberFormat="1" applyFont="1" applyFill="1" applyBorder="1"/>
    <xf numFmtId="10" fontId="10" fillId="2" borderId="12" xfId="0" applyNumberFormat="1" applyFont="1" applyFill="1" applyBorder="1"/>
    <xf numFmtId="0" fontId="17" fillId="0" borderId="0" xfId="0" applyFont="1" applyAlignment="1">
      <alignment horizontal="left"/>
    </xf>
    <xf numFmtId="0" fontId="11" fillId="0" borderId="5" xfId="0" applyFont="1" applyBorder="1" applyAlignment="1">
      <alignment horizontal="right" wrapText="1"/>
    </xf>
    <xf numFmtId="0" fontId="11" fillId="0" borderId="4" xfId="0" applyFont="1" applyBorder="1" applyAlignment="1">
      <alignment horizontal="right" wrapText="1"/>
    </xf>
    <xf numFmtId="0" fontId="11" fillId="0" borderId="11" xfId="0" applyFont="1" applyBorder="1" applyAlignment="1">
      <alignment horizontal="right"/>
    </xf>
    <xf numFmtId="0" fontId="11" fillId="0" borderId="6" xfId="0" applyFont="1" applyBorder="1" applyAlignment="1">
      <alignment horizontal="right" wrapText="1"/>
    </xf>
    <xf numFmtId="0" fontId="0" fillId="0" borderId="0" xfId="0" applyProtection="1">
      <protection locked="0"/>
    </xf>
    <xf numFmtId="0" fontId="4" fillId="0" borderId="0" xfId="0" applyFont="1" applyAlignment="1">
      <alignment vertical="top"/>
    </xf>
    <xf numFmtId="0" fontId="4" fillId="0" borderId="0" xfId="0" applyFont="1" applyProtection="1">
      <protection locked="0"/>
    </xf>
    <xf numFmtId="0" fontId="4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25" fillId="0" borderId="0" xfId="0" applyFont="1"/>
    <xf numFmtId="0" fontId="24" fillId="4" borderId="0" xfId="0" applyFont="1" applyFill="1" applyAlignment="1">
      <alignment horizontal="center"/>
    </xf>
    <xf numFmtId="0" fontId="24" fillId="4" borderId="0" xfId="0" applyFont="1" applyFill="1" applyAlignment="1">
      <alignment horizontal="center" wrapText="1"/>
    </xf>
    <xf numFmtId="0" fontId="0" fillId="0" borderId="0" xfId="0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6" fillId="4" borderId="2" xfId="0" applyFont="1" applyFill="1" applyBorder="1" applyAlignment="1">
      <alignment horizontal="center" wrapText="1"/>
    </xf>
    <xf numFmtId="0" fontId="25" fillId="4" borderId="0" xfId="0" applyFont="1" applyFill="1"/>
    <xf numFmtId="0" fontId="2" fillId="4" borderId="0" xfId="0" applyFont="1" applyFill="1"/>
    <xf numFmtId="0" fontId="25" fillId="0" borderId="0" xfId="0" applyFont="1" applyAlignment="1" applyProtection="1">
      <alignment horizontal="center"/>
      <protection locked="0"/>
    </xf>
    <xf numFmtId="0" fontId="5" fillId="0" borderId="2" xfId="0" applyFont="1" applyBorder="1" applyProtection="1">
      <protection locked="0"/>
    </xf>
    <xf numFmtId="0" fontId="24" fillId="6" borderId="12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 vertical="center" wrapText="1"/>
    </xf>
    <xf numFmtId="0" fontId="24" fillId="8" borderId="2" xfId="0" applyFont="1" applyFill="1" applyBorder="1" applyAlignment="1">
      <alignment horizontal="center" vertical="center" wrapText="1"/>
    </xf>
    <xf numFmtId="0" fontId="24" fillId="9" borderId="2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/>
    </xf>
    <xf numFmtId="0" fontId="25" fillId="0" borderId="0" xfId="0" applyFont="1" applyProtection="1">
      <protection locked="0"/>
    </xf>
    <xf numFmtId="0" fontId="5" fillId="2" borderId="15" xfId="0" applyFont="1" applyFill="1" applyBorder="1" applyAlignment="1" applyProtection="1">
      <alignment horizontal="center"/>
      <protection locked="0"/>
    </xf>
    <xf numFmtId="0" fontId="27" fillId="0" borderId="2" xfId="0" applyFont="1" applyBorder="1" applyProtection="1">
      <protection locked="0"/>
    </xf>
    <xf numFmtId="3" fontId="0" fillId="0" borderId="2" xfId="7" applyNumberFormat="1" applyFont="1" applyFill="1" applyBorder="1" applyProtection="1">
      <protection locked="0"/>
    </xf>
    <xf numFmtId="0" fontId="25" fillId="4" borderId="0" xfId="0" applyFont="1" applyFill="1" applyAlignment="1">
      <alignment horizontal="center" wrapText="1"/>
    </xf>
    <xf numFmtId="170" fontId="3" fillId="0" borderId="8" xfId="8" applyNumberFormat="1" applyFont="1" applyFill="1" applyBorder="1" applyProtection="1">
      <protection locked="0"/>
    </xf>
    <xf numFmtId="170" fontId="3" fillId="0" borderId="0" xfId="8" applyNumberFormat="1" applyFont="1" applyFill="1" applyBorder="1" applyProtection="1">
      <protection locked="0"/>
    </xf>
    <xf numFmtId="170" fontId="3" fillId="0" borderId="13" xfId="8" applyNumberFormat="1" applyFont="1" applyFill="1" applyBorder="1" applyProtection="1">
      <protection locked="0"/>
    </xf>
    <xf numFmtId="170" fontId="0" fillId="0" borderId="16" xfId="8" applyNumberFormat="1" applyFont="1" applyFill="1" applyBorder="1" applyProtection="1">
      <protection locked="0"/>
    </xf>
    <xf numFmtId="170" fontId="0" fillId="0" borderId="2" xfId="8" applyNumberFormat="1" applyFont="1" applyFill="1" applyBorder="1" applyAlignment="1" applyProtection="1">
      <alignment horizontal="center"/>
      <protection locked="0"/>
    </xf>
    <xf numFmtId="170" fontId="0" fillId="0" borderId="2" xfId="8" applyNumberFormat="1" applyFont="1" applyFill="1" applyBorder="1" applyProtection="1">
      <protection locked="0"/>
    </xf>
    <xf numFmtId="171" fontId="0" fillId="0" borderId="2" xfId="0" applyNumberFormat="1" applyBorder="1" applyProtection="1">
      <protection locked="0"/>
    </xf>
    <xf numFmtId="2" fontId="0" fillId="0" borderId="2" xfId="0" applyNumberFormat="1" applyBorder="1" applyProtection="1">
      <protection locked="0"/>
    </xf>
    <xf numFmtId="0" fontId="25" fillId="4" borderId="0" xfId="0" applyFont="1" applyFill="1" applyAlignment="1">
      <alignment horizontal="center"/>
    </xf>
    <xf numFmtId="0" fontId="5" fillId="10" borderId="2" xfId="0" applyFont="1" applyFill="1" applyBorder="1" applyProtection="1">
      <protection locked="0"/>
    </xf>
    <xf numFmtId="170" fontId="3" fillId="10" borderId="12" xfId="8" applyNumberFormat="1" applyFont="1" applyFill="1" applyBorder="1" applyProtection="1">
      <protection locked="0"/>
    </xf>
    <xf numFmtId="170" fontId="3" fillId="10" borderId="11" xfId="8" applyNumberFormat="1" applyFont="1" applyFill="1" applyBorder="1" applyProtection="1">
      <protection locked="0"/>
    </xf>
    <xf numFmtId="170" fontId="3" fillId="10" borderId="2" xfId="8" applyNumberFormat="1" applyFont="1" applyFill="1" applyBorder="1" applyProtection="1">
      <protection locked="0"/>
    </xf>
    <xf numFmtId="170" fontId="0" fillId="10" borderId="2" xfId="8" applyNumberFormat="1" applyFont="1" applyFill="1" applyBorder="1" applyProtection="1">
      <protection locked="0"/>
    </xf>
    <xf numFmtId="170" fontId="0" fillId="10" borderId="2" xfId="8" applyNumberFormat="1" applyFont="1" applyFill="1" applyBorder="1" applyAlignment="1" applyProtection="1">
      <alignment horizontal="center"/>
      <protection locked="0"/>
    </xf>
    <xf numFmtId="0" fontId="0" fillId="10" borderId="0" xfId="0" applyFill="1" applyProtection="1">
      <protection locked="0"/>
    </xf>
    <xf numFmtId="171" fontId="0" fillId="10" borderId="2" xfId="0" applyNumberFormat="1" applyFill="1" applyBorder="1" applyProtection="1">
      <protection locked="0"/>
    </xf>
    <xf numFmtId="2" fontId="0" fillId="10" borderId="2" xfId="0" applyNumberFormat="1" applyFill="1" applyBorder="1" applyProtection="1">
      <protection locked="0"/>
    </xf>
    <xf numFmtId="170" fontId="3" fillId="10" borderId="10" xfId="8" applyNumberFormat="1" applyFont="1" applyFill="1" applyBorder="1" applyProtection="1">
      <protection locked="0"/>
    </xf>
    <xf numFmtId="170" fontId="3" fillId="10" borderId="1" xfId="8" applyNumberFormat="1" applyFont="1" applyFill="1" applyBorder="1" applyProtection="1">
      <protection locked="0"/>
    </xf>
    <xf numFmtId="170" fontId="0" fillId="10" borderId="13" xfId="8" applyNumberFormat="1" applyFont="1" applyFill="1" applyBorder="1" applyProtection="1">
      <protection locked="0"/>
    </xf>
    <xf numFmtId="170" fontId="0" fillId="10" borderId="13" xfId="8" applyNumberFormat="1" applyFont="1" applyFill="1" applyBorder="1" applyAlignment="1" applyProtection="1">
      <alignment horizontal="center"/>
      <protection locked="0"/>
    </xf>
    <xf numFmtId="170" fontId="3" fillId="0" borderId="2" xfId="8" applyNumberFormat="1" applyFont="1" applyFill="1" applyBorder="1" applyProtection="1">
      <protection locked="0"/>
    </xf>
    <xf numFmtId="170" fontId="3" fillId="0" borderId="3" xfId="8" applyNumberFormat="1" applyFont="1" applyFill="1" applyBorder="1" applyProtection="1">
      <protection locked="0"/>
    </xf>
    <xf numFmtId="170" fontId="3" fillId="0" borderId="12" xfId="8" applyNumberFormat="1" applyFont="1" applyFill="1" applyBorder="1" applyProtection="1">
      <protection locked="0"/>
    </xf>
    <xf numFmtId="0" fontId="5" fillId="10" borderId="2" xfId="0" applyFont="1" applyFill="1" applyBorder="1" applyAlignment="1" applyProtection="1">
      <alignment horizontal="left" indent="3"/>
      <protection locked="0"/>
    </xf>
    <xf numFmtId="170" fontId="3" fillId="10" borderId="3" xfId="8" applyNumberFormat="1" applyFont="1" applyFill="1" applyBorder="1" applyProtection="1">
      <protection locked="0"/>
    </xf>
    <xf numFmtId="0" fontId="5" fillId="0" borderId="2" xfId="0" applyFont="1" applyBorder="1" applyAlignment="1" applyProtection="1">
      <alignment horizontal="left" indent="3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170" fontId="5" fillId="0" borderId="2" xfId="8" applyNumberFormat="1" applyFont="1" applyFill="1" applyBorder="1"/>
    <xf numFmtId="170" fontId="5" fillId="0" borderId="2" xfId="8" applyNumberFormat="1" applyFont="1" applyFill="1" applyBorder="1" applyProtection="1">
      <protection locked="0"/>
    </xf>
    <xf numFmtId="170" fontId="2" fillId="0" borderId="2" xfId="8" applyNumberFormat="1" applyFont="1" applyFill="1" applyBorder="1" applyAlignment="1" applyProtection="1">
      <alignment horizontal="center"/>
      <protection locked="0"/>
    </xf>
    <xf numFmtId="170" fontId="2" fillId="0" borderId="2" xfId="8" applyNumberFormat="1" applyFont="1" applyFill="1" applyBorder="1" applyProtection="1">
      <protection locked="0"/>
    </xf>
    <xf numFmtId="171" fontId="2" fillId="0" borderId="2" xfId="0" applyNumberFormat="1" applyFont="1" applyBorder="1" applyProtection="1">
      <protection locked="0"/>
    </xf>
    <xf numFmtId="2" fontId="2" fillId="0" borderId="2" xfId="0" applyNumberFormat="1" applyFont="1" applyBorder="1" applyProtection="1">
      <protection locked="0"/>
    </xf>
    <xf numFmtId="170" fontId="5" fillId="0" borderId="0" xfId="8" applyNumberFormat="1" applyFont="1" applyFill="1" applyBorder="1"/>
    <xf numFmtId="170" fontId="0" fillId="0" borderId="0" xfId="8" applyNumberFormat="1" applyFont="1" applyFill="1" applyBorder="1" applyAlignment="1" applyProtection="1">
      <alignment horizontal="center"/>
      <protection locked="0"/>
    </xf>
    <xf numFmtId="170" fontId="0" fillId="0" borderId="0" xfId="8" applyNumberFormat="1" applyFont="1" applyFill="1" applyBorder="1" applyProtection="1">
      <protection locked="0"/>
    </xf>
    <xf numFmtId="17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27" fillId="0" borderId="0" xfId="0" applyFont="1" applyAlignment="1" applyProtection="1">
      <alignment wrapText="1"/>
      <protection locked="0"/>
    </xf>
    <xf numFmtId="0" fontId="0" fillId="10" borderId="2" xfId="0" applyFill="1" applyBorder="1" applyProtection="1">
      <protection locked="0"/>
    </xf>
    <xf numFmtId="0" fontId="0" fillId="0" borderId="2" xfId="0" applyBorder="1" applyProtection="1">
      <protection locked="0"/>
    </xf>
    <xf numFmtId="0" fontId="5" fillId="0" borderId="13" xfId="0" applyFont="1" applyBorder="1" applyProtection="1">
      <protection locked="0"/>
    </xf>
    <xf numFmtId="170" fontId="5" fillId="0" borderId="13" xfId="8" applyNumberFormat="1" applyFont="1" applyFill="1" applyBorder="1"/>
    <xf numFmtId="170" fontId="5" fillId="0" borderId="13" xfId="8" applyNumberFormat="1" applyFont="1" applyFill="1" applyBorder="1" applyProtection="1">
      <protection locked="0"/>
    </xf>
    <xf numFmtId="170" fontId="2" fillId="0" borderId="13" xfId="8" applyNumberFormat="1" applyFont="1" applyFill="1" applyBorder="1" applyAlignment="1" applyProtection="1">
      <alignment horizontal="center"/>
      <protection locked="0"/>
    </xf>
    <xf numFmtId="170" fontId="2" fillId="0" borderId="13" xfId="8" applyNumberFormat="1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170" fontId="5" fillId="0" borderId="1" xfId="8" applyNumberFormat="1" applyFont="1" applyFill="1" applyBorder="1"/>
    <xf numFmtId="170" fontId="3" fillId="0" borderId="1" xfId="8" applyNumberFormat="1" applyFont="1" applyFill="1" applyBorder="1" applyProtection="1">
      <protection locked="0"/>
    </xf>
    <xf numFmtId="170" fontId="0" fillId="0" borderId="1" xfId="8" applyNumberFormat="1" applyFont="1" applyFill="1" applyBorder="1" applyAlignment="1" applyProtection="1">
      <alignment horizontal="center"/>
      <protection locked="0"/>
    </xf>
    <xf numFmtId="170" fontId="0" fillId="0" borderId="1" xfId="8" applyNumberFormat="1" applyFont="1" applyFill="1" applyBorder="1" applyProtection="1">
      <protection locked="0"/>
    </xf>
    <xf numFmtId="0" fontId="27" fillId="0" borderId="4" xfId="0" applyFont="1" applyBorder="1" applyAlignment="1" applyProtection="1">
      <alignment wrapText="1"/>
      <protection locked="0"/>
    </xf>
    <xf numFmtId="170" fontId="0" fillId="0" borderId="4" xfId="8" applyNumberFormat="1" applyFont="1" applyFill="1" applyBorder="1" applyProtection="1">
      <protection locked="0"/>
    </xf>
    <xf numFmtId="170" fontId="3" fillId="0" borderId="4" xfId="8" applyNumberFormat="1" applyFont="1" applyFill="1" applyBorder="1" applyProtection="1">
      <protection locked="0"/>
    </xf>
    <xf numFmtId="0" fontId="5" fillId="0" borderId="2" xfId="0" applyFont="1" applyBorder="1" applyAlignment="1" applyProtection="1">
      <alignment horizontal="left" wrapText="1" indent="3"/>
      <protection locked="0"/>
    </xf>
    <xf numFmtId="171" fontId="5" fillId="0" borderId="2" xfId="8" applyNumberFormat="1" applyFont="1" applyFill="1" applyBorder="1"/>
    <xf numFmtId="171" fontId="3" fillId="0" borderId="2" xfId="8" applyNumberFormat="1" applyFont="1" applyFill="1" applyBorder="1" applyProtection="1">
      <protection locked="0"/>
    </xf>
    <xf numFmtId="171" fontId="0" fillId="0" borderId="2" xfId="8" applyNumberFormat="1" applyFont="1" applyFill="1" applyBorder="1" applyAlignment="1" applyProtection="1">
      <alignment horizontal="center"/>
      <protection locked="0"/>
    </xf>
    <xf numFmtId="171" fontId="0" fillId="0" borderId="2" xfId="8" applyNumberFormat="1" applyFont="1" applyFill="1" applyBorder="1" applyProtection="1">
      <protection locked="0"/>
    </xf>
    <xf numFmtId="0" fontId="5" fillId="0" borderId="12" xfId="0" applyFont="1" applyBorder="1" applyProtection="1">
      <protection locked="0"/>
    </xf>
    <xf numFmtId="0" fontId="5" fillId="10" borderId="2" xfId="0" applyFont="1" applyFill="1" applyBorder="1" applyAlignment="1" applyProtection="1">
      <alignment wrapText="1"/>
      <protection locked="0"/>
    </xf>
    <xf numFmtId="171" fontId="0" fillId="10" borderId="17" xfId="7" applyNumberFormat="1" applyFont="1" applyFill="1" applyBorder="1" applyProtection="1">
      <protection locked="0"/>
    </xf>
    <xf numFmtId="171" fontId="3" fillId="10" borderId="18" xfId="8" applyNumberFormat="1" applyFont="1" applyFill="1" applyBorder="1" applyProtection="1">
      <protection locked="0"/>
    </xf>
    <xf numFmtId="171" fontId="0" fillId="10" borderId="15" xfId="7" applyNumberFormat="1" applyFont="1" applyFill="1" applyBorder="1" applyProtection="1">
      <protection locked="0"/>
    </xf>
    <xf numFmtId="171" fontId="0" fillId="10" borderId="19" xfId="7" applyNumberFormat="1" applyFont="1" applyFill="1" applyBorder="1" applyProtection="1">
      <protection locked="0"/>
    </xf>
    <xf numFmtId="171" fontId="0" fillId="10" borderId="19" xfId="8" applyNumberFormat="1" applyFont="1" applyFill="1" applyBorder="1" applyProtection="1">
      <protection locked="0"/>
    </xf>
    <xf numFmtId="171" fontId="0" fillId="10" borderId="17" xfId="0" applyNumberFormat="1" applyFill="1" applyBorder="1" applyProtection="1">
      <protection locked="0"/>
    </xf>
    <xf numFmtId="2" fontId="0" fillId="10" borderId="17" xfId="0" applyNumberFormat="1" applyFill="1" applyBorder="1" applyProtection="1">
      <protection locked="0"/>
    </xf>
    <xf numFmtId="43" fontId="5" fillId="0" borderId="0" xfId="0" applyNumberFormat="1" applyFont="1" applyProtection="1">
      <protection locked="0"/>
    </xf>
    <xf numFmtId="171" fontId="5" fillId="0" borderId="20" xfId="0" applyNumberFormat="1" applyFont="1" applyBorder="1"/>
    <xf numFmtId="171" fontId="3" fillId="0" borderId="21" xfId="8" applyNumberFormat="1" applyFont="1" applyFill="1" applyBorder="1" applyProtection="1">
      <protection locked="0"/>
    </xf>
    <xf numFmtId="171" fontId="3" fillId="0" borderId="22" xfId="8" applyNumberFormat="1" applyFont="1" applyFill="1" applyBorder="1" applyProtection="1">
      <protection locked="0"/>
    </xf>
    <xf numFmtId="171" fontId="5" fillId="0" borderId="21" xfId="0" applyNumberFormat="1" applyFont="1" applyBorder="1"/>
    <xf numFmtId="171" fontId="0" fillId="0" borderId="21" xfId="8" applyNumberFormat="1" applyFont="1" applyFill="1" applyBorder="1" applyAlignment="1" applyProtection="1">
      <alignment horizontal="center"/>
      <protection locked="0"/>
    </xf>
    <xf numFmtId="171" fontId="0" fillId="0" borderId="21" xfId="8" applyNumberFormat="1" applyFont="1" applyFill="1" applyBorder="1" applyProtection="1">
      <protection locked="0"/>
    </xf>
    <xf numFmtId="171" fontId="2" fillId="0" borderId="15" xfId="0" applyNumberFormat="1" applyFont="1" applyBorder="1" applyProtection="1">
      <protection locked="0"/>
    </xf>
    <xf numFmtId="2" fontId="2" fillId="0" borderId="15" xfId="0" applyNumberFormat="1" applyFont="1" applyBorder="1" applyProtection="1">
      <protection locked="0"/>
    </xf>
    <xf numFmtId="0" fontId="5" fillId="10" borderId="17" xfId="0" applyFont="1" applyFill="1" applyBorder="1" applyAlignment="1" applyProtection="1">
      <alignment vertical="top" wrapText="1"/>
      <protection locked="0"/>
    </xf>
    <xf numFmtId="171" fontId="0" fillId="10" borderId="2" xfId="7" applyNumberFormat="1" applyFont="1" applyFill="1" applyBorder="1" applyProtection="1">
      <protection locked="0"/>
    </xf>
    <xf numFmtId="171" fontId="3" fillId="10" borderId="23" xfId="8" applyNumberFormat="1" applyFont="1" applyFill="1" applyBorder="1" applyProtection="1">
      <protection locked="0"/>
    </xf>
    <xf numFmtId="171" fontId="3" fillId="10" borderId="24" xfId="8" applyNumberFormat="1" applyFont="1" applyFill="1" applyBorder="1" applyProtection="1">
      <protection locked="0"/>
    </xf>
    <xf numFmtId="171" fontId="0" fillId="10" borderId="19" xfId="7" applyNumberFormat="1" applyFont="1" applyFill="1" applyBorder="1" applyAlignment="1" applyProtection="1">
      <alignment horizontal="center"/>
      <protection locked="0"/>
    </xf>
    <xf numFmtId="0" fontId="5" fillId="0" borderId="20" xfId="0" applyFont="1" applyBorder="1" applyProtection="1">
      <protection locked="0"/>
    </xf>
    <xf numFmtId="171" fontId="5" fillId="0" borderId="21" xfId="8" applyNumberFormat="1" applyFont="1" applyFill="1" applyBorder="1" applyProtection="1">
      <protection locked="0"/>
    </xf>
    <xf numFmtId="171" fontId="5" fillId="0" borderId="21" xfId="0" applyNumberFormat="1" applyFont="1" applyBorder="1" applyAlignment="1">
      <alignment horizontal="center"/>
    </xf>
    <xf numFmtId="171" fontId="2" fillId="0" borderId="21" xfId="8" applyNumberFormat="1" applyFont="1" applyFill="1" applyBorder="1" applyProtection="1">
      <protection locked="0"/>
    </xf>
    <xf numFmtId="171" fontId="2" fillId="0" borderId="21" xfId="0" applyNumberFormat="1" applyFont="1" applyBorder="1" applyProtection="1">
      <protection locked="0"/>
    </xf>
    <xf numFmtId="2" fontId="2" fillId="0" borderId="21" xfId="0" applyNumberFormat="1" applyFont="1" applyBorder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4" fontId="29" fillId="0" borderId="0" xfId="0" applyNumberFormat="1" applyFont="1" applyAlignment="1" applyProtection="1">
      <alignment horizontal="left" vertical="top"/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4" fillId="10" borderId="2" xfId="0" applyFont="1" applyFill="1" applyBorder="1"/>
    <xf numFmtId="171" fontId="2" fillId="10" borderId="2" xfId="0" applyNumberFormat="1" applyFont="1" applyFill="1" applyBorder="1" applyProtection="1">
      <protection locked="0"/>
    </xf>
    <xf numFmtId="0" fontId="2" fillId="10" borderId="2" xfId="0" applyFont="1" applyFill="1" applyBorder="1" applyProtection="1">
      <protection locked="0"/>
    </xf>
    <xf numFmtId="0" fontId="2" fillId="10" borderId="2" xfId="0" applyFont="1" applyFill="1" applyBorder="1" applyAlignment="1" applyProtection="1">
      <alignment horizontal="center"/>
      <protection locked="0"/>
    </xf>
    <xf numFmtId="2" fontId="2" fillId="10" borderId="2" xfId="0" applyNumberFormat="1" applyFont="1" applyFill="1" applyBorder="1" applyProtection="1">
      <protection locked="0"/>
    </xf>
    <xf numFmtId="0" fontId="24" fillId="4" borderId="2" xfId="0" applyFont="1" applyFill="1" applyBorder="1" applyAlignment="1">
      <alignment vertical="center" wrapText="1"/>
    </xf>
    <xf numFmtId="172" fontId="30" fillId="0" borderId="2" xfId="0" applyNumberFormat="1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171" fontId="2" fillId="0" borderId="2" xfId="0" applyNumberFormat="1" applyFont="1" applyBorder="1" applyAlignment="1" applyProtection="1">
      <alignment vertical="top"/>
      <protection locked="0"/>
    </xf>
    <xf numFmtId="0" fontId="5" fillId="0" borderId="2" xfId="0" applyFont="1" applyBorder="1" applyAlignment="1" applyProtection="1">
      <alignment horizontal="center" vertical="top" wrapText="1"/>
      <protection locked="0"/>
    </xf>
    <xf numFmtId="172" fontId="30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171" fontId="2" fillId="0" borderId="0" xfId="0" applyNumberFormat="1" applyFont="1" applyProtection="1">
      <protection locked="0"/>
    </xf>
    <xf numFmtId="2" fontId="2" fillId="0" borderId="0" xfId="0" applyNumberFormat="1" applyFont="1" applyProtection="1">
      <protection locked="0"/>
    </xf>
    <xf numFmtId="0" fontId="25" fillId="4" borderId="0" xfId="0" applyFont="1" applyFill="1" applyAlignment="1">
      <alignment vertical="center"/>
    </xf>
    <xf numFmtId="0" fontId="3" fillId="0" borderId="0" xfId="0" applyFont="1" applyAlignment="1" applyProtection="1">
      <alignment horizontal="left" vertical="top" wrapText="1"/>
      <protection locked="0"/>
    </xf>
    <xf numFmtId="171" fontId="3" fillId="0" borderId="0" xfId="0" applyNumberFormat="1" applyFont="1" applyAlignment="1" applyProtection="1">
      <alignment vertical="top" wrapText="1"/>
      <protection locked="0"/>
    </xf>
    <xf numFmtId="173" fontId="0" fillId="0" borderId="0" xfId="0" applyNumberFormat="1" applyProtection="1">
      <protection locked="0"/>
    </xf>
    <xf numFmtId="0" fontId="25" fillId="0" borderId="0" xfId="0" applyFont="1" applyAlignment="1">
      <alignment horizontal="center"/>
    </xf>
    <xf numFmtId="0" fontId="5" fillId="0" borderId="0" xfId="0" applyFont="1" applyAlignment="1" applyProtection="1">
      <alignment wrapText="1"/>
      <protection locked="0"/>
    </xf>
    <xf numFmtId="174" fontId="0" fillId="0" borderId="0" xfId="0" applyNumberFormat="1" applyAlignment="1">
      <alignment horizontal="center"/>
    </xf>
    <xf numFmtId="174" fontId="25" fillId="0" borderId="0" xfId="0" applyNumberFormat="1" applyFont="1"/>
    <xf numFmtId="10" fontId="0" fillId="0" borderId="0" xfId="1" applyNumberFormat="1" applyFont="1" applyAlignment="1">
      <alignment horizontal="center"/>
    </xf>
    <xf numFmtId="10" fontId="25" fillId="0" borderId="0" xfId="1" applyNumberFormat="1" applyFont="1"/>
    <xf numFmtId="43" fontId="0" fillId="0" borderId="0" xfId="0" applyNumberFormat="1" applyProtection="1">
      <protection locked="0"/>
    </xf>
    <xf numFmtId="0" fontId="31" fillId="0" borderId="0" xfId="0" applyFont="1"/>
    <xf numFmtId="10" fontId="31" fillId="0" borderId="0" xfId="0" applyNumberFormat="1" applyFont="1"/>
    <xf numFmtId="165" fontId="31" fillId="0" borderId="0" xfId="5" applyNumberFormat="1" applyFont="1" applyFill="1" applyBorder="1"/>
    <xf numFmtId="165" fontId="31" fillId="0" borderId="0" xfId="0" applyNumberFormat="1" applyFont="1"/>
    <xf numFmtId="165" fontId="31" fillId="0" borderId="4" xfId="0" applyNumberFormat="1" applyFont="1" applyBorder="1"/>
    <xf numFmtId="0" fontId="12" fillId="11" borderId="0" xfId="0" applyFont="1" applyFill="1"/>
    <xf numFmtId="3" fontId="12" fillId="11" borderId="0" xfId="0" applyNumberFormat="1" applyFont="1" applyFill="1"/>
    <xf numFmtId="3" fontId="12" fillId="11" borderId="9" xfId="0" applyNumberFormat="1" applyFont="1" applyFill="1" applyBorder="1"/>
    <xf numFmtId="3" fontId="12" fillId="11" borderId="10" xfId="0" applyNumberFormat="1" applyFont="1" applyFill="1" applyBorder="1"/>
    <xf numFmtId="0" fontId="17" fillId="11" borderId="0" xfId="0" applyFont="1" applyFill="1"/>
    <xf numFmtId="10" fontId="12" fillId="11" borderId="7" xfId="1" applyNumberFormat="1" applyFont="1" applyFill="1" applyBorder="1" applyAlignment="1">
      <alignment horizontal="right"/>
    </xf>
    <xf numFmtId="10" fontId="12" fillId="11" borderId="0" xfId="1" applyNumberFormat="1" applyFont="1" applyFill="1" applyBorder="1" applyAlignment="1">
      <alignment horizontal="right"/>
    </xf>
    <xf numFmtId="10" fontId="12" fillId="11" borderId="8" xfId="1" applyNumberFormat="1" applyFont="1" applyFill="1" applyBorder="1" applyAlignment="1">
      <alignment horizontal="right"/>
    </xf>
    <xf numFmtId="3" fontId="12" fillId="11" borderId="7" xfId="0" applyNumberFormat="1" applyFont="1" applyFill="1" applyBorder="1"/>
    <xf numFmtId="3" fontId="12" fillId="11" borderId="8" xfId="0" applyNumberFormat="1" applyFont="1" applyFill="1" applyBorder="1"/>
    <xf numFmtId="2" fontId="12" fillId="11" borderId="0" xfId="5" applyNumberFormat="1" applyFont="1" applyFill="1"/>
    <xf numFmtId="166" fontId="12" fillId="11" borderId="7" xfId="5" applyNumberFormat="1" applyFont="1" applyFill="1" applyBorder="1" applyAlignment="1">
      <alignment horizontal="right"/>
    </xf>
    <xf numFmtId="166" fontId="12" fillId="11" borderId="0" xfId="5" applyNumberFormat="1" applyFont="1" applyFill="1" applyBorder="1" applyAlignment="1">
      <alignment horizontal="right"/>
    </xf>
    <xf numFmtId="166" fontId="12" fillId="11" borderId="8" xfId="5" applyNumberFormat="1" applyFont="1" applyFill="1" applyBorder="1" applyAlignment="1">
      <alignment horizontal="right"/>
    </xf>
    <xf numFmtId="0" fontId="31" fillId="11" borderId="0" xfId="0" applyFont="1" applyFill="1"/>
    <xf numFmtId="0" fontId="0" fillId="11" borderId="0" xfId="0" applyFill="1"/>
    <xf numFmtId="3" fontId="0" fillId="11" borderId="0" xfId="0" applyNumberFormat="1" applyFill="1"/>
    <xf numFmtId="10" fontId="0" fillId="11" borderId="0" xfId="0" applyNumberFormat="1" applyFill="1"/>
    <xf numFmtId="3" fontId="31" fillId="11" borderId="0" xfId="0" applyNumberFormat="1" applyFont="1" applyFill="1"/>
    <xf numFmtId="10" fontId="31" fillId="11" borderId="0" xfId="0" applyNumberFormat="1" applyFont="1" applyFill="1"/>
    <xf numFmtId="0" fontId="4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7" fillId="0" borderId="0" xfId="0" applyFont="1" applyAlignment="1">
      <alignment horizontal="left" vertical="top" wrapText="1"/>
    </xf>
    <xf numFmtId="3" fontId="21" fillId="0" borderId="0" xfId="0" applyNumberFormat="1" applyFont="1" applyAlignment="1">
      <alignment horizontal="left" vertical="center" wrapText="1"/>
    </xf>
    <xf numFmtId="0" fontId="25" fillId="0" borderId="0" xfId="0" applyFont="1" applyAlignment="1">
      <alignment horizontal="center"/>
    </xf>
    <xf numFmtId="0" fontId="22" fillId="0" borderId="0" xfId="0" applyFont="1" applyAlignment="1" applyProtection="1">
      <alignment horizontal="center"/>
      <protection locked="0"/>
    </xf>
    <xf numFmtId="0" fontId="23" fillId="0" borderId="0" xfId="0" applyFont="1" applyAlignment="1">
      <alignment horizontal="center" vertical="top"/>
    </xf>
    <xf numFmtId="0" fontId="24" fillId="4" borderId="4" xfId="0" applyFont="1" applyFill="1" applyBorder="1" applyAlignment="1">
      <alignment horizontal="center" wrapText="1"/>
    </xf>
    <xf numFmtId="0" fontId="24" fillId="5" borderId="13" xfId="0" applyFont="1" applyFill="1" applyBorder="1" applyAlignment="1">
      <alignment horizontal="center"/>
    </xf>
    <xf numFmtId="0" fontId="24" fillId="4" borderId="3" xfId="0" applyFont="1" applyFill="1" applyBorder="1" applyAlignment="1">
      <alignment horizontal="center"/>
    </xf>
    <xf numFmtId="0" fontId="24" fillId="4" borderId="11" xfId="0" applyFont="1" applyFill="1" applyBorder="1" applyAlignment="1">
      <alignment horizontal="center"/>
    </xf>
    <xf numFmtId="0" fontId="24" fillId="4" borderId="12" xfId="0" applyFont="1" applyFill="1" applyBorder="1" applyAlignment="1">
      <alignment horizontal="center"/>
    </xf>
    <xf numFmtId="0" fontId="24" fillId="4" borderId="3" xfId="0" applyFont="1" applyFill="1" applyBorder="1" applyAlignment="1">
      <alignment horizontal="center" wrapText="1"/>
    </xf>
    <xf numFmtId="0" fontId="24" fillId="4" borderId="11" xfId="0" applyFont="1" applyFill="1" applyBorder="1" applyAlignment="1">
      <alignment horizontal="center" wrapText="1"/>
    </xf>
    <xf numFmtId="0" fontId="24" fillId="4" borderId="12" xfId="0" applyFont="1" applyFill="1" applyBorder="1" applyAlignment="1">
      <alignment horizontal="center" wrapText="1"/>
    </xf>
    <xf numFmtId="0" fontId="7" fillId="0" borderId="0" xfId="0" applyFont="1" applyFill="1"/>
    <xf numFmtId="0" fontId="17" fillId="0" borderId="0" xfId="0" applyFont="1" applyFill="1"/>
    <xf numFmtId="0" fontId="12" fillId="0" borderId="0" xfId="0" applyFont="1" applyFill="1"/>
    <xf numFmtId="9" fontId="12" fillId="0" borderId="7" xfId="1" applyFont="1" applyFill="1" applyBorder="1" applyAlignment="1">
      <alignment horizontal="right"/>
    </xf>
    <xf numFmtId="9" fontId="12" fillId="0" borderId="0" xfId="1" applyFont="1" applyFill="1" applyBorder="1" applyAlignment="1">
      <alignment horizontal="right"/>
    </xf>
    <xf numFmtId="9" fontId="12" fillId="0" borderId="8" xfId="1" applyFont="1" applyFill="1" applyBorder="1" applyAlignment="1">
      <alignment horizontal="right"/>
    </xf>
    <xf numFmtId="0" fontId="12" fillId="0" borderId="0" xfId="3" applyFont="1" applyFill="1" applyAlignment="1">
      <alignment horizontal="center"/>
    </xf>
    <xf numFmtId="0" fontId="12" fillId="0" borderId="0" xfId="3" applyFont="1" applyFill="1" applyAlignment="1">
      <alignment horizontal="center" wrapText="1"/>
    </xf>
    <xf numFmtId="0" fontId="19" fillId="0" borderId="3" xfId="0" applyFont="1" applyFill="1" applyBorder="1"/>
    <xf numFmtId="0" fontId="15" fillId="0" borderId="0" xfId="0" applyFont="1" applyFill="1"/>
    <xf numFmtId="0" fontId="0" fillId="0" borderId="0" xfId="0" applyFill="1"/>
    <xf numFmtId="22" fontId="0" fillId="0" borderId="0" xfId="0" applyNumberFormat="1" applyFill="1"/>
    <xf numFmtId="167" fontId="0" fillId="0" borderId="0" xfId="0" applyNumberFormat="1" applyFill="1"/>
    <xf numFmtId="0" fontId="19" fillId="0" borderId="11" xfId="0" applyFont="1" applyFill="1" applyBorder="1"/>
    <xf numFmtId="10" fontId="19" fillId="0" borderId="3" xfId="0" applyNumberFormat="1" applyFont="1" applyFill="1" applyBorder="1" applyAlignment="1">
      <alignment horizontal="right"/>
    </xf>
    <xf numFmtId="10" fontId="19" fillId="0" borderId="11" xfId="0" applyNumberFormat="1" applyFont="1" applyFill="1" applyBorder="1" applyAlignment="1">
      <alignment horizontal="right"/>
    </xf>
    <xf numFmtId="10" fontId="19" fillId="0" borderId="12" xfId="0" applyNumberFormat="1" applyFont="1" applyFill="1" applyBorder="1" applyAlignment="1">
      <alignment horizontal="right"/>
    </xf>
    <xf numFmtId="0" fontId="31" fillId="0" borderId="0" xfId="0" applyFont="1" applyFill="1"/>
    <xf numFmtId="3" fontId="32" fillId="0" borderId="0" xfId="0" applyNumberFormat="1" applyFont="1" applyFill="1" applyAlignment="1">
      <alignment horizontal="left" vertical="center" wrapText="1"/>
    </xf>
    <xf numFmtId="3" fontId="32" fillId="0" borderId="0" xfId="0" applyNumberFormat="1" applyFont="1" applyFill="1" applyAlignment="1">
      <alignment horizontal="right" vertical="center" wrapText="1"/>
    </xf>
    <xf numFmtId="0" fontId="12" fillId="0" borderId="7" xfId="0" applyFont="1" applyFill="1" applyBorder="1" applyAlignment="1">
      <alignment horizontal="right"/>
    </xf>
    <xf numFmtId="0" fontId="12" fillId="0" borderId="0" xfId="0" applyFont="1" applyFill="1" applyAlignment="1">
      <alignment horizontal="right"/>
    </xf>
    <xf numFmtId="0" fontId="12" fillId="0" borderId="8" xfId="0" applyFont="1" applyFill="1" applyBorder="1" applyAlignment="1">
      <alignment horizontal="right"/>
    </xf>
    <xf numFmtId="167" fontId="0" fillId="0" borderId="0" xfId="0" applyNumberFormat="1"/>
    <xf numFmtId="0" fontId="0" fillId="0" borderId="0" xfId="0"/>
    <xf numFmtId="167" fontId="0" fillId="0" borderId="0" xfId="0" applyNumberFormat="1"/>
  </cellXfs>
  <cellStyles count="9">
    <cellStyle name="Comma 2" xfId="8" xr:uid="{985F7076-AF87-4CBF-B709-9BE0B78A6DAD}"/>
    <cellStyle name="Comma 3" xfId="5" xr:uid="{DB36EE23-6D5E-4761-BA1E-27A1F8A5D130}"/>
    <cellStyle name="Currency 2" xfId="7" xr:uid="{ED109779-9057-4990-91D4-1DE067AF9635}"/>
    <cellStyle name="Normal" xfId="0" builtinId="0"/>
    <cellStyle name="Normal 2 10" xfId="2" xr:uid="{CB556D27-8A57-4D1B-A21D-1D7F1F704564}"/>
    <cellStyle name="Normal 3" xfId="4" xr:uid="{089C4F11-2C75-40CC-8FFF-A3A4690C2412}"/>
    <cellStyle name="Normal_Schedule 26-E-01" xfId="3" xr:uid="{7FAC06E5-4E8D-4BDA-89EF-EA495B9E971A}"/>
    <cellStyle name="Percent" xfId="1" builtinId="5"/>
    <cellStyle name="Percent 2" xfId="6" xr:uid="{E6980FA0-9917-45F9-988B-742DCA483B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4BB7B-B8B1-4EB3-92D7-907DC14C6C86}">
  <sheetPr>
    <pageSetUpPr fitToPage="1"/>
  </sheetPr>
  <dimension ref="A1:AF65"/>
  <sheetViews>
    <sheetView showGridLines="0" topLeftCell="B1" zoomScale="124" zoomScaleNormal="124" workbookViewId="0">
      <selection activeCell="I52" sqref="I52"/>
    </sheetView>
  </sheetViews>
  <sheetFormatPr defaultRowHeight="14.4" x14ac:dyDescent="0.3"/>
  <cols>
    <col min="1" max="1" width="5.33203125" customWidth="1"/>
    <col min="2" max="2" width="36.5546875" customWidth="1"/>
    <col min="3" max="3" width="9.109375" hidden="1" customWidth="1"/>
    <col min="4" max="4" width="9.6640625" hidden="1" customWidth="1"/>
    <col min="5" max="15" width="10.109375" customWidth="1"/>
    <col min="16" max="16" width="11.5546875" customWidth="1"/>
    <col min="22" max="22" width="13.109375" customWidth="1"/>
    <col min="23" max="27" width="20.33203125" customWidth="1"/>
    <col min="28" max="28" width="14.6640625" customWidth="1"/>
    <col min="29" max="29" width="10.5546875" bestFit="1" customWidth="1"/>
    <col min="30" max="30" width="10.44140625" customWidth="1"/>
    <col min="31" max="31" width="14.5546875" customWidth="1"/>
    <col min="32" max="32" width="10.5546875" bestFit="1" customWidth="1"/>
  </cols>
  <sheetData>
    <row r="1" spans="1:32" x14ac:dyDescent="0.3">
      <c r="A1" t="s">
        <v>111</v>
      </c>
    </row>
    <row r="2" spans="1:32" x14ac:dyDescent="0.3">
      <c r="A2" s="254" t="s">
        <v>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</row>
    <row r="4" spans="1:32" ht="17.399999999999999" x14ac:dyDescent="0.3">
      <c r="A4" s="253" t="s">
        <v>1</v>
      </c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</row>
    <row r="5" spans="1:32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32" ht="15.6" x14ac:dyDescent="0.3">
      <c r="A6" s="3"/>
      <c r="B6" s="4"/>
      <c r="C6" s="4"/>
      <c r="D6" s="5"/>
      <c r="E6" s="255" t="s">
        <v>2</v>
      </c>
      <c r="F6" s="255"/>
      <c r="G6" s="255"/>
      <c r="H6" s="255"/>
      <c r="I6" s="256"/>
      <c r="J6" s="255" t="s">
        <v>3</v>
      </c>
      <c r="K6" s="255"/>
      <c r="L6" s="255"/>
      <c r="M6" s="255"/>
      <c r="N6" s="255"/>
      <c r="O6" s="255"/>
      <c r="P6" s="255"/>
      <c r="W6" t="s">
        <v>4</v>
      </c>
    </row>
    <row r="7" spans="1:32" ht="27.6" x14ac:dyDescent="0.3">
      <c r="A7" s="6" t="s">
        <v>5</v>
      </c>
      <c r="B7" s="7"/>
      <c r="C7" s="8"/>
      <c r="D7" s="9">
        <v>2019</v>
      </c>
      <c r="E7" s="10">
        <v>2020</v>
      </c>
      <c r="F7" s="11">
        <f t="shared" ref="F7:L7" si="0">E7+1</f>
        <v>2021</v>
      </c>
      <c r="G7" s="11">
        <f t="shared" si="0"/>
        <v>2022</v>
      </c>
      <c r="H7" s="11">
        <f t="shared" si="0"/>
        <v>2023</v>
      </c>
      <c r="I7" s="11">
        <f t="shared" si="0"/>
        <v>2024</v>
      </c>
      <c r="J7" s="10">
        <f t="shared" si="0"/>
        <v>2025</v>
      </c>
      <c r="K7" s="11">
        <f t="shared" si="0"/>
        <v>2026</v>
      </c>
      <c r="L7" s="11">
        <f t="shared" si="0"/>
        <v>2027</v>
      </c>
      <c r="M7" s="11">
        <f>L7+1</f>
        <v>2028</v>
      </c>
      <c r="N7" s="11">
        <f>M7+1</f>
        <v>2029</v>
      </c>
      <c r="O7" s="11">
        <f>N7+1</f>
        <v>2030</v>
      </c>
      <c r="P7" s="12">
        <f>O7+1</f>
        <v>2031</v>
      </c>
      <c r="W7" t="s">
        <v>6</v>
      </c>
      <c r="X7" t="s">
        <v>7</v>
      </c>
      <c r="Y7" t="s">
        <v>8</v>
      </c>
    </row>
    <row r="8" spans="1:32" ht="15" x14ac:dyDescent="0.35">
      <c r="A8" s="13">
        <v>1</v>
      </c>
      <c r="B8" s="14" t="s">
        <v>9</v>
      </c>
      <c r="C8" s="15" t="s">
        <v>10</v>
      </c>
      <c r="D8" s="14"/>
      <c r="E8" s="16">
        <f>E29</f>
        <v>4.4253599821951074E-2</v>
      </c>
      <c r="F8" s="17">
        <f>F29</f>
        <v>3.7890264260210214E-2</v>
      </c>
      <c r="G8" s="17">
        <f>G29</f>
        <v>4.1409528035558509E-2</v>
      </c>
      <c r="H8" s="17">
        <f t="shared" ref="H8:P8" si="1">H29</f>
        <v>5.1580940010129216E-2</v>
      </c>
      <c r="I8" s="17">
        <f t="shared" si="1"/>
        <v>0.13666854312077589</v>
      </c>
      <c r="J8" s="16">
        <f t="shared" si="1"/>
        <v>0.19176994793071475</v>
      </c>
      <c r="K8" s="17">
        <f t="shared" si="1"/>
        <v>7.7390849440959072E-2</v>
      </c>
      <c r="L8" s="17">
        <f t="shared" si="1"/>
        <v>2.4099999999999996E-2</v>
      </c>
      <c r="M8" s="17">
        <f t="shared" si="1"/>
        <v>2.7899999999999998E-2</v>
      </c>
      <c r="N8" s="17">
        <f t="shared" si="1"/>
        <v>1.6E-2</v>
      </c>
      <c r="O8" s="17">
        <f t="shared" si="1"/>
        <v>1.8800000000000001E-2</v>
      </c>
      <c r="P8" s="18">
        <f t="shared" si="1"/>
        <v>2.0499999999999997E-2</v>
      </c>
      <c r="V8">
        <v>2015</v>
      </c>
      <c r="W8">
        <v>734</v>
      </c>
      <c r="X8">
        <v>735</v>
      </c>
      <c r="Y8">
        <f>0.25*W8+0.5*X8+0.25*W9</f>
        <v>737.25</v>
      </c>
    </row>
    <row r="9" spans="1:32" ht="15" x14ac:dyDescent="0.35">
      <c r="A9" s="19">
        <f>A8+1</f>
        <v>2</v>
      </c>
      <c r="B9" s="20" t="s">
        <v>11</v>
      </c>
      <c r="C9" s="21" t="s">
        <v>10</v>
      </c>
      <c r="D9" s="22"/>
      <c r="E9" s="23">
        <f t="shared" ref="E9:I9" si="2">1+E8</f>
        <v>1.0442535998219511</v>
      </c>
      <c r="F9" s="24">
        <f t="shared" si="2"/>
        <v>1.0378902642602101</v>
      </c>
      <c r="G9" s="24">
        <f t="shared" si="2"/>
        <v>1.0414095280355584</v>
      </c>
      <c r="H9" s="24">
        <f t="shared" si="2"/>
        <v>1.0515809400101293</v>
      </c>
      <c r="I9" s="24">
        <f t="shared" si="2"/>
        <v>1.1366685431207759</v>
      </c>
      <c r="J9" s="23">
        <f>1+J8</f>
        <v>1.1917699479307147</v>
      </c>
      <c r="K9" s="24">
        <f>1+K8</f>
        <v>1.077390849440959</v>
      </c>
      <c r="L9" s="24">
        <f>1+L8</f>
        <v>1.0241</v>
      </c>
      <c r="M9" s="24">
        <f t="shared" ref="M9:P9" si="3">1+M8</f>
        <v>1.0279</v>
      </c>
      <c r="N9" s="24">
        <f t="shared" si="3"/>
        <v>1.016</v>
      </c>
      <c r="O9" s="24">
        <f t="shared" si="3"/>
        <v>1.0187999999999999</v>
      </c>
      <c r="P9" s="25">
        <f t="shared" si="3"/>
        <v>1.0205</v>
      </c>
      <c r="V9">
        <v>2016</v>
      </c>
      <c r="W9">
        <v>745</v>
      </c>
      <c r="X9">
        <v>744</v>
      </c>
      <c r="Y9">
        <f>0.25*W9+0.5*X9+0.25*W10</f>
        <v>746.5</v>
      </c>
      <c r="Z9" s="26">
        <f>LN(Y9/Y8)</f>
        <v>1.2468569283859449E-2</v>
      </c>
      <c r="AA9" s="27">
        <f t="shared" ref="AA9:AA17" si="4">Z9</f>
        <v>1.2468569283859449E-2</v>
      </c>
    </row>
    <row r="10" spans="1:32" ht="15" x14ac:dyDescent="0.35">
      <c r="A10" s="13">
        <f>A9+1</f>
        <v>3</v>
      </c>
      <c r="B10" s="14" t="s">
        <v>12</v>
      </c>
      <c r="C10" s="15" t="s">
        <v>10</v>
      </c>
      <c r="D10" s="14"/>
      <c r="E10" s="28">
        <f>E52</f>
        <v>1.9568324380719627E-2</v>
      </c>
      <c r="F10" s="29">
        <f t="shared" ref="F10:P10" si="5">F52</f>
        <v>6.0841734377851267E-3</v>
      </c>
      <c r="G10" s="29">
        <f t="shared" si="5"/>
        <v>7.4889241787311281E-3</v>
      </c>
      <c r="H10" s="29">
        <f t="shared" si="5"/>
        <v>7.3303144322640328E-3</v>
      </c>
      <c r="I10" s="29">
        <f t="shared" si="5"/>
        <v>6.4429606706075419E-3</v>
      </c>
      <c r="J10" s="28">
        <f t="shared" si="5"/>
        <v>1.6328338927131564E-2</v>
      </c>
      <c r="K10" s="29">
        <f t="shared" si="5"/>
        <v>2.5780557640045443E-2</v>
      </c>
      <c r="L10" s="29">
        <f t="shared" si="5"/>
        <v>2.418717588504669E-2</v>
      </c>
      <c r="M10" s="29">
        <f t="shared" si="5"/>
        <v>2.4081763402441655E-2</v>
      </c>
      <c r="N10" s="29">
        <f t="shared" si="5"/>
        <v>2.4632982791475369E-2</v>
      </c>
      <c r="O10" s="29">
        <f t="shared" si="5"/>
        <v>2.6521085037965006E-2</v>
      </c>
      <c r="P10" s="30">
        <f t="shared" si="5"/>
        <v>2.4647456770583945E-2</v>
      </c>
      <c r="V10">
        <v>2017</v>
      </c>
      <c r="W10">
        <v>753</v>
      </c>
      <c r="X10">
        <v>766</v>
      </c>
      <c r="Y10">
        <f>0.25*W10+0.5*X10+0.25*W11</f>
        <v>768</v>
      </c>
      <c r="Z10" s="26">
        <f>LN(Y10/Y9)</f>
        <v>2.8394116168427002E-2</v>
      </c>
      <c r="AA10" s="27">
        <f t="shared" si="4"/>
        <v>2.8394116168427002E-2</v>
      </c>
    </row>
    <row r="11" spans="1:32" ht="15" x14ac:dyDescent="0.35">
      <c r="A11" s="19">
        <f>A10+1</f>
        <v>4</v>
      </c>
      <c r="B11" s="20" t="s">
        <v>13</v>
      </c>
      <c r="C11" s="21" t="s">
        <v>10</v>
      </c>
      <c r="D11" s="20"/>
      <c r="E11" s="31">
        <f>1+(E8+E10)</f>
        <v>1.0638219242026707</v>
      </c>
      <c r="F11" s="32">
        <f t="shared" ref="F11:P11" si="6">1+(F8+F10)</f>
        <v>1.0439744376979954</v>
      </c>
      <c r="G11" s="32">
        <f t="shared" si="6"/>
        <v>1.0488984522142897</v>
      </c>
      <c r="H11" s="32">
        <f t="shared" si="6"/>
        <v>1.0589112544423933</v>
      </c>
      <c r="I11" s="32">
        <f t="shared" si="6"/>
        <v>1.1431115037913835</v>
      </c>
      <c r="J11" s="33">
        <f t="shared" si="6"/>
        <v>1.2080982868578463</v>
      </c>
      <c r="K11" s="32">
        <f t="shared" si="6"/>
        <v>1.1031714070810046</v>
      </c>
      <c r="L11" s="32">
        <f t="shared" si="6"/>
        <v>1.0482871758850467</v>
      </c>
      <c r="M11" s="32">
        <f t="shared" si="6"/>
        <v>1.0519817634024418</v>
      </c>
      <c r="N11" s="32">
        <f t="shared" si="6"/>
        <v>1.0406329827914753</v>
      </c>
      <c r="O11" s="32">
        <f t="shared" si="6"/>
        <v>1.0453210850379651</v>
      </c>
      <c r="P11" s="34">
        <f t="shared" si="6"/>
        <v>1.0451474567705838</v>
      </c>
      <c r="V11">
        <v>2018</v>
      </c>
      <c r="W11">
        <v>787</v>
      </c>
      <c r="X11">
        <v>799</v>
      </c>
      <c r="Y11">
        <f>0.25*W11+0.5*X11+0.25*W12</f>
        <v>802.75</v>
      </c>
      <c r="Z11" s="26">
        <f>LN(Y11/Y10)</f>
        <v>4.4253599821951074E-2</v>
      </c>
      <c r="AA11" s="27">
        <f t="shared" si="4"/>
        <v>4.4253599821951074E-2</v>
      </c>
    </row>
    <row r="12" spans="1:32" ht="15" x14ac:dyDescent="0.35">
      <c r="A12" s="19"/>
      <c r="B12" s="20"/>
      <c r="C12" s="21"/>
      <c r="D12" s="22"/>
      <c r="E12" s="35"/>
      <c r="F12" s="36"/>
      <c r="G12" s="36"/>
      <c r="H12" s="36"/>
      <c r="I12" s="36"/>
      <c r="J12" s="35"/>
      <c r="K12" s="36"/>
      <c r="L12" s="36"/>
      <c r="M12" s="36"/>
      <c r="N12" s="36"/>
      <c r="O12" s="36"/>
      <c r="P12" s="37"/>
      <c r="V12">
        <v>2019</v>
      </c>
      <c r="W12">
        <v>826</v>
      </c>
      <c r="X12">
        <v>827</v>
      </c>
      <c r="Y12">
        <f t="shared" ref="Y12:Y17" si="7">0.25*W12+0.5*X12+0.25*W13</f>
        <v>833.75</v>
      </c>
      <c r="Z12" s="26">
        <f>LN(Y12/Y11)</f>
        <v>3.7890264260210214E-2</v>
      </c>
      <c r="AA12" s="27">
        <f t="shared" si="4"/>
        <v>3.7890264260210214E-2</v>
      </c>
    </row>
    <row r="13" spans="1:32" ht="15.6" x14ac:dyDescent="0.3">
      <c r="A13" s="38"/>
      <c r="B13" s="39"/>
      <c r="C13" s="40"/>
      <c r="D13" s="38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V13">
        <v>2020</v>
      </c>
      <c r="W13">
        <v>855</v>
      </c>
      <c r="X13">
        <v>870</v>
      </c>
      <c r="Y13">
        <f t="shared" si="7"/>
        <v>869</v>
      </c>
      <c r="Z13" s="26">
        <f t="shared" ref="Z13:Z17" si="8">LN(Y13/Y12)</f>
        <v>4.1409528035558509E-2</v>
      </c>
      <c r="AA13" s="27">
        <f t="shared" si="4"/>
        <v>4.1409528035558509E-2</v>
      </c>
    </row>
    <row r="14" spans="1:32" ht="15.6" x14ac:dyDescent="0.3">
      <c r="A14" s="42" t="s">
        <v>14</v>
      </c>
      <c r="B14" s="40"/>
      <c r="C14" s="40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V14">
        <v>2021</v>
      </c>
      <c r="W14">
        <v>881</v>
      </c>
      <c r="X14">
        <v>906</v>
      </c>
      <c r="Y14">
        <f t="shared" si="7"/>
        <v>915</v>
      </c>
      <c r="Z14" s="26">
        <f t="shared" si="8"/>
        <v>5.1580940010129216E-2</v>
      </c>
      <c r="AA14" s="27">
        <f t="shared" si="4"/>
        <v>5.1580940010129216E-2</v>
      </c>
    </row>
    <row r="15" spans="1:32" x14ac:dyDescent="0.3">
      <c r="A15" s="38" t="s">
        <v>15</v>
      </c>
      <c r="V15">
        <v>2022</v>
      </c>
      <c r="W15">
        <v>967</v>
      </c>
      <c r="X15">
        <v>1002</v>
      </c>
      <c r="Y15">
        <f t="shared" si="7"/>
        <v>1049</v>
      </c>
      <c r="Z15" s="26">
        <f t="shared" si="8"/>
        <v>0.13666854312077589</v>
      </c>
      <c r="AA15" s="27">
        <f t="shared" si="4"/>
        <v>0.13666854312077589</v>
      </c>
      <c r="AB15" s="43"/>
      <c r="AC15" s="43"/>
      <c r="AD15" s="43"/>
      <c r="AE15" s="43"/>
      <c r="AF15" s="43"/>
    </row>
    <row r="16" spans="1:32" x14ac:dyDescent="0.3">
      <c r="A16" s="38" t="s">
        <v>16</v>
      </c>
      <c r="V16">
        <v>2023</v>
      </c>
      <c r="W16">
        <v>1225</v>
      </c>
      <c r="X16">
        <v>1255</v>
      </c>
      <c r="Y16">
        <f t="shared" si="7"/>
        <v>1270.75</v>
      </c>
      <c r="Z16" s="26">
        <f t="shared" si="8"/>
        <v>0.19176994793071475</v>
      </c>
      <c r="AA16" s="27">
        <f t="shared" si="4"/>
        <v>0.19176994793071475</v>
      </c>
      <c r="AB16" s="43"/>
      <c r="AC16" s="43"/>
      <c r="AD16" s="43"/>
      <c r="AE16" s="43"/>
      <c r="AF16" s="43"/>
    </row>
    <row r="17" spans="1:27" x14ac:dyDescent="0.3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V17">
        <v>2024</v>
      </c>
      <c r="W17">
        <v>1348</v>
      </c>
      <c r="X17">
        <v>1377</v>
      </c>
      <c r="Y17">
        <f t="shared" si="7"/>
        <v>1373</v>
      </c>
      <c r="Z17" s="26">
        <f t="shared" si="8"/>
        <v>7.7390849440959072E-2</v>
      </c>
      <c r="AA17" s="27">
        <f t="shared" si="4"/>
        <v>7.7390849440959072E-2</v>
      </c>
    </row>
    <row r="18" spans="1:27" x14ac:dyDescent="0.3">
      <c r="A18" s="257" t="s">
        <v>17</v>
      </c>
      <c r="B18" s="257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V18">
        <v>2025</v>
      </c>
      <c r="W18" s="45">
        <v>1390</v>
      </c>
      <c r="Y18" s="27"/>
    </row>
    <row r="19" spans="1:27" x14ac:dyDescent="0.3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</row>
    <row r="20" spans="1:27" ht="17.399999999999999" x14ac:dyDescent="0.3">
      <c r="A20" s="253" t="s">
        <v>18</v>
      </c>
      <c r="B20" s="253"/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</row>
    <row r="21" spans="1:27" x14ac:dyDescent="0.3">
      <c r="B21" s="47"/>
      <c r="C21" s="47"/>
      <c r="D21" s="4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27" ht="15.6" x14ac:dyDescent="0.3">
      <c r="A22" s="38"/>
      <c r="B22" s="48"/>
      <c r="C22" s="48"/>
      <c r="D22" s="48"/>
      <c r="E22" s="263" t="s">
        <v>2</v>
      </c>
      <c r="F22" s="264"/>
      <c r="G22" s="264"/>
      <c r="H22" s="264"/>
      <c r="I22" s="264"/>
      <c r="J22" s="265" t="s">
        <v>3</v>
      </c>
      <c r="K22" s="266"/>
      <c r="L22" s="266"/>
      <c r="M22" s="266"/>
      <c r="N22" s="266"/>
      <c r="O22" s="266"/>
      <c r="P22" s="267"/>
    </row>
    <row r="23" spans="1:27" ht="27.6" x14ac:dyDescent="0.3">
      <c r="A23" s="6" t="s">
        <v>5</v>
      </c>
      <c r="B23" s="49"/>
      <c r="C23" s="48"/>
      <c r="D23" s="48"/>
      <c r="E23" s="50">
        <v>2020</v>
      </c>
      <c r="F23" s="51">
        <v>2021</v>
      </c>
      <c r="G23" s="51">
        <v>2022</v>
      </c>
      <c r="H23" s="51">
        <v>2023</v>
      </c>
      <c r="I23" s="51">
        <v>2024</v>
      </c>
      <c r="J23" s="50">
        <v>2025</v>
      </c>
      <c r="K23" s="51">
        <v>2026</v>
      </c>
      <c r="L23" s="52">
        <v>2027</v>
      </c>
      <c r="M23" s="51">
        <v>2028</v>
      </c>
      <c r="N23" s="51">
        <v>2029</v>
      </c>
      <c r="O23" s="51">
        <v>2030</v>
      </c>
      <c r="P23" s="53">
        <v>2031</v>
      </c>
    </row>
    <row r="24" spans="1:27" x14ac:dyDescent="0.3">
      <c r="A24" s="13">
        <v>1</v>
      </c>
      <c r="B24" s="54" t="s">
        <v>19</v>
      </c>
      <c r="C24" s="55"/>
      <c r="D24" s="55"/>
      <c r="E24" s="56">
        <v>7.0000000000000007E-2</v>
      </c>
      <c r="F24" s="57">
        <v>3.5000000000000003E-2</v>
      </c>
      <c r="G24" s="57">
        <v>2.3E-2</v>
      </c>
      <c r="H24" s="57">
        <v>3.2000000000000001E-2</v>
      </c>
      <c r="I24" s="57">
        <v>4.9000000000000002E-2</v>
      </c>
      <c r="J24" s="56">
        <v>2.1999999999999999E-2</v>
      </c>
      <c r="K24" s="57">
        <v>2.3E-2</v>
      </c>
      <c r="L24" s="57">
        <v>2.3E-2</v>
      </c>
      <c r="M24" s="57">
        <v>2.3E-2</v>
      </c>
      <c r="N24" s="57">
        <v>2.4E-2</v>
      </c>
      <c r="O24" s="57">
        <v>2.5000000000000001E-2</v>
      </c>
      <c r="P24" s="58">
        <v>2.5000000000000001E-2</v>
      </c>
    </row>
    <row r="25" spans="1:27" x14ac:dyDescent="0.3">
      <c r="A25" s="19">
        <f>A24+1</f>
        <v>2</v>
      </c>
      <c r="B25" s="59" t="s">
        <v>20</v>
      </c>
      <c r="C25" s="38"/>
      <c r="D25" s="38"/>
      <c r="E25" s="60">
        <v>0.3</v>
      </c>
      <c r="F25" s="61">
        <f>E25</f>
        <v>0.3</v>
      </c>
      <c r="G25" s="61">
        <f t="shared" ref="G25:P25" si="9">F25</f>
        <v>0.3</v>
      </c>
      <c r="H25" s="61">
        <f t="shared" si="9"/>
        <v>0.3</v>
      </c>
      <c r="I25" s="61">
        <f t="shared" si="9"/>
        <v>0.3</v>
      </c>
      <c r="J25" s="60">
        <f t="shared" si="9"/>
        <v>0.3</v>
      </c>
      <c r="K25" s="61">
        <f t="shared" si="9"/>
        <v>0.3</v>
      </c>
      <c r="L25" s="61">
        <f t="shared" si="9"/>
        <v>0.3</v>
      </c>
      <c r="M25" s="61">
        <f t="shared" si="9"/>
        <v>0.3</v>
      </c>
      <c r="N25" s="61">
        <f t="shared" si="9"/>
        <v>0.3</v>
      </c>
      <c r="O25" s="61">
        <f t="shared" si="9"/>
        <v>0.3</v>
      </c>
      <c r="P25" s="62">
        <f t="shared" si="9"/>
        <v>0.3</v>
      </c>
    </row>
    <row r="26" spans="1:27" ht="27.6" x14ac:dyDescent="0.3">
      <c r="A26" s="63">
        <f>A25+1</f>
        <v>3</v>
      </c>
      <c r="B26" s="64" t="s">
        <v>21</v>
      </c>
      <c r="C26" s="55"/>
      <c r="D26" s="55"/>
      <c r="E26" s="56">
        <v>1.7000000000000001E-2</v>
      </c>
      <c r="F26" s="57">
        <v>3.7999999999999999E-2</v>
      </c>
      <c r="G26" s="57">
        <v>5.8999999999999997E-2</v>
      </c>
      <c r="H26" s="57">
        <v>3.6999999999999998E-2</v>
      </c>
      <c r="I26" s="57">
        <v>3.2000000000000001E-2</v>
      </c>
      <c r="J26" s="56">
        <v>2.5000000000000001E-2</v>
      </c>
      <c r="K26" s="57">
        <v>0.03</v>
      </c>
      <c r="L26" s="57">
        <v>1.2999999999999999E-2</v>
      </c>
      <c r="M26" s="57">
        <v>1.7000000000000001E-2</v>
      </c>
      <c r="N26" s="57">
        <v>1.9E-2</v>
      </c>
      <c r="O26" s="57">
        <v>1.9E-2</v>
      </c>
      <c r="P26" s="58">
        <v>0.02</v>
      </c>
    </row>
    <row r="27" spans="1:27" x14ac:dyDescent="0.3">
      <c r="A27" s="19">
        <f>A26+1</f>
        <v>4</v>
      </c>
      <c r="B27" s="59" t="s">
        <v>22</v>
      </c>
      <c r="C27" s="38"/>
      <c r="D27" s="38"/>
      <c r="E27" s="60">
        <v>0.7</v>
      </c>
      <c r="F27" s="61">
        <f>E27</f>
        <v>0.7</v>
      </c>
      <c r="G27" s="61">
        <f t="shared" ref="G27:P27" si="10">F27</f>
        <v>0.7</v>
      </c>
      <c r="H27" s="61">
        <f t="shared" si="10"/>
        <v>0.7</v>
      </c>
      <c r="I27" s="61">
        <f>H27</f>
        <v>0.7</v>
      </c>
      <c r="J27" s="60">
        <f t="shared" si="10"/>
        <v>0.7</v>
      </c>
      <c r="K27" s="61">
        <f t="shared" si="10"/>
        <v>0.7</v>
      </c>
      <c r="L27" s="61">
        <f t="shared" si="10"/>
        <v>0.7</v>
      </c>
      <c r="M27" s="61">
        <f t="shared" si="10"/>
        <v>0.7</v>
      </c>
      <c r="N27" s="61">
        <f t="shared" si="10"/>
        <v>0.7</v>
      </c>
      <c r="O27" s="61">
        <f t="shared" si="10"/>
        <v>0.7</v>
      </c>
      <c r="P27" s="62">
        <f t="shared" si="10"/>
        <v>0.7</v>
      </c>
    </row>
    <row r="28" spans="1:27" ht="8.25" customHeight="1" x14ac:dyDescent="0.3">
      <c r="A28" s="38"/>
      <c r="B28" s="38"/>
      <c r="C28" s="38"/>
      <c r="D28" s="38"/>
      <c r="E28" s="65"/>
      <c r="F28" s="66"/>
      <c r="G28" s="66"/>
      <c r="H28" s="66"/>
      <c r="I28" s="66"/>
      <c r="J28" s="65"/>
      <c r="K28" s="66"/>
      <c r="L28" s="66"/>
      <c r="M28" s="66"/>
      <c r="N28" s="66"/>
      <c r="O28" s="66"/>
      <c r="P28" s="67"/>
    </row>
    <row r="29" spans="1:27" ht="15.6" x14ac:dyDescent="0.3">
      <c r="A29" s="68"/>
      <c r="B29" s="69" t="s">
        <v>23</v>
      </c>
      <c r="C29" s="69"/>
      <c r="D29" s="69"/>
      <c r="E29" s="70">
        <f>AA11</f>
        <v>4.4253599821951074E-2</v>
      </c>
      <c r="F29" s="71">
        <f>AA12</f>
        <v>3.7890264260210214E-2</v>
      </c>
      <c r="G29" s="71">
        <f>AA13</f>
        <v>4.1409528035558509E-2</v>
      </c>
      <c r="H29" s="71">
        <f>AA14</f>
        <v>5.1580940010129216E-2</v>
      </c>
      <c r="I29" s="72">
        <f>AA15</f>
        <v>0.13666854312077589</v>
      </c>
      <c r="J29" s="73">
        <f>AA16</f>
        <v>0.19176994793071475</v>
      </c>
      <c r="K29" s="74">
        <f>AA17</f>
        <v>7.7390849440959072E-2</v>
      </c>
      <c r="L29" s="74">
        <f t="shared" ref="L29" si="11">J24*J25+J26*J27</f>
        <v>2.4099999999999996E-2</v>
      </c>
      <c r="M29" s="74">
        <f>K24*K25+K26*K27</f>
        <v>2.7899999999999998E-2</v>
      </c>
      <c r="N29" s="74">
        <f>L24*L25+L26*L27</f>
        <v>1.6E-2</v>
      </c>
      <c r="O29" s="74">
        <f>M24*M25+M26*M27</f>
        <v>1.8800000000000001E-2</v>
      </c>
      <c r="P29" s="75">
        <f t="shared" ref="P29" si="12">N24*N25+N26*N27</f>
        <v>2.0499999999999997E-2</v>
      </c>
      <c r="R29" t="s">
        <v>24</v>
      </c>
    </row>
    <row r="30" spans="1:27" ht="9" customHeight="1" x14ac:dyDescent="0.3">
      <c r="A30" s="38"/>
      <c r="B30" s="39"/>
      <c r="C30" s="40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</row>
    <row r="31" spans="1:27" ht="15.6" x14ac:dyDescent="0.3">
      <c r="A31" s="42" t="s">
        <v>14</v>
      </c>
      <c r="B31" s="40"/>
      <c r="C31" s="40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</row>
    <row r="32" spans="1:27" ht="15.6" x14ac:dyDescent="0.3">
      <c r="B32" s="40"/>
      <c r="C32" s="40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</row>
    <row r="33" spans="1:32" ht="43.8" customHeight="1" x14ac:dyDescent="0.3">
      <c r="A33" s="268" t="s">
        <v>25</v>
      </c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</row>
    <row r="34" spans="1:32" ht="13.5" customHeight="1" x14ac:dyDescent="0.3">
      <c r="A34" s="76" t="s">
        <v>26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</row>
    <row r="35" spans="1:32" ht="21.6" customHeight="1" x14ac:dyDescent="0.3">
      <c r="A35" s="269" t="s">
        <v>27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AE35" t="s">
        <v>28</v>
      </c>
    </row>
    <row r="36" spans="1:32" ht="43.95" customHeight="1" x14ac:dyDescent="0.3">
      <c r="A36" s="269" t="s">
        <v>29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AD36" s="43">
        <v>2008</v>
      </c>
      <c r="AE36" s="43">
        <v>5066.9719999999998</v>
      </c>
      <c r="AF36" s="43">
        <f>AE36</f>
        <v>5066.9719999999998</v>
      </c>
    </row>
    <row r="37" spans="1:32" x14ac:dyDescent="0.3">
      <c r="AD37" s="43">
        <v>2009</v>
      </c>
      <c r="AE37" s="43">
        <v>5280.4170000000004</v>
      </c>
      <c r="AF37" s="43">
        <f>MAX(AF36,AE37)</f>
        <v>5280.4170000000004</v>
      </c>
    </row>
    <row r="38" spans="1:32" x14ac:dyDescent="0.3">
      <c r="A38" s="257" t="s">
        <v>30</v>
      </c>
      <c r="B38" s="257"/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U38" t="s">
        <v>31</v>
      </c>
      <c r="AD38" s="43">
        <v>2010</v>
      </c>
      <c r="AE38" s="43">
        <v>5618.8469999999998</v>
      </c>
      <c r="AF38" s="43">
        <f t="shared" ref="AF38:AF60" si="13">MAX(AF37,AE38)</f>
        <v>5618.8469999999998</v>
      </c>
    </row>
    <row r="39" spans="1:32" x14ac:dyDescent="0.3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AD39" s="43">
        <v>2011</v>
      </c>
      <c r="AE39" s="43">
        <v>5777.6980000000003</v>
      </c>
      <c r="AF39" s="43">
        <f t="shared" si="13"/>
        <v>5777.6980000000003</v>
      </c>
    </row>
    <row r="40" spans="1:32" ht="17.399999999999999" x14ac:dyDescent="0.3">
      <c r="A40" s="253" t="s">
        <v>32</v>
      </c>
      <c r="B40" s="253"/>
      <c r="C40" s="253"/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3"/>
      <c r="O40" s="253"/>
      <c r="P40" s="253"/>
      <c r="T40" t="s">
        <v>33</v>
      </c>
      <c r="U40" t="s">
        <v>34</v>
      </c>
      <c r="V40" t="s">
        <v>35</v>
      </c>
      <c r="AD40" s="43">
        <v>2012</v>
      </c>
      <c r="AE40" s="43">
        <v>5693.875</v>
      </c>
      <c r="AF40" s="43">
        <f t="shared" si="13"/>
        <v>5777.6980000000003</v>
      </c>
    </row>
    <row r="41" spans="1:32" x14ac:dyDescent="0.3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AD41" s="43">
        <v>2013</v>
      </c>
      <c r="AE41" s="43">
        <v>5736.1530000000002</v>
      </c>
      <c r="AF41" s="43">
        <f t="shared" si="13"/>
        <v>5777.6980000000003</v>
      </c>
    </row>
    <row r="42" spans="1:32" ht="15.6" x14ac:dyDescent="0.3">
      <c r="A42" s="38"/>
      <c r="B42" s="48"/>
      <c r="C42" s="48"/>
      <c r="D42" s="48"/>
      <c r="E42" s="256" t="s">
        <v>2</v>
      </c>
      <c r="F42" s="258"/>
      <c r="G42" s="258"/>
      <c r="H42" s="258"/>
      <c r="I42" s="259"/>
      <c r="J42" s="260" t="s">
        <v>3</v>
      </c>
      <c r="K42" s="261"/>
      <c r="L42" s="261"/>
      <c r="M42" s="261"/>
      <c r="N42" s="261"/>
      <c r="O42" s="261"/>
      <c r="P42" s="262"/>
      <c r="W42" s="27"/>
      <c r="Y42" s="27"/>
      <c r="AA42" s="27"/>
      <c r="AD42" s="43">
        <v>2014</v>
      </c>
      <c r="AE42" s="43">
        <v>5003.8980000000001</v>
      </c>
      <c r="AF42" s="43">
        <f t="shared" si="13"/>
        <v>5777.6980000000003</v>
      </c>
    </row>
    <row r="43" spans="1:32" ht="27.6" x14ac:dyDescent="0.3">
      <c r="A43" s="6" t="s">
        <v>5</v>
      </c>
      <c r="B43" s="49"/>
      <c r="C43" s="48"/>
      <c r="D43" s="48"/>
      <c r="E43" s="77">
        <v>2020</v>
      </c>
      <c r="F43" s="78">
        <v>2021</v>
      </c>
      <c r="G43" s="78">
        <v>2022</v>
      </c>
      <c r="H43" s="78">
        <v>2023</v>
      </c>
      <c r="I43" s="78">
        <v>2024</v>
      </c>
      <c r="J43" s="77">
        <v>2025</v>
      </c>
      <c r="K43" s="78">
        <v>2026</v>
      </c>
      <c r="L43" s="79">
        <v>2027</v>
      </c>
      <c r="M43" s="78">
        <v>2028</v>
      </c>
      <c r="N43" s="78">
        <v>2029</v>
      </c>
      <c r="O43" s="78">
        <v>2030</v>
      </c>
      <c r="P43" s="80">
        <v>2031</v>
      </c>
      <c r="S43" s="248"/>
      <c r="T43" s="248"/>
      <c r="U43" s="249"/>
      <c r="V43" s="248"/>
      <c r="W43" s="250"/>
      <c r="Y43" s="27"/>
      <c r="AA43" s="27"/>
      <c r="AD43" s="43">
        <v>2015</v>
      </c>
      <c r="AE43" s="43">
        <v>5242.817</v>
      </c>
      <c r="AF43" s="43">
        <f t="shared" si="13"/>
        <v>5777.6980000000003</v>
      </c>
    </row>
    <row r="44" spans="1:32" s="228" customFormat="1" x14ac:dyDescent="0.3">
      <c r="A44" s="288">
        <v>1</v>
      </c>
      <c r="B44" s="281" t="s">
        <v>36</v>
      </c>
      <c r="C44" s="233"/>
      <c r="D44" s="234">
        <v>167653</v>
      </c>
      <c r="E44" s="235"/>
      <c r="F44" s="234"/>
      <c r="G44" s="234"/>
      <c r="H44" s="234"/>
      <c r="I44" s="234"/>
      <c r="J44" s="235"/>
      <c r="K44" s="234"/>
      <c r="L44" s="234"/>
      <c r="M44" s="234"/>
      <c r="N44" s="234"/>
      <c r="O44" s="234"/>
      <c r="P44" s="236"/>
      <c r="S44" s="247"/>
      <c r="T44" s="247"/>
      <c r="U44" s="251"/>
      <c r="V44" s="251"/>
      <c r="W44" s="252"/>
      <c r="Y44" s="229"/>
      <c r="AA44" s="229"/>
      <c r="AB44" s="230"/>
      <c r="AC44" s="231"/>
      <c r="AD44" s="231">
        <v>2016</v>
      </c>
      <c r="AE44" s="231">
        <v>5160</v>
      </c>
      <c r="AF44" s="231">
        <f t="shared" si="13"/>
        <v>5777.6980000000003</v>
      </c>
    </row>
    <row r="45" spans="1:32" s="228" customFormat="1" x14ac:dyDescent="0.3">
      <c r="A45" s="287">
        <f>A44+1</f>
        <v>2</v>
      </c>
      <c r="B45" s="281" t="s">
        <v>37</v>
      </c>
      <c r="C45" s="237"/>
      <c r="D45" s="233"/>
      <c r="E45" s="238"/>
      <c r="F45" s="239"/>
      <c r="G45" s="239"/>
      <c r="H45" s="239"/>
      <c r="I45" s="239"/>
      <c r="J45" s="238"/>
      <c r="K45" s="239"/>
      <c r="L45" s="239"/>
      <c r="M45" s="239"/>
      <c r="N45" s="239"/>
      <c r="O45" s="239"/>
      <c r="P45" s="240"/>
      <c r="S45" s="247"/>
      <c r="T45" s="247"/>
      <c r="U45" s="251"/>
      <c r="V45" s="251"/>
      <c r="W45" s="252"/>
      <c r="Y45" s="229"/>
      <c r="AA45" s="229"/>
      <c r="AB45" s="231"/>
      <c r="AC45" s="231"/>
      <c r="AD45" s="231">
        <v>2017</v>
      </c>
      <c r="AE45" s="231">
        <v>4895</v>
      </c>
      <c r="AF45" s="231">
        <f t="shared" si="13"/>
        <v>5777.6980000000003</v>
      </c>
    </row>
    <row r="46" spans="1:32" s="228" customFormat="1" x14ac:dyDescent="0.3">
      <c r="A46" s="287">
        <f t="shared" ref="A46:A50" si="14">A45+1</f>
        <v>3</v>
      </c>
      <c r="B46" s="281" t="s">
        <v>38</v>
      </c>
      <c r="C46" s="282"/>
      <c r="D46" s="283"/>
      <c r="E46" s="284">
        <f>W60</f>
        <v>0.5</v>
      </c>
      <c r="F46" s="285">
        <f t="shared" ref="F46:P46" si="15">E46</f>
        <v>0.5</v>
      </c>
      <c r="G46" s="285">
        <f t="shared" si="15"/>
        <v>0.5</v>
      </c>
      <c r="H46" s="285">
        <f t="shared" si="15"/>
        <v>0.5</v>
      </c>
      <c r="I46" s="285">
        <f t="shared" si="15"/>
        <v>0.5</v>
      </c>
      <c r="J46" s="284">
        <f t="shared" si="15"/>
        <v>0.5</v>
      </c>
      <c r="K46" s="285">
        <f t="shared" si="15"/>
        <v>0.5</v>
      </c>
      <c r="L46" s="285">
        <f t="shared" si="15"/>
        <v>0.5</v>
      </c>
      <c r="M46" s="285">
        <f t="shared" si="15"/>
        <v>0.5</v>
      </c>
      <c r="N46" s="285">
        <f t="shared" si="15"/>
        <v>0.5</v>
      </c>
      <c r="O46" s="285">
        <f t="shared" si="15"/>
        <v>0.5</v>
      </c>
      <c r="P46" s="286">
        <f t="shared" si="15"/>
        <v>0.5</v>
      </c>
      <c r="S46" s="247"/>
      <c r="T46" s="247"/>
      <c r="U46" s="251"/>
      <c r="V46" s="251"/>
      <c r="W46" s="252"/>
      <c r="Y46" s="229"/>
      <c r="AA46" s="229"/>
      <c r="AB46" s="231"/>
      <c r="AC46" s="231"/>
      <c r="AD46" s="231">
        <v>2018</v>
      </c>
      <c r="AE46" s="231">
        <v>5144</v>
      </c>
      <c r="AF46" s="231">
        <f t="shared" si="13"/>
        <v>5777.6980000000003</v>
      </c>
    </row>
    <row r="47" spans="1:32" s="228" customFormat="1" x14ac:dyDescent="0.3">
      <c r="A47" s="287">
        <f t="shared" si="14"/>
        <v>4</v>
      </c>
      <c r="B47" s="281" t="s">
        <v>39</v>
      </c>
      <c r="C47" s="237"/>
      <c r="D47" s="233"/>
      <c r="E47" s="241"/>
      <c r="F47" s="234"/>
      <c r="G47" s="234"/>
      <c r="H47" s="234"/>
      <c r="I47" s="234"/>
      <c r="J47" s="241"/>
      <c r="K47" s="234"/>
      <c r="L47" s="234"/>
      <c r="M47" s="234"/>
      <c r="N47" s="234"/>
      <c r="O47" s="234"/>
      <c r="P47" s="242"/>
      <c r="S47" s="247"/>
      <c r="T47" s="247"/>
      <c r="U47" s="251"/>
      <c r="V47" s="251"/>
      <c r="W47" s="252"/>
      <c r="Y47" s="229"/>
      <c r="AA47" s="229"/>
      <c r="AB47" s="231"/>
      <c r="AC47" s="231"/>
      <c r="AD47" s="231">
        <v>2019</v>
      </c>
      <c r="AE47" s="231">
        <v>5131</v>
      </c>
      <c r="AF47" s="231">
        <f t="shared" si="13"/>
        <v>5777.6980000000003</v>
      </c>
    </row>
    <row r="48" spans="1:32" s="228" customFormat="1" x14ac:dyDescent="0.3">
      <c r="A48" s="287">
        <f t="shared" si="14"/>
        <v>5</v>
      </c>
      <c r="B48" s="281" t="s">
        <v>40</v>
      </c>
      <c r="C48" s="237"/>
      <c r="D48" s="243">
        <v>735</v>
      </c>
      <c r="E48" s="244"/>
      <c r="F48" s="245"/>
      <c r="G48" s="245"/>
      <c r="H48" s="245"/>
      <c r="I48" s="245"/>
      <c r="J48" s="244"/>
      <c r="K48" s="245"/>
      <c r="L48" s="245"/>
      <c r="M48" s="245"/>
      <c r="N48" s="245"/>
      <c r="O48" s="245"/>
      <c r="P48" s="246"/>
      <c r="S48" s="247"/>
      <c r="T48" s="247"/>
      <c r="U48" s="251"/>
      <c r="V48" s="251"/>
      <c r="W48" s="252"/>
      <c r="Y48" s="229"/>
      <c r="AA48" s="229"/>
      <c r="AB48" s="231"/>
      <c r="AC48" s="231"/>
      <c r="AD48" s="231">
        <v>2020</v>
      </c>
      <c r="AE48" s="231">
        <v>5720</v>
      </c>
      <c r="AF48" s="231">
        <f t="shared" si="13"/>
        <v>5777.6980000000003</v>
      </c>
    </row>
    <row r="49" spans="1:32" s="228" customFormat="1" x14ac:dyDescent="0.3">
      <c r="A49" s="287">
        <f t="shared" si="14"/>
        <v>6</v>
      </c>
      <c r="B49" s="281" t="s">
        <v>41</v>
      </c>
      <c r="C49" s="237"/>
      <c r="D49" s="233"/>
      <c r="E49" s="238"/>
      <c r="F49" s="239"/>
      <c r="G49" s="239"/>
      <c r="H49" s="239"/>
      <c r="I49" s="239"/>
      <c r="J49" s="238"/>
      <c r="K49" s="239"/>
      <c r="L49" s="239"/>
      <c r="M49" s="239"/>
      <c r="N49" s="239"/>
      <c r="O49" s="239"/>
      <c r="P49" s="240"/>
      <c r="S49" s="247"/>
      <c r="T49" s="247"/>
      <c r="U49" s="251"/>
      <c r="V49" s="251"/>
      <c r="W49" s="252"/>
      <c r="Y49" s="229"/>
      <c r="AA49" s="229"/>
      <c r="AB49" s="231"/>
      <c r="AC49" s="231"/>
      <c r="AD49" s="231">
        <v>2021</v>
      </c>
      <c r="AE49" s="231">
        <v>5330</v>
      </c>
      <c r="AF49" s="231">
        <f t="shared" si="13"/>
        <v>5777.6980000000003</v>
      </c>
    </row>
    <row r="50" spans="1:32" s="228" customFormat="1" x14ac:dyDescent="0.3">
      <c r="A50" s="287">
        <f t="shared" si="14"/>
        <v>7</v>
      </c>
      <c r="B50" s="281" t="s">
        <v>42</v>
      </c>
      <c r="C50" s="282"/>
      <c r="D50" s="283"/>
      <c r="E50" s="284">
        <f>W61</f>
        <v>0.5</v>
      </c>
      <c r="F50" s="285">
        <f t="shared" ref="F50:P50" si="16">E50</f>
        <v>0.5</v>
      </c>
      <c r="G50" s="285">
        <f t="shared" si="16"/>
        <v>0.5</v>
      </c>
      <c r="H50" s="285">
        <f t="shared" si="16"/>
        <v>0.5</v>
      </c>
      <c r="I50" s="285">
        <f t="shared" si="16"/>
        <v>0.5</v>
      </c>
      <c r="J50" s="284">
        <f t="shared" si="16"/>
        <v>0.5</v>
      </c>
      <c r="K50" s="285">
        <f t="shared" si="16"/>
        <v>0.5</v>
      </c>
      <c r="L50" s="285">
        <f t="shared" si="16"/>
        <v>0.5</v>
      </c>
      <c r="M50" s="285">
        <f t="shared" si="16"/>
        <v>0.5</v>
      </c>
      <c r="N50" s="285">
        <f t="shared" si="16"/>
        <v>0.5</v>
      </c>
      <c r="O50" s="285">
        <f t="shared" si="16"/>
        <v>0.5</v>
      </c>
      <c r="P50" s="286">
        <f t="shared" si="16"/>
        <v>0.5</v>
      </c>
      <c r="S50" s="247"/>
      <c r="T50" s="247"/>
      <c r="U50" s="251"/>
      <c r="V50" s="251"/>
      <c r="W50" s="252"/>
      <c r="Y50" s="229"/>
      <c r="AA50" s="229"/>
      <c r="AB50" s="231"/>
      <c r="AC50" s="231"/>
      <c r="AD50" s="231">
        <v>2022</v>
      </c>
      <c r="AE50" s="231">
        <v>5423</v>
      </c>
      <c r="AF50" s="231">
        <f t="shared" si="13"/>
        <v>5777.6980000000003</v>
      </c>
    </row>
    <row r="51" spans="1:32" s="228" customFormat="1" x14ac:dyDescent="0.3">
      <c r="A51" s="282"/>
      <c r="B51" s="282"/>
      <c r="C51" s="282"/>
      <c r="D51" s="283"/>
      <c r="E51" s="301"/>
      <c r="F51" s="302"/>
      <c r="G51" s="302"/>
      <c r="H51" s="302"/>
      <c r="I51" s="302"/>
      <c r="J51" s="301"/>
      <c r="K51" s="302"/>
      <c r="L51" s="302"/>
      <c r="M51" s="302"/>
      <c r="N51" s="302"/>
      <c r="O51" s="302"/>
      <c r="P51" s="303"/>
      <c r="S51" s="247"/>
      <c r="T51" s="247"/>
      <c r="U51" s="251"/>
      <c r="V51" s="251"/>
      <c r="W51" s="252"/>
      <c r="Y51" s="229"/>
      <c r="AA51" s="229"/>
      <c r="AB51" s="231"/>
      <c r="AC51" s="231"/>
      <c r="AD51" s="231">
        <v>2023</v>
      </c>
      <c r="AE51" s="231">
        <v>5239</v>
      </c>
      <c r="AF51" s="231">
        <f t="shared" si="13"/>
        <v>5777.6980000000003</v>
      </c>
    </row>
    <row r="52" spans="1:32" s="228" customFormat="1" ht="15.6" x14ac:dyDescent="0.3">
      <c r="A52" s="289"/>
      <c r="B52" s="294" t="s">
        <v>43</v>
      </c>
      <c r="C52" s="294"/>
      <c r="D52" s="294"/>
      <c r="E52" s="295">
        <v>1.9568324380719627E-2</v>
      </c>
      <c r="F52" s="296">
        <v>6.0841734377851267E-3</v>
      </c>
      <c r="G52" s="296">
        <v>7.4889241787311281E-3</v>
      </c>
      <c r="H52" s="296">
        <v>7.3303144322640328E-3</v>
      </c>
      <c r="I52" s="296">
        <v>6.4429606706075419E-3</v>
      </c>
      <c r="J52" s="295">
        <v>1.6328338927131564E-2</v>
      </c>
      <c r="K52" s="296">
        <v>2.5780557640045443E-2</v>
      </c>
      <c r="L52" s="296">
        <v>2.418717588504669E-2</v>
      </c>
      <c r="M52" s="296">
        <v>2.4081763402441655E-2</v>
      </c>
      <c r="N52" s="296">
        <v>2.4632982791475369E-2</v>
      </c>
      <c r="O52" s="296">
        <v>2.6521085037965006E-2</v>
      </c>
      <c r="P52" s="297">
        <v>2.4647456770583945E-2</v>
      </c>
      <c r="S52" s="247"/>
      <c r="T52" s="247"/>
      <c r="U52" s="251"/>
      <c r="V52" s="251"/>
      <c r="W52" s="252"/>
      <c r="Y52" s="229"/>
      <c r="AA52" s="229"/>
      <c r="AB52" s="231"/>
      <c r="AC52" s="231"/>
      <c r="AD52" s="231">
        <v>2024</v>
      </c>
      <c r="AE52" s="231">
        <v>5485</v>
      </c>
      <c r="AF52" s="231">
        <f t="shared" si="13"/>
        <v>5777.6980000000003</v>
      </c>
    </row>
    <row r="53" spans="1:32" s="228" customFormat="1" ht="15.6" x14ac:dyDescent="0.3">
      <c r="A53" s="282"/>
      <c r="B53" s="299"/>
      <c r="C53" s="300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S53" s="247"/>
      <c r="T53" s="247"/>
      <c r="U53" s="251"/>
      <c r="V53" s="251"/>
      <c r="W53" s="247"/>
      <c r="AD53" s="228">
        <v>2025</v>
      </c>
      <c r="AE53" s="228">
        <v>5815</v>
      </c>
      <c r="AF53" s="228">
        <f t="shared" si="13"/>
        <v>5815</v>
      </c>
    </row>
    <row r="54" spans="1:32" s="228" customFormat="1" x14ac:dyDescent="0.3">
      <c r="A54" s="281" t="s">
        <v>14</v>
      </c>
      <c r="B54" s="298"/>
      <c r="C54" s="298"/>
      <c r="D54" s="298"/>
      <c r="E54" s="298"/>
      <c r="F54" s="298"/>
      <c r="G54" s="298"/>
      <c r="H54" s="298"/>
      <c r="I54" s="298"/>
      <c r="J54" s="298"/>
      <c r="K54" s="298"/>
      <c r="L54" s="298"/>
      <c r="M54" s="298"/>
      <c r="N54" s="298"/>
      <c r="O54" s="298"/>
      <c r="P54" s="298"/>
      <c r="S54" s="247"/>
      <c r="T54" s="247"/>
      <c r="U54" s="251"/>
      <c r="V54" s="251"/>
      <c r="W54" s="252"/>
      <c r="Y54" s="229"/>
      <c r="AA54" s="229"/>
      <c r="AB54" s="231"/>
      <c r="AC54" s="231"/>
      <c r="AD54" s="231">
        <v>2026</v>
      </c>
      <c r="AE54" s="231">
        <v>5990</v>
      </c>
      <c r="AF54" s="231">
        <f t="shared" si="13"/>
        <v>5990</v>
      </c>
    </row>
    <row r="55" spans="1:32" s="228" customFormat="1" x14ac:dyDescent="0.3">
      <c r="A55" s="282" t="s">
        <v>113</v>
      </c>
      <c r="B55" s="298"/>
      <c r="C55" s="298"/>
      <c r="D55" s="298"/>
      <c r="E55" s="298"/>
      <c r="F55" s="298"/>
      <c r="G55" s="298"/>
      <c r="H55" s="298"/>
      <c r="I55" s="298"/>
      <c r="J55" s="298"/>
      <c r="K55" s="298"/>
      <c r="L55" s="298"/>
      <c r="M55" s="298"/>
      <c r="N55" s="298"/>
      <c r="O55" s="298"/>
      <c r="P55" s="298"/>
      <c r="S55" s="247"/>
      <c r="T55" s="247"/>
      <c r="U55" s="251"/>
      <c r="V55" s="251"/>
      <c r="W55" s="252"/>
      <c r="Y55" s="229"/>
      <c r="AA55" s="229"/>
      <c r="AB55" s="232"/>
      <c r="AC55" s="231"/>
      <c r="AD55" s="231">
        <v>2027</v>
      </c>
      <c r="AE55" s="231">
        <v>6189</v>
      </c>
      <c r="AF55" s="231">
        <f t="shared" si="13"/>
        <v>6189</v>
      </c>
    </row>
    <row r="56" spans="1:32" s="228" customFormat="1" x14ac:dyDescent="0.3">
      <c r="A56" s="282" t="s">
        <v>44</v>
      </c>
      <c r="B56" s="298"/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298"/>
      <c r="O56" s="298"/>
      <c r="P56" s="298"/>
      <c r="S56" s="247"/>
      <c r="T56" s="247"/>
      <c r="U56" s="247"/>
      <c r="V56" s="247"/>
      <c r="W56" s="252"/>
      <c r="Y56" s="229"/>
      <c r="AA56" s="229"/>
      <c r="AB56" s="231"/>
      <c r="AC56" s="231"/>
      <c r="AD56" s="231"/>
      <c r="AE56" s="231"/>
      <c r="AF56" s="231"/>
    </row>
    <row r="57" spans="1:32" x14ac:dyDescent="0.3">
      <c r="A57" s="290"/>
      <c r="B57" s="291"/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S57" s="248"/>
      <c r="T57" s="248"/>
      <c r="U57" s="248"/>
      <c r="V57" s="248"/>
      <c r="W57" s="248"/>
      <c r="AD57" s="43">
        <v>2028</v>
      </c>
      <c r="AE57" s="43">
        <v>6416</v>
      </c>
      <c r="AF57" s="43">
        <f>MAX(AF55,AE57)</f>
        <v>6416</v>
      </c>
    </row>
    <row r="58" spans="1:32" x14ac:dyDescent="0.3">
      <c r="S58" s="291"/>
      <c r="T58" s="291"/>
      <c r="U58" s="291"/>
      <c r="V58" s="291"/>
      <c r="W58" s="291"/>
      <c r="AD58" s="43">
        <v>2029</v>
      </c>
      <c r="AE58" s="43">
        <v>6588</v>
      </c>
      <c r="AF58" s="43">
        <f t="shared" si="13"/>
        <v>6588</v>
      </c>
    </row>
    <row r="59" spans="1:32" x14ac:dyDescent="0.3">
      <c r="S59" s="291"/>
      <c r="T59" s="291" t="s">
        <v>45</v>
      </c>
      <c r="U59" s="291"/>
      <c r="V59" s="291"/>
      <c r="W59" s="292" t="s">
        <v>46</v>
      </c>
      <c r="AD59" s="43">
        <v>2030</v>
      </c>
      <c r="AE59" s="43">
        <v>6833</v>
      </c>
      <c r="AF59" s="43">
        <f t="shared" si="13"/>
        <v>6833</v>
      </c>
    </row>
    <row r="60" spans="1:32" x14ac:dyDescent="0.3">
      <c r="S60" s="291"/>
      <c r="T60" s="291" t="s">
        <v>47</v>
      </c>
      <c r="U60" s="291"/>
      <c r="V60" s="291">
        <v>0.497</v>
      </c>
      <c r="W60" s="291">
        <f>V60/V62</f>
        <v>0.5</v>
      </c>
      <c r="AD60" s="43">
        <v>2031</v>
      </c>
      <c r="AE60" s="43">
        <v>7061</v>
      </c>
      <c r="AF60" s="43">
        <f t="shared" si="13"/>
        <v>7061</v>
      </c>
    </row>
    <row r="61" spans="1:32" x14ac:dyDescent="0.3">
      <c r="S61" s="291"/>
      <c r="T61" s="291" t="s">
        <v>39</v>
      </c>
      <c r="U61" s="291"/>
      <c r="V61" s="291">
        <v>0.497</v>
      </c>
      <c r="W61" s="291">
        <f>1-W60</f>
        <v>0.5</v>
      </c>
    </row>
    <row r="62" spans="1:32" x14ac:dyDescent="0.3">
      <c r="S62" s="304"/>
      <c r="U62" s="291"/>
      <c r="V62" s="291">
        <f>V60+V61</f>
        <v>0.99399999999999999</v>
      </c>
      <c r="W62" s="291"/>
    </row>
    <row r="63" spans="1:32" x14ac:dyDescent="0.3">
      <c r="S63" s="306">
        <v>0.56212765077741667</v>
      </c>
      <c r="T63" s="305"/>
      <c r="U63" s="291"/>
      <c r="V63" s="291"/>
      <c r="W63" s="291"/>
    </row>
    <row r="64" spans="1:32" x14ac:dyDescent="0.3">
      <c r="S64" s="306">
        <v>0.69307032707615601</v>
      </c>
      <c r="T64" s="305">
        <v>0.25769894406528127</v>
      </c>
      <c r="U64" s="291"/>
      <c r="W64" s="291"/>
    </row>
    <row r="65" spans="19:23" x14ac:dyDescent="0.3">
      <c r="S65" s="293"/>
      <c r="T65" s="291"/>
      <c r="U65" s="291"/>
      <c r="V65" s="291"/>
      <c r="W65" s="291"/>
    </row>
  </sheetData>
  <mergeCells count="15">
    <mergeCell ref="A40:P40"/>
    <mergeCell ref="E42:I42"/>
    <mergeCell ref="J42:P42"/>
    <mergeCell ref="E22:I22"/>
    <mergeCell ref="J22:P22"/>
    <mergeCell ref="A33:P33"/>
    <mergeCell ref="A35:P35"/>
    <mergeCell ref="A36:P36"/>
    <mergeCell ref="A38:P38"/>
    <mergeCell ref="A20:P20"/>
    <mergeCell ref="A2:P2"/>
    <mergeCell ref="A4:P4"/>
    <mergeCell ref="E6:I6"/>
    <mergeCell ref="J6:P6"/>
    <mergeCell ref="A18:P18"/>
  </mergeCells>
  <pageMargins left="0.7" right="0.7" top="0.75" bottom="0.75" header="0.3" footer="0.3"/>
  <pageSetup scale="75" fitToHeight="0" orientation="landscape" r:id="rId1"/>
  <rowBreaks count="1" manualBreakCount="1">
    <brk id="37" max="15" man="1"/>
  </rowBreaks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45E2B-F3AF-4951-852A-F2F68B20120C}">
  <sheetPr>
    <pageSetUpPr fitToPage="1"/>
  </sheetPr>
  <dimension ref="A1:AK80"/>
  <sheetViews>
    <sheetView tabSelected="1" topLeftCell="A33" zoomScale="85" zoomScaleNormal="85" workbookViewId="0">
      <selection activeCell="I65" sqref="I65"/>
    </sheetView>
  </sheetViews>
  <sheetFormatPr defaultColWidth="9.44140625" defaultRowHeight="14.4" x14ac:dyDescent="0.3"/>
  <cols>
    <col min="1" max="1" width="19.33203125" style="81" customWidth="1"/>
    <col min="2" max="2" width="22.5546875" style="81" customWidth="1"/>
    <col min="3" max="3" width="9.44140625" style="81"/>
    <col min="4" max="4" width="38.44140625" style="81" customWidth="1"/>
    <col min="5" max="5" width="13.5546875" style="81" customWidth="1"/>
    <col min="6" max="9" width="12.33203125" style="81" customWidth="1"/>
    <col min="10" max="10" width="1.33203125" style="81" customWidth="1"/>
    <col min="11" max="16" width="12.33203125" style="81" customWidth="1"/>
    <col min="17" max="17" width="1.44140625" style="81" customWidth="1"/>
    <col min="18" max="19" width="13.5546875" style="81" customWidth="1"/>
    <col min="20" max="20" width="1.44140625" style="81" customWidth="1"/>
    <col min="21" max="25" width="13.5546875" style="81" customWidth="1"/>
    <col min="26" max="26" width="1.33203125" style="81" customWidth="1"/>
    <col min="27" max="31" width="13.5546875" style="81" customWidth="1"/>
    <col min="32" max="32" width="1.33203125" style="81" customWidth="1"/>
    <col min="33" max="35" width="13.5546875" style="81" customWidth="1"/>
    <col min="36" max="36" width="1.44140625" style="81" customWidth="1"/>
    <col min="37" max="38" width="13.5546875" style="81" customWidth="1"/>
    <col min="39" max="16384" width="9.44140625" style="81"/>
  </cols>
  <sheetData>
    <row r="1" spans="1:37" ht="17.399999999999999" customHeight="1" x14ac:dyDescent="0.3"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82"/>
      <c r="AJ1" s="83"/>
    </row>
    <row r="2" spans="1:37" ht="17.399999999999999" x14ac:dyDescent="0.3"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84"/>
      <c r="AJ2" s="83"/>
    </row>
    <row r="3" spans="1:37" ht="17.399999999999999" x14ac:dyDescent="0.3"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3"/>
    </row>
    <row r="4" spans="1:37" ht="22.8" x14ac:dyDescent="0.3">
      <c r="D4" s="272" t="s">
        <v>48</v>
      </c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84"/>
      <c r="AG4" s="84"/>
      <c r="AH4" s="84"/>
      <c r="AI4" s="84"/>
      <c r="AJ4" s="83"/>
    </row>
    <row r="5" spans="1:37" ht="22.8" x14ac:dyDescent="0.3">
      <c r="A5" s="81" t="s">
        <v>112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4"/>
      <c r="AG5" s="84"/>
      <c r="AH5" s="84"/>
      <c r="AI5" s="84"/>
      <c r="AJ5" s="83"/>
    </row>
    <row r="6" spans="1:37" ht="33" customHeight="1" x14ac:dyDescent="0.3">
      <c r="A6" s="273" t="s">
        <v>49</v>
      </c>
      <c r="B6" s="273"/>
      <c r="AG6" s="274" t="s">
        <v>50</v>
      </c>
      <c r="AH6" s="274"/>
      <c r="AI6" s="274"/>
      <c r="AJ6" s="86"/>
      <c r="AK6" s="86"/>
    </row>
    <row r="7" spans="1:37" ht="57.75" customHeight="1" thickBot="1" x14ac:dyDescent="0.35">
      <c r="A7" s="87" t="s">
        <v>51</v>
      </c>
      <c r="B7" s="88" t="s">
        <v>52</v>
      </c>
      <c r="D7" s="89"/>
      <c r="E7" s="275" t="s">
        <v>53</v>
      </c>
      <c r="F7" s="276"/>
      <c r="G7" s="276"/>
      <c r="H7" s="276"/>
      <c r="I7" s="277"/>
      <c r="J7" s="90"/>
      <c r="K7" s="278" t="s">
        <v>54</v>
      </c>
      <c r="L7" s="279"/>
      <c r="M7" s="279"/>
      <c r="N7" s="279"/>
      <c r="O7" s="279"/>
      <c r="P7" s="280"/>
      <c r="Q7" s="90"/>
      <c r="R7" s="278" t="s">
        <v>55</v>
      </c>
      <c r="S7" s="280"/>
      <c r="T7" s="90"/>
      <c r="U7" s="278" t="s">
        <v>56</v>
      </c>
      <c r="V7" s="279"/>
      <c r="W7" s="279"/>
      <c r="X7" s="279"/>
      <c r="Y7" s="280"/>
      <c r="Z7" s="89"/>
      <c r="AA7" s="278" t="s">
        <v>57</v>
      </c>
      <c r="AB7" s="279"/>
      <c r="AC7" s="279"/>
      <c r="AD7" s="279"/>
      <c r="AE7" s="280"/>
      <c r="AF7" s="90"/>
      <c r="AG7" s="91" t="s">
        <v>58</v>
      </c>
      <c r="AH7" s="91" t="s">
        <v>59</v>
      </c>
      <c r="AI7" s="91" t="s">
        <v>60</v>
      </c>
      <c r="AJ7" s="92"/>
      <c r="AK7" s="93"/>
    </row>
    <row r="8" spans="1:37" x14ac:dyDescent="0.3">
      <c r="A8" s="94"/>
      <c r="B8" s="94"/>
      <c r="D8" s="95" t="s">
        <v>61</v>
      </c>
      <c r="E8" s="96">
        <v>2020</v>
      </c>
      <c r="F8" s="97">
        <v>2021</v>
      </c>
      <c r="G8" s="97">
        <v>2022</v>
      </c>
      <c r="H8" s="97">
        <v>2023</v>
      </c>
      <c r="I8" s="97">
        <v>2024</v>
      </c>
      <c r="J8" s="98"/>
      <c r="K8" s="99">
        <v>2020</v>
      </c>
      <c r="L8" s="99">
        <v>2021</v>
      </c>
      <c r="M8" s="99">
        <v>2022</v>
      </c>
      <c r="N8" s="99">
        <v>2023</v>
      </c>
      <c r="O8" s="99">
        <v>2024</v>
      </c>
      <c r="P8" s="99" t="s">
        <v>62</v>
      </c>
      <c r="Q8" s="98"/>
      <c r="R8" s="100">
        <v>2025</v>
      </c>
      <c r="S8" s="100">
        <v>2026</v>
      </c>
      <c r="T8" s="98"/>
      <c r="U8" s="101">
        <v>2027</v>
      </c>
      <c r="V8" s="101">
        <v>2028</v>
      </c>
      <c r="W8" s="101">
        <v>2029</v>
      </c>
      <c r="X8" s="101">
        <v>2030</v>
      </c>
      <c r="Y8" s="101">
        <v>2031</v>
      </c>
      <c r="Z8" s="98"/>
      <c r="AA8" s="101">
        <v>2027</v>
      </c>
      <c r="AB8" s="101">
        <v>2028</v>
      </c>
      <c r="AC8" s="101">
        <v>2029</v>
      </c>
      <c r="AD8" s="101">
        <v>2030</v>
      </c>
      <c r="AE8" s="101">
        <v>2031</v>
      </c>
      <c r="AG8" s="102" t="s">
        <v>63</v>
      </c>
      <c r="AH8" s="102" t="s">
        <v>64</v>
      </c>
      <c r="AI8" s="102" t="s">
        <v>65</v>
      </c>
      <c r="AJ8" s="86"/>
      <c r="AK8" s="86"/>
    </row>
    <row r="9" spans="1:37" x14ac:dyDescent="0.3">
      <c r="A9" s="103"/>
      <c r="B9" s="103"/>
      <c r="D9" s="95" t="s">
        <v>66</v>
      </c>
      <c r="E9" s="104" t="s">
        <v>67</v>
      </c>
      <c r="F9" s="104" t="s">
        <v>67</v>
      </c>
      <c r="G9" s="104" t="s">
        <v>67</v>
      </c>
      <c r="H9" s="104" t="s">
        <v>67</v>
      </c>
      <c r="I9" s="104" t="s">
        <v>67</v>
      </c>
      <c r="J9" s="104"/>
      <c r="K9" s="104"/>
      <c r="L9" s="104"/>
      <c r="M9" s="104"/>
      <c r="N9" s="104"/>
      <c r="O9" s="104"/>
      <c r="P9" s="104"/>
      <c r="Q9" s="104"/>
      <c r="R9" s="104" t="s">
        <v>67</v>
      </c>
      <c r="S9" s="104" t="s">
        <v>67</v>
      </c>
      <c r="T9" s="104"/>
      <c r="U9" s="104"/>
      <c r="V9" s="104"/>
      <c r="W9" s="104"/>
      <c r="X9" s="104"/>
      <c r="Y9" s="104"/>
      <c r="Z9" s="104"/>
      <c r="AA9" s="104" t="s">
        <v>67</v>
      </c>
      <c r="AB9" s="104" t="s">
        <v>67</v>
      </c>
      <c r="AC9" s="104" t="s">
        <v>67</v>
      </c>
      <c r="AD9" s="104" t="s">
        <v>67</v>
      </c>
      <c r="AE9" s="104" t="s">
        <v>67</v>
      </c>
    </row>
    <row r="10" spans="1:37" x14ac:dyDescent="0.3">
      <c r="A10" s="94"/>
      <c r="B10" s="94"/>
      <c r="D10" s="105" t="s">
        <v>68</v>
      </c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</row>
    <row r="11" spans="1:37" x14ac:dyDescent="0.3">
      <c r="B11" s="107" t="s">
        <v>52</v>
      </c>
      <c r="D11" s="95" t="s">
        <v>69</v>
      </c>
      <c r="E11" s="108">
        <v>1.93</v>
      </c>
      <c r="F11" s="108">
        <v>5.75</v>
      </c>
      <c r="G11" s="108">
        <v>8.27</v>
      </c>
      <c r="H11" s="108">
        <v>11.55</v>
      </c>
      <c r="I11" s="108">
        <v>2.2400000000000002</v>
      </c>
      <c r="J11" s="109"/>
      <c r="K11" s="110">
        <f>E11*($E$73/$E$69)</f>
        <v>2.558166326100844</v>
      </c>
      <c r="L11" s="108">
        <f>F11*($E$73/$E$70)</f>
        <v>7.3004469380434918</v>
      </c>
      <c r="M11" s="108">
        <f>G11*($E$73/$E$71)</f>
        <v>10.010451573418878</v>
      </c>
      <c r="N11" s="108">
        <f>H11*($E$73/$E$72)</f>
        <v>13.20293786879048</v>
      </c>
      <c r="O11" s="108">
        <f>I11*($E$73/$E$73)</f>
        <v>2.2400000000000002</v>
      </c>
      <c r="P11" s="108">
        <f>AVERAGE(K11:O11)</f>
        <v>7.0624005412707387</v>
      </c>
      <c r="Q11" s="108"/>
      <c r="R11" s="111">
        <v>2.81</v>
      </c>
      <c r="S11" s="111">
        <v>4.5599999999999996</v>
      </c>
      <c r="T11" s="111"/>
      <c r="U11" s="112" t="s">
        <v>70</v>
      </c>
      <c r="V11" s="113">
        <f>$P11*($E$77/$E$73)</f>
        <v>10.379730898097034</v>
      </c>
      <c r="W11" s="113">
        <f>$P11*($E$78/$E$73)</f>
        <v>10.801490325059556</v>
      </c>
      <c r="X11" s="113">
        <f>$P11*($E$79/$E$73)</f>
        <v>11.291025586618337</v>
      </c>
      <c r="Y11" s="113">
        <f>$P11*($E$80/$E$73)</f>
        <v>11.800786676185743</v>
      </c>
      <c r="Z11" s="111"/>
      <c r="AA11" s="111">
        <v>5.0999999999999996</v>
      </c>
      <c r="AB11" s="111">
        <v>5.82</v>
      </c>
      <c r="AC11" s="111">
        <v>5.9</v>
      </c>
      <c r="AD11" s="111">
        <v>6.04</v>
      </c>
      <c r="AE11" s="111">
        <v>5.96</v>
      </c>
      <c r="AG11" s="114">
        <f t="shared" ref="AG11:AG19" si="0">AVERAGE(V11:Y11)</f>
        <v>11.068258371490169</v>
      </c>
      <c r="AH11" s="114">
        <f t="shared" ref="AH11:AH19" si="1">AVERAGE(AB11:AE11)</f>
        <v>5.9300000000000006</v>
      </c>
      <c r="AI11" s="115">
        <f t="shared" ref="AI11:AI19" si="2">AG11/AH11</f>
        <v>1.8664853914823216</v>
      </c>
    </row>
    <row r="12" spans="1:37" x14ac:dyDescent="0.3">
      <c r="A12" s="116" t="s">
        <v>51</v>
      </c>
      <c r="B12" s="94"/>
      <c r="D12" s="117" t="s">
        <v>71</v>
      </c>
      <c r="E12" s="118">
        <v>3.76</v>
      </c>
      <c r="F12" s="118">
        <v>6.98</v>
      </c>
      <c r="G12" s="118">
        <v>9.14</v>
      </c>
      <c r="H12" s="118">
        <v>6.78</v>
      </c>
      <c r="I12" s="118">
        <v>3.58</v>
      </c>
      <c r="J12" s="119"/>
      <c r="K12" s="120">
        <f>E12*($E$73/$E$69)</f>
        <v>4.9837851741653747</v>
      </c>
      <c r="L12" s="120">
        <f>F12*($E$73/$E$70)</f>
        <v>8.8621077613119255</v>
      </c>
      <c r="M12" s="120">
        <f>G12*($E$73/$E$71)</f>
        <v>11.063546237128</v>
      </c>
      <c r="N12" s="120">
        <f>H12*($E$73/$E$72)</f>
        <v>7.7502959957055806</v>
      </c>
      <c r="O12" s="120">
        <f>I12*($E$73/$E$73)</f>
        <v>3.58</v>
      </c>
      <c r="P12" s="120">
        <f t="shared" ref="P12:P19" si="3">AVERAGE(K12:O12)</f>
        <v>7.2479470336621761</v>
      </c>
      <c r="Q12" s="118"/>
      <c r="R12" s="121">
        <v>6.68</v>
      </c>
      <c r="S12" s="121">
        <v>5.39</v>
      </c>
      <c r="T12" s="121"/>
      <c r="U12" s="122" t="s">
        <v>70</v>
      </c>
      <c r="V12" s="121">
        <f>$P12*($E$77/$E$73)</f>
        <v>10.652431752268978</v>
      </c>
      <c r="W12" s="121">
        <f>$P12*($E$78/$E$73)</f>
        <v>11.085271828346288</v>
      </c>
      <c r="X12" s="121">
        <f>$P12*($E$79/$E$73)</f>
        <v>11.587668375547729</v>
      </c>
      <c r="Y12" s="121">
        <f>$P12*($E$80/$E$73)</f>
        <v>12.11082213260463</v>
      </c>
      <c r="Z12" s="121"/>
      <c r="AA12" s="121">
        <v>7.4</v>
      </c>
      <c r="AB12" s="121">
        <v>7.83</v>
      </c>
      <c r="AC12" s="121">
        <v>8.24</v>
      </c>
      <c r="AD12" s="121">
        <v>8.76</v>
      </c>
      <c r="AE12" s="121">
        <v>8.9700000000000006</v>
      </c>
      <c r="AF12" s="123"/>
      <c r="AG12" s="124">
        <f t="shared" si="0"/>
        <v>11.359048522191907</v>
      </c>
      <c r="AH12" s="124">
        <f t="shared" si="1"/>
        <v>8.4499999999999993</v>
      </c>
      <c r="AI12" s="125">
        <f t="shared" si="2"/>
        <v>1.3442660973008176</v>
      </c>
    </row>
    <row r="13" spans="1:37" x14ac:dyDescent="0.3">
      <c r="A13" s="116" t="s">
        <v>51</v>
      </c>
      <c r="B13" s="107"/>
      <c r="D13" s="117" t="s">
        <v>72</v>
      </c>
      <c r="E13" s="126">
        <v>0.09</v>
      </c>
      <c r="F13" s="126">
        <v>0.09</v>
      </c>
      <c r="G13" s="126">
        <v>1.49</v>
      </c>
      <c r="H13" s="126">
        <v>3.37</v>
      </c>
      <c r="I13" s="126">
        <v>13.81</v>
      </c>
      <c r="J13" s="127"/>
      <c r="K13" s="120">
        <f>E13*($E$73/$E$69)</f>
        <v>0.11929273023268185</v>
      </c>
      <c r="L13" s="120">
        <f>F13*($E$73/$E$70)</f>
        <v>0.11426786511720248</v>
      </c>
      <c r="M13" s="120">
        <f>G13*($E$73/$E$71)</f>
        <v>1.8035759183064244</v>
      </c>
      <c r="N13" s="120">
        <f>H13*($E$73/$E$72)</f>
        <v>3.8522857677769626</v>
      </c>
      <c r="O13" s="120">
        <f>I13*($E$73/$E$73)</f>
        <v>13.81</v>
      </c>
      <c r="P13" s="120">
        <f t="shared" si="3"/>
        <v>3.9398844562866544</v>
      </c>
      <c r="Q13" s="126"/>
      <c r="R13" s="128">
        <v>11.63</v>
      </c>
      <c r="S13" s="128">
        <v>12.59</v>
      </c>
      <c r="T13" s="128"/>
      <c r="U13" s="129" t="s">
        <v>70</v>
      </c>
      <c r="V13" s="128">
        <f>$P13*($E$77/$E$73)</f>
        <v>5.7905155884138777</v>
      </c>
      <c r="W13" s="128">
        <f>$P13*($E$78/$E$73)</f>
        <v>6.0258015086716679</v>
      </c>
      <c r="X13" s="128">
        <f>$P13*($E$79/$E$73)</f>
        <v>6.2988973712680751</v>
      </c>
      <c r="Y13" s="128">
        <f>$P13*($E$80/$E$73)</f>
        <v>6.5832765680397447</v>
      </c>
      <c r="Z13" s="128"/>
      <c r="AA13" s="128">
        <v>19.3</v>
      </c>
      <c r="AB13" s="128">
        <v>9.77</v>
      </c>
      <c r="AC13" s="128">
        <v>7.08</v>
      </c>
      <c r="AD13" s="128">
        <v>8.4499999999999993</v>
      </c>
      <c r="AE13" s="128">
        <v>9.5399999999999991</v>
      </c>
      <c r="AF13" s="123"/>
      <c r="AG13" s="124">
        <f t="shared" si="0"/>
        <v>6.1746227590983409</v>
      </c>
      <c r="AH13" s="124">
        <f t="shared" si="1"/>
        <v>8.7100000000000009</v>
      </c>
      <c r="AI13" s="125">
        <f t="shared" si="2"/>
        <v>0.70891191264045239</v>
      </c>
    </row>
    <row r="14" spans="1:37" x14ac:dyDescent="0.3">
      <c r="A14" s="94"/>
      <c r="B14" s="103"/>
      <c r="D14" s="95" t="s">
        <v>73</v>
      </c>
      <c r="E14" s="130"/>
      <c r="F14" s="130"/>
      <c r="G14" s="130"/>
      <c r="H14" s="130"/>
      <c r="I14" s="130"/>
      <c r="J14" s="131"/>
      <c r="K14" s="130"/>
      <c r="L14" s="130"/>
      <c r="M14" s="130"/>
      <c r="N14" s="130"/>
      <c r="O14" s="130"/>
      <c r="P14" s="130"/>
      <c r="Q14" s="132"/>
      <c r="R14" s="113"/>
      <c r="S14" s="113"/>
      <c r="T14" s="113"/>
      <c r="U14" s="112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G14" s="114"/>
      <c r="AH14" s="114"/>
      <c r="AI14" s="115"/>
    </row>
    <row r="15" spans="1:37" x14ac:dyDescent="0.3">
      <c r="A15" s="116" t="s">
        <v>51</v>
      </c>
      <c r="B15" s="107"/>
      <c r="D15" s="133" t="s">
        <v>74</v>
      </c>
      <c r="E15" s="120">
        <v>1.24</v>
      </c>
      <c r="F15" s="120">
        <v>1.1100000000000001</v>
      </c>
      <c r="G15" s="120">
        <v>0.85</v>
      </c>
      <c r="H15" s="120">
        <v>1.74</v>
      </c>
      <c r="I15" s="120">
        <v>2.17</v>
      </c>
      <c r="J15" s="134"/>
      <c r="K15" s="120">
        <f>E15*($E$73/$E$69)</f>
        <v>1.6435887276502834</v>
      </c>
      <c r="L15" s="120">
        <f>F15*($E$73/$E$70)</f>
        <v>1.4093036697788308</v>
      </c>
      <c r="M15" s="120">
        <f>G15*($E$73/$E$71)</f>
        <v>1.0288855909801748</v>
      </c>
      <c r="N15" s="120">
        <f>H15*($E$73/$E$72)</f>
        <v>1.9890140165970072</v>
      </c>
      <c r="O15" s="120">
        <f>I15*($E$73/$E$73)</f>
        <v>2.17</v>
      </c>
      <c r="P15" s="120">
        <f t="shared" ref="P15:P16" si="4">AVERAGE(K15:O15)</f>
        <v>1.6481584010012593</v>
      </c>
      <c r="Q15" s="118"/>
      <c r="R15" s="121">
        <v>1.7</v>
      </c>
      <c r="S15" s="121">
        <v>1.61</v>
      </c>
      <c r="T15" s="121"/>
      <c r="U15" s="122" t="s">
        <v>70</v>
      </c>
      <c r="V15" s="121">
        <f>$P15*($E$77/$E$73)</f>
        <v>2.4223265984221318</v>
      </c>
      <c r="W15" s="121">
        <f>$P15*($E$78/$E$73)</f>
        <v>2.5207529534111512</v>
      </c>
      <c r="X15" s="121">
        <f>$P15*($E$79/$E$73)</f>
        <v>2.6349962123723998</v>
      </c>
      <c r="Y15" s="121">
        <f>$P15*($E$80/$E$73)</f>
        <v>2.7539595899611347</v>
      </c>
      <c r="Z15" s="121"/>
      <c r="AA15" s="121">
        <v>1.93</v>
      </c>
      <c r="AB15" s="121">
        <v>1.94</v>
      </c>
      <c r="AC15" s="121">
        <v>1.97</v>
      </c>
      <c r="AD15" s="121">
        <v>2.02</v>
      </c>
      <c r="AE15" s="121">
        <v>1.99</v>
      </c>
      <c r="AF15" s="123"/>
      <c r="AG15" s="124">
        <f t="shared" ref="AG15:AG16" si="5">AVERAGE(V15:Y15)</f>
        <v>2.5830088385417045</v>
      </c>
      <c r="AH15" s="124">
        <f t="shared" ref="AH15:AH16" si="6">AVERAGE(AB15:AE15)</f>
        <v>1.98</v>
      </c>
      <c r="AI15" s="125">
        <f t="shared" ref="AI15:AI16" si="7">AG15/AH15</f>
        <v>1.3045499184554064</v>
      </c>
    </row>
    <row r="16" spans="1:37" x14ac:dyDescent="0.3">
      <c r="A16" s="94"/>
      <c r="B16" s="107" t="s">
        <v>52</v>
      </c>
      <c r="D16" s="135" t="s">
        <v>75</v>
      </c>
      <c r="E16" s="130">
        <v>0</v>
      </c>
      <c r="F16" s="130">
        <v>0</v>
      </c>
      <c r="G16" s="130">
        <v>0</v>
      </c>
      <c r="H16" s="130">
        <v>0</v>
      </c>
      <c r="I16" s="130">
        <v>0</v>
      </c>
      <c r="J16" s="131"/>
      <c r="K16" s="130">
        <f>E16*($E$73/$E$69)</f>
        <v>0</v>
      </c>
      <c r="L16" s="130">
        <f>F16*($E$73/$E$70)</f>
        <v>0</v>
      </c>
      <c r="M16" s="130">
        <f>G16*($E$73/$E$71)</f>
        <v>0</v>
      </c>
      <c r="N16" s="130">
        <f>H16*($E$73/$E$72)</f>
        <v>0</v>
      </c>
      <c r="O16" s="130">
        <f>I16*($E$73/$E$73)</f>
        <v>0</v>
      </c>
      <c r="P16" s="130">
        <f t="shared" si="4"/>
        <v>0</v>
      </c>
      <c r="Q16" s="132"/>
      <c r="R16" s="113">
        <v>0</v>
      </c>
      <c r="S16" s="113">
        <v>0</v>
      </c>
      <c r="T16" s="113"/>
      <c r="U16" s="112" t="s">
        <v>70</v>
      </c>
      <c r="V16" s="113">
        <f>$P16*($E$77/$E$73)</f>
        <v>0</v>
      </c>
      <c r="W16" s="113">
        <f>$P16*($E$78/$E$73)</f>
        <v>0</v>
      </c>
      <c r="X16" s="113">
        <f>$P16*($E$79/$E$73)</f>
        <v>0</v>
      </c>
      <c r="Y16" s="113">
        <f>$P16*($E$80/$E$73)</f>
        <v>0</v>
      </c>
      <c r="Z16" s="113"/>
      <c r="AA16" s="113">
        <v>0</v>
      </c>
      <c r="AB16" s="113">
        <v>0.47</v>
      </c>
      <c r="AC16" s="113">
        <v>6.9</v>
      </c>
      <c r="AD16" s="113">
        <v>7.06</v>
      </c>
      <c r="AE16" s="113">
        <v>6.97</v>
      </c>
      <c r="AG16" s="114">
        <f t="shared" si="5"/>
        <v>0</v>
      </c>
      <c r="AH16" s="114">
        <f t="shared" si="6"/>
        <v>5.35</v>
      </c>
      <c r="AI16" s="115">
        <f t="shared" si="7"/>
        <v>0</v>
      </c>
    </row>
    <row r="17" spans="1:35" s="137" customFormat="1" x14ac:dyDescent="0.3">
      <c r="A17" s="136"/>
      <c r="B17" s="136" t="s">
        <v>70</v>
      </c>
      <c r="D17" s="95" t="s">
        <v>76</v>
      </c>
      <c r="E17" s="138">
        <f>SUM(E11:E16)</f>
        <v>7.02</v>
      </c>
      <c r="F17" s="138">
        <f t="shared" ref="F17:I17" si="8">SUM(F11:F16)</f>
        <v>13.93</v>
      </c>
      <c r="G17" s="138">
        <f t="shared" si="8"/>
        <v>19.75</v>
      </c>
      <c r="H17" s="138">
        <f t="shared" si="8"/>
        <v>23.44</v>
      </c>
      <c r="I17" s="138">
        <f t="shared" si="8"/>
        <v>21.800000000000004</v>
      </c>
      <c r="J17" s="138"/>
      <c r="K17" s="139">
        <f>E17*($E$73/$E$69)</f>
        <v>9.3048329581491842</v>
      </c>
      <c r="L17" s="139">
        <f>F17*($E$73/$E$70)</f>
        <v>17.68612623425145</v>
      </c>
      <c r="M17" s="139">
        <f>G17*($E$73/$E$71)</f>
        <v>23.906459319833477</v>
      </c>
      <c r="N17" s="139">
        <f>H17*($E$73/$E$72)</f>
        <v>26.794533648870029</v>
      </c>
      <c r="O17" s="139">
        <f>I17*($E$73/$E$73)</f>
        <v>21.800000000000004</v>
      </c>
      <c r="P17" s="139">
        <f t="shared" si="3"/>
        <v>19.898390432220829</v>
      </c>
      <c r="Q17" s="138"/>
      <c r="R17" s="138">
        <f t="shared" ref="R17:S17" si="9">SUM(R11:R16)</f>
        <v>22.82</v>
      </c>
      <c r="S17" s="138">
        <f t="shared" si="9"/>
        <v>24.15</v>
      </c>
      <c r="T17" s="138"/>
      <c r="U17" s="140" t="s">
        <v>70</v>
      </c>
      <c r="V17" s="141">
        <f>$P17*($E$77/$E$73)</f>
        <v>29.245004837202021</v>
      </c>
      <c r="W17" s="141">
        <f>$P17*($E$78/$E$73)</f>
        <v>30.433316615488664</v>
      </c>
      <c r="X17" s="141">
        <f>$P17*($E$79/$E$73)</f>
        <v>31.81258754580654</v>
      </c>
      <c r="Y17" s="141">
        <f>$P17*($E$80/$E$73)</f>
        <v>33.248844966791253</v>
      </c>
      <c r="Z17" s="138"/>
      <c r="AA17" s="138">
        <f t="shared" ref="AA17:AE17" si="10">SUM(AA11:AA16)</f>
        <v>33.730000000000004</v>
      </c>
      <c r="AB17" s="138">
        <f t="shared" si="10"/>
        <v>25.830000000000002</v>
      </c>
      <c r="AC17" s="138">
        <f t="shared" si="10"/>
        <v>30.089999999999996</v>
      </c>
      <c r="AD17" s="138">
        <f t="shared" si="10"/>
        <v>32.33</v>
      </c>
      <c r="AE17" s="138">
        <f t="shared" si="10"/>
        <v>33.43</v>
      </c>
      <c r="AG17" s="142">
        <f t="shared" si="0"/>
        <v>31.184938491322118</v>
      </c>
      <c r="AH17" s="142">
        <f t="shared" si="1"/>
        <v>30.42</v>
      </c>
      <c r="AI17" s="143">
        <f t="shared" si="2"/>
        <v>1.0251459070125613</v>
      </c>
    </row>
    <row r="18" spans="1:35" x14ac:dyDescent="0.3">
      <c r="A18" s="94"/>
      <c r="B18" s="94"/>
      <c r="D18" s="95"/>
      <c r="E18" s="113"/>
      <c r="F18" s="113"/>
      <c r="G18" s="113"/>
      <c r="H18" s="113"/>
      <c r="I18" s="113"/>
      <c r="J18" s="113"/>
      <c r="K18" s="130">
        <f>E18*($E$73/$E$69)</f>
        <v>0</v>
      </c>
      <c r="L18" s="130">
        <f>F18*($E$73/$E$70)</f>
        <v>0</v>
      </c>
      <c r="M18" s="130">
        <f>G18*($E$73/$E$71)</f>
        <v>0</v>
      </c>
      <c r="N18" s="130">
        <f>H18*($E$73/$E$72)</f>
        <v>0</v>
      </c>
      <c r="O18" s="130">
        <f>I18*($E$73/$E$73)</f>
        <v>0</v>
      </c>
      <c r="P18" s="130">
        <f t="shared" si="3"/>
        <v>0</v>
      </c>
      <c r="Q18" s="113"/>
      <c r="R18" s="113"/>
      <c r="S18" s="113"/>
      <c r="T18" s="113"/>
      <c r="U18" s="112" t="s">
        <v>70</v>
      </c>
      <c r="V18" s="113">
        <f>$P18*($E$77/$E$73)</f>
        <v>0</v>
      </c>
      <c r="W18" s="113">
        <f>$P18*($E$78/$E$73)</f>
        <v>0</v>
      </c>
      <c r="X18" s="113">
        <f>$P18*($E$79/$E$73)</f>
        <v>0</v>
      </c>
      <c r="Y18" s="113">
        <f>$P18*($E$80/$E$73)</f>
        <v>0</v>
      </c>
      <c r="Z18" s="113"/>
      <c r="AA18" s="113"/>
      <c r="AB18" s="113"/>
      <c r="AC18" s="113"/>
      <c r="AD18" s="113"/>
      <c r="AE18" s="113"/>
      <c r="AG18" s="114"/>
      <c r="AH18" s="114"/>
      <c r="AI18" s="115"/>
    </row>
    <row r="19" spans="1:35" s="137" customFormat="1" x14ac:dyDescent="0.3">
      <c r="A19" s="136"/>
      <c r="B19" s="136" t="s">
        <v>70</v>
      </c>
      <c r="D19" s="95" t="s">
        <v>77</v>
      </c>
      <c r="E19" s="138">
        <f>E17-E18</f>
        <v>7.02</v>
      </c>
      <c r="F19" s="138">
        <f>F17-F18</f>
        <v>13.93</v>
      </c>
      <c r="G19" s="138">
        <f>G17-G18</f>
        <v>19.75</v>
      </c>
      <c r="H19" s="138">
        <f>H17-H18</f>
        <v>23.44</v>
      </c>
      <c r="I19" s="138">
        <f>I17-I18</f>
        <v>21.800000000000004</v>
      </c>
      <c r="J19" s="138"/>
      <c r="K19" s="139">
        <f>E19*($E$73/$E$69)</f>
        <v>9.3048329581491842</v>
      </c>
      <c r="L19" s="139">
        <f>F19*($E$73/$E$70)</f>
        <v>17.68612623425145</v>
      </c>
      <c r="M19" s="139">
        <f>G19*($E$73/$E$71)</f>
        <v>23.906459319833477</v>
      </c>
      <c r="N19" s="139">
        <f>H19*($E$73/$E$72)</f>
        <v>26.794533648870029</v>
      </c>
      <c r="O19" s="139">
        <f>I19*($E$73/$E$73)</f>
        <v>21.800000000000004</v>
      </c>
      <c r="P19" s="139">
        <f t="shared" si="3"/>
        <v>19.898390432220829</v>
      </c>
      <c r="Q19" s="138"/>
      <c r="R19" s="138">
        <f>R17-R18</f>
        <v>22.82</v>
      </c>
      <c r="S19" s="138">
        <f>S17-S18</f>
        <v>24.15</v>
      </c>
      <c r="T19" s="138"/>
      <c r="U19" s="140" t="s">
        <v>70</v>
      </c>
      <c r="V19" s="141">
        <f>$P19*($E$77/$E$73)</f>
        <v>29.245004837202021</v>
      </c>
      <c r="W19" s="141">
        <f>$P19*($E$78/$E$73)</f>
        <v>30.433316615488664</v>
      </c>
      <c r="X19" s="141">
        <f>$P19*($E$79/$E$73)</f>
        <v>31.81258754580654</v>
      </c>
      <c r="Y19" s="141">
        <f>$P19*($E$80/$E$73)</f>
        <v>33.248844966791253</v>
      </c>
      <c r="Z19" s="138"/>
      <c r="AA19" s="138">
        <f>AA17-AA18</f>
        <v>33.730000000000004</v>
      </c>
      <c r="AB19" s="138">
        <f>AB17-AB18</f>
        <v>25.830000000000002</v>
      </c>
      <c r="AC19" s="138">
        <f>AC17-AC18</f>
        <v>30.089999999999996</v>
      </c>
      <c r="AD19" s="138">
        <f>AD17-AD18</f>
        <v>32.33</v>
      </c>
      <c r="AE19" s="138">
        <f>AE17-AE18</f>
        <v>33.43</v>
      </c>
      <c r="AG19" s="142">
        <f t="shared" si="0"/>
        <v>31.184938491322118</v>
      </c>
      <c r="AH19" s="142">
        <f t="shared" si="1"/>
        <v>30.42</v>
      </c>
      <c r="AI19" s="143">
        <f t="shared" si="2"/>
        <v>1.0251459070125613</v>
      </c>
    </row>
    <row r="20" spans="1:35" s="137" customFormat="1" x14ac:dyDescent="0.3">
      <c r="A20" s="136"/>
      <c r="B20" s="136"/>
      <c r="E20" s="144"/>
      <c r="F20" s="144"/>
      <c r="G20" s="144"/>
      <c r="H20" s="144"/>
      <c r="I20" s="144"/>
      <c r="J20" s="144"/>
      <c r="K20" s="109"/>
      <c r="L20" s="109"/>
      <c r="M20" s="109"/>
      <c r="N20" s="109"/>
      <c r="O20" s="109"/>
      <c r="P20" s="109"/>
      <c r="Q20" s="144"/>
      <c r="R20" s="144"/>
      <c r="S20" s="144"/>
      <c r="T20" s="144"/>
      <c r="U20" s="145"/>
      <c r="V20" s="146"/>
      <c r="W20" s="146"/>
      <c r="X20" s="146"/>
      <c r="Y20" s="146"/>
      <c r="Z20" s="144"/>
      <c r="AA20" s="144"/>
      <c r="AB20" s="144"/>
      <c r="AC20" s="144"/>
      <c r="AD20" s="144"/>
      <c r="AE20" s="144"/>
      <c r="AG20" s="147"/>
      <c r="AH20" s="147"/>
      <c r="AI20" s="148"/>
    </row>
    <row r="21" spans="1:35" x14ac:dyDescent="0.3">
      <c r="A21" s="94"/>
      <c r="B21" s="94"/>
      <c r="D21" s="149" t="s">
        <v>78</v>
      </c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I21" s="148"/>
    </row>
    <row r="22" spans="1:35" x14ac:dyDescent="0.3">
      <c r="A22" s="116" t="s">
        <v>51</v>
      </c>
      <c r="B22" s="107"/>
      <c r="D22" s="117" t="s">
        <v>79</v>
      </c>
      <c r="E22" s="120">
        <v>3.57</v>
      </c>
      <c r="F22" s="120">
        <v>2.81</v>
      </c>
      <c r="G22" s="120">
        <v>4.62</v>
      </c>
      <c r="H22" s="121">
        <v>3.58</v>
      </c>
      <c r="I22" s="121">
        <v>8.1199999999999992</v>
      </c>
      <c r="J22" s="121"/>
      <c r="K22" s="120">
        <f t="shared" ref="K22:K28" si="11">E22*($E$73/$E$69)</f>
        <v>4.7319449658963801</v>
      </c>
      <c r="L22" s="120">
        <f t="shared" ref="L22:L28" si="12">F22*($E$73/$E$70)</f>
        <v>3.5676966775482111</v>
      </c>
      <c r="M22" s="120">
        <f t="shared" ref="M22:M28" si="13">G22*($E$73/$E$71)</f>
        <v>5.5922958003863625</v>
      </c>
      <c r="N22" s="120">
        <f t="shared" ref="N22:N28" si="14">H22*($E$73/$E$72)</f>
        <v>4.0923391835731531</v>
      </c>
      <c r="O22" s="120">
        <f t="shared" ref="O22:O28" si="15">I22*($E$73/$E$73)</f>
        <v>8.1199999999999992</v>
      </c>
      <c r="P22" s="120">
        <f t="shared" ref="P22:P38" si="16">AVERAGE(K22:O22)</f>
        <v>5.2208553254808212</v>
      </c>
      <c r="Q22" s="121"/>
      <c r="R22" s="121">
        <v>7.32</v>
      </c>
      <c r="S22" s="121">
        <v>13.64</v>
      </c>
      <c r="T22" s="121"/>
      <c r="U22" s="122" t="s">
        <v>70</v>
      </c>
      <c r="V22" s="121">
        <f t="shared" ref="V22:V28" si="17">$P22*($E$77/$E$73)</f>
        <v>7.6731803895445898</v>
      </c>
      <c r="W22" s="121">
        <f t="shared" ref="W22:W28" si="18">$P22*($E$78/$E$73)</f>
        <v>7.9849645962688403</v>
      </c>
      <c r="X22" s="121">
        <f t="shared" ref="X22:X28" si="19">$P22*($E$79/$E$73)</f>
        <v>8.3468518557614821</v>
      </c>
      <c r="Y22" s="121">
        <f t="shared" ref="Y22:Y28" si="20">$P22*($E$80/$E$73)</f>
        <v>8.7236909890899401</v>
      </c>
      <c r="Z22" s="121"/>
      <c r="AA22" s="121">
        <v>19.58161595</v>
      </c>
      <c r="AB22" s="121">
        <v>26.554336450000001</v>
      </c>
      <c r="AC22" s="121">
        <v>20.984268049999997</v>
      </c>
      <c r="AD22" s="121">
        <v>24.309607</v>
      </c>
      <c r="AE22" s="121">
        <v>18.45390871</v>
      </c>
      <c r="AF22" s="150"/>
      <c r="AG22" s="124">
        <f t="shared" ref="AG22:AG28" si="21">AVERAGE(V22:Y22)</f>
        <v>8.1821719576662133</v>
      </c>
      <c r="AH22" s="124">
        <f t="shared" ref="AH22:AH28" si="22">AVERAGE(AB22:AE22)</f>
        <v>22.5755300525</v>
      </c>
      <c r="AI22" s="125">
        <f>AG22/AH22</f>
        <v>0.36243543069147671</v>
      </c>
    </row>
    <row r="23" spans="1:35" x14ac:dyDescent="0.3">
      <c r="A23" s="116" t="s">
        <v>51</v>
      </c>
      <c r="B23" s="107"/>
      <c r="D23" s="117" t="s">
        <v>80</v>
      </c>
      <c r="E23" s="120">
        <v>4.2300000000000004</v>
      </c>
      <c r="F23" s="120">
        <v>6.9</v>
      </c>
      <c r="G23" s="120">
        <v>4.1500000000000004</v>
      </c>
      <c r="H23" s="121">
        <v>1.81</v>
      </c>
      <c r="I23" s="121">
        <v>0.93</v>
      </c>
      <c r="J23" s="121"/>
      <c r="K23" s="120">
        <f t="shared" si="11"/>
        <v>5.6067583209360476</v>
      </c>
      <c r="L23" s="120">
        <f t="shared" si="12"/>
        <v>8.7605363256521898</v>
      </c>
      <c r="M23" s="120">
        <f t="shared" si="13"/>
        <v>5.0233825912561487</v>
      </c>
      <c r="N23" s="120">
        <f t="shared" si="14"/>
        <v>2.0690318218624042</v>
      </c>
      <c r="O23" s="120">
        <f t="shared" si="15"/>
        <v>0.93</v>
      </c>
      <c r="P23" s="120">
        <f t="shared" si="16"/>
        <v>4.4779418119413581</v>
      </c>
      <c r="Q23" s="121"/>
      <c r="R23" s="121">
        <v>0.53</v>
      </c>
      <c r="S23" s="121">
        <v>0</v>
      </c>
      <c r="T23" s="121"/>
      <c r="U23" s="122" t="s">
        <v>70</v>
      </c>
      <c r="V23" s="121">
        <f t="shared" si="17"/>
        <v>6.5813076890319238</v>
      </c>
      <c r="W23" s="121">
        <f t="shared" si="18"/>
        <v>6.8487258511057618</v>
      </c>
      <c r="X23" s="121">
        <f t="shared" si="19"/>
        <v>7.1591175378054359</v>
      </c>
      <c r="Y23" s="121">
        <f t="shared" si="20"/>
        <v>7.4823334873590355</v>
      </c>
      <c r="Z23" s="121"/>
      <c r="AA23" s="121">
        <v>0.71882568999999996</v>
      </c>
      <c r="AB23" s="121">
        <v>9.6649154299999989</v>
      </c>
      <c r="AC23" s="121">
        <v>16.654992780000001</v>
      </c>
      <c r="AD23" s="121">
        <v>24.615934700000004</v>
      </c>
      <c r="AE23" s="121">
        <v>32.49691876</v>
      </c>
      <c r="AF23" s="150"/>
      <c r="AG23" s="124">
        <f>AVERAGE(V23:Y23)</f>
        <v>7.0178711413255392</v>
      </c>
      <c r="AH23" s="124">
        <f t="shared" si="22"/>
        <v>20.858190417500001</v>
      </c>
      <c r="AI23" s="125">
        <f>AG23/AH23</f>
        <v>0.33645637521064875</v>
      </c>
    </row>
    <row r="24" spans="1:35" x14ac:dyDescent="0.3">
      <c r="A24" s="116" t="s">
        <v>51</v>
      </c>
      <c r="B24" s="94"/>
      <c r="D24" s="117" t="s">
        <v>81</v>
      </c>
      <c r="E24" s="120">
        <v>4.57</v>
      </c>
      <c r="F24" s="120">
        <v>7.67</v>
      </c>
      <c r="G24" s="120">
        <v>7.23</v>
      </c>
      <c r="H24" s="121">
        <v>5.37</v>
      </c>
      <c r="I24" s="121">
        <v>4.78</v>
      </c>
      <c r="J24" s="121"/>
      <c r="K24" s="120">
        <f t="shared" si="11"/>
        <v>6.0574197462595123</v>
      </c>
      <c r="L24" s="120">
        <f t="shared" si="12"/>
        <v>9.7381613938771441</v>
      </c>
      <c r="M24" s="120">
        <f t="shared" si="13"/>
        <v>8.7515797915137234</v>
      </c>
      <c r="N24" s="120">
        <f t="shared" si="14"/>
        <v>6.1385087753597292</v>
      </c>
      <c r="O24" s="120">
        <f t="shared" si="15"/>
        <v>4.78</v>
      </c>
      <c r="P24" s="120">
        <f t="shared" si="16"/>
        <v>7.0931339414020211</v>
      </c>
      <c r="Q24" s="121"/>
      <c r="R24" s="121">
        <v>2.62</v>
      </c>
      <c r="S24" s="121">
        <v>1.01</v>
      </c>
      <c r="T24" s="121"/>
      <c r="U24" s="122" t="s">
        <v>70</v>
      </c>
      <c r="V24" s="121">
        <f t="shared" si="17"/>
        <v>10.424900302052825</v>
      </c>
      <c r="W24" s="121">
        <f t="shared" si="18"/>
        <v>10.848495096628982</v>
      </c>
      <c r="X24" s="121">
        <f t="shared" si="19"/>
        <v>11.340160665437253</v>
      </c>
      <c r="Y24" s="121">
        <f t="shared" si="20"/>
        <v>11.852140078851555</v>
      </c>
      <c r="Z24" s="121"/>
      <c r="AA24" s="121">
        <v>2.5796257900000001</v>
      </c>
      <c r="AB24" s="121">
        <v>10.340597500000001</v>
      </c>
      <c r="AC24" s="121">
        <v>13.254273850000002</v>
      </c>
      <c r="AD24" s="121">
        <v>14.740624670000001</v>
      </c>
      <c r="AE24" s="121">
        <v>14.80248634</v>
      </c>
      <c r="AF24" s="150"/>
      <c r="AG24" s="124">
        <f t="shared" si="21"/>
        <v>11.116424035742654</v>
      </c>
      <c r="AH24" s="124">
        <f t="shared" si="22"/>
        <v>13.284495590000002</v>
      </c>
      <c r="AI24" s="125">
        <f>AG24/AH24</f>
        <v>0.83679684790671471</v>
      </c>
    </row>
    <row r="25" spans="1:35" x14ac:dyDescent="0.3">
      <c r="A25" s="116" t="s">
        <v>51</v>
      </c>
      <c r="B25" s="94"/>
      <c r="D25" s="117" t="s">
        <v>82</v>
      </c>
      <c r="E25" s="120">
        <v>2.6</v>
      </c>
      <c r="F25" s="120">
        <v>1.92</v>
      </c>
      <c r="G25" s="120">
        <v>8.25</v>
      </c>
      <c r="H25" s="121">
        <v>6.51</v>
      </c>
      <c r="I25" s="121">
        <v>10.49</v>
      </c>
      <c r="J25" s="121"/>
      <c r="K25" s="120">
        <f t="shared" si="11"/>
        <v>3.4462344289441424</v>
      </c>
      <c r="L25" s="120">
        <f t="shared" si="12"/>
        <v>2.4377144558336528</v>
      </c>
      <c r="M25" s="120">
        <f t="shared" si="13"/>
        <v>9.9862425006899329</v>
      </c>
      <c r="N25" s="120">
        <f t="shared" si="14"/>
        <v>7.4416558896819058</v>
      </c>
      <c r="O25" s="120">
        <f t="shared" si="15"/>
        <v>10.49</v>
      </c>
      <c r="P25" s="120">
        <f t="shared" si="16"/>
        <v>6.7603694550299265</v>
      </c>
      <c r="Q25" s="121"/>
      <c r="R25" s="121">
        <v>9.7100000000000009</v>
      </c>
      <c r="S25" s="121">
        <v>7.56</v>
      </c>
      <c r="T25" s="121"/>
      <c r="U25" s="122" t="s">
        <v>70</v>
      </c>
      <c r="V25" s="121">
        <f t="shared" si="17"/>
        <v>9.9358306435420172</v>
      </c>
      <c r="W25" s="121">
        <f t="shared" si="18"/>
        <v>10.339553079100073</v>
      </c>
      <c r="X25" s="121">
        <f t="shared" si="19"/>
        <v>10.808152843452522</v>
      </c>
      <c r="Y25" s="121">
        <f t="shared" si="20"/>
        <v>11.296113456722155</v>
      </c>
      <c r="Z25" s="121"/>
      <c r="AA25" s="121">
        <v>8.4297039999999992</v>
      </c>
      <c r="AB25" s="121">
        <v>7.0968780000000002</v>
      </c>
      <c r="AC25" s="121">
        <v>5.13102298</v>
      </c>
      <c r="AD25" s="121">
        <v>5.0982260000000004</v>
      </c>
      <c r="AE25" s="121">
        <v>4.4716570000000004</v>
      </c>
      <c r="AF25" s="150"/>
      <c r="AG25" s="124">
        <f t="shared" si="21"/>
        <v>10.594912505704192</v>
      </c>
      <c r="AH25" s="124">
        <f t="shared" si="22"/>
        <v>5.4494459950000005</v>
      </c>
      <c r="AI25" s="125">
        <f>AG25/AH25</f>
        <v>1.9442182774955992</v>
      </c>
    </row>
    <row r="26" spans="1:35" s="137" customFormat="1" x14ac:dyDescent="0.3">
      <c r="A26" s="136"/>
      <c r="B26" s="136" t="s">
        <v>70</v>
      </c>
      <c r="D26" s="95" t="s">
        <v>83</v>
      </c>
      <c r="E26" s="138">
        <f>SUM(E22:E25)</f>
        <v>14.97</v>
      </c>
      <c r="F26" s="138">
        <f>SUM(F22:F25)</f>
        <v>19.300000000000004</v>
      </c>
      <c r="G26" s="138">
        <f>SUM(G22:G25)</f>
        <v>24.25</v>
      </c>
      <c r="H26" s="138">
        <f>SUM(H22:H25)</f>
        <v>17.270000000000003</v>
      </c>
      <c r="I26" s="138">
        <f>SUM(I22:I25)</f>
        <v>24.32</v>
      </c>
      <c r="J26" s="138"/>
      <c r="K26" s="139">
        <f t="shared" si="11"/>
        <v>19.842357462036084</v>
      </c>
      <c r="L26" s="139">
        <f t="shared" si="12"/>
        <v>24.504108852911205</v>
      </c>
      <c r="M26" s="139">
        <f t="shared" si="13"/>
        <v>29.353500683846168</v>
      </c>
      <c r="N26" s="139">
        <f t="shared" si="14"/>
        <v>19.741535670477198</v>
      </c>
      <c r="O26" s="139">
        <f t="shared" si="15"/>
        <v>24.32</v>
      </c>
      <c r="P26" s="139">
        <f t="shared" si="16"/>
        <v>23.55230053385413</v>
      </c>
      <c r="Q26" s="138"/>
      <c r="R26" s="138">
        <f>SUM(R22:R25)</f>
        <v>20.18</v>
      </c>
      <c r="S26" s="138">
        <f>SUM(S22:S25)</f>
        <v>22.21</v>
      </c>
      <c r="T26" s="138"/>
      <c r="U26" s="140" t="s">
        <v>70</v>
      </c>
      <c r="V26" s="141">
        <f t="shared" si="17"/>
        <v>34.61521902417136</v>
      </c>
      <c r="W26" s="141">
        <f t="shared" si="18"/>
        <v>36.021738623103658</v>
      </c>
      <c r="X26" s="141">
        <f t="shared" si="19"/>
        <v>37.654282902456693</v>
      </c>
      <c r="Y26" s="141">
        <f t="shared" si="20"/>
        <v>39.354278012022689</v>
      </c>
      <c r="Z26" s="138"/>
      <c r="AA26" s="138">
        <f>SUM(AA22:AA25)</f>
        <v>31.309771429999998</v>
      </c>
      <c r="AB26" s="138">
        <f>SUM(AB22:AB25)</f>
        <v>53.656727380000007</v>
      </c>
      <c r="AC26" s="138">
        <f>SUM(AC22:AC25)</f>
        <v>56.024557659999999</v>
      </c>
      <c r="AD26" s="138">
        <f>SUM(AD22:AD25)</f>
        <v>68.76439237000001</v>
      </c>
      <c r="AE26" s="138">
        <f>SUM(AE22:AE25)</f>
        <v>70.224970810000002</v>
      </c>
      <c r="AF26" s="95"/>
      <c r="AG26" s="142">
        <f t="shared" si="21"/>
        <v>36.911379640438597</v>
      </c>
      <c r="AH26" s="142">
        <f t="shared" si="22"/>
        <v>62.167662055000008</v>
      </c>
      <c r="AI26" s="143">
        <f>AG26/AH26</f>
        <v>0.59373922744244323</v>
      </c>
    </row>
    <row r="27" spans="1:35" x14ac:dyDescent="0.3">
      <c r="A27" s="94"/>
      <c r="B27" s="94" t="s">
        <v>70</v>
      </c>
      <c r="D27" s="95"/>
      <c r="E27" s="113"/>
      <c r="F27" s="113"/>
      <c r="G27" s="113"/>
      <c r="H27" s="113"/>
      <c r="I27" s="113"/>
      <c r="J27" s="113"/>
      <c r="K27" s="130">
        <f t="shared" si="11"/>
        <v>0</v>
      </c>
      <c r="L27" s="130">
        <f t="shared" si="12"/>
        <v>0</v>
      </c>
      <c r="M27" s="130">
        <f t="shared" si="13"/>
        <v>0</v>
      </c>
      <c r="N27" s="130">
        <f t="shared" si="14"/>
        <v>0</v>
      </c>
      <c r="O27" s="130">
        <f t="shared" si="15"/>
        <v>0</v>
      </c>
      <c r="P27" s="130">
        <f>AVERAGE(K27:O27)</f>
        <v>0</v>
      </c>
      <c r="Q27" s="113"/>
      <c r="R27" s="113"/>
      <c r="S27" s="113"/>
      <c r="T27" s="113"/>
      <c r="U27" s="112" t="s">
        <v>70</v>
      </c>
      <c r="V27" s="113">
        <f t="shared" si="17"/>
        <v>0</v>
      </c>
      <c r="W27" s="113">
        <f t="shared" si="18"/>
        <v>0</v>
      </c>
      <c r="X27" s="113">
        <f t="shared" si="19"/>
        <v>0</v>
      </c>
      <c r="Y27" s="113">
        <f t="shared" si="20"/>
        <v>0</v>
      </c>
      <c r="Z27" s="113"/>
      <c r="AA27" s="113">
        <v>0</v>
      </c>
      <c r="AB27" s="113">
        <v>0</v>
      </c>
      <c r="AC27" s="113">
        <v>0</v>
      </c>
      <c r="AD27" s="113">
        <v>0</v>
      </c>
      <c r="AE27" s="113">
        <v>0</v>
      </c>
      <c r="AF27" s="151"/>
      <c r="AG27" s="114"/>
      <c r="AH27" s="114"/>
      <c r="AI27" s="115"/>
    </row>
    <row r="28" spans="1:35" s="137" customFormat="1" x14ac:dyDescent="0.3">
      <c r="A28" s="136"/>
      <c r="B28" s="136" t="s">
        <v>70</v>
      </c>
      <c r="D28" s="152" t="s">
        <v>77</v>
      </c>
      <c r="E28" s="153">
        <f t="shared" ref="E28:G28" si="23">E26-E27</f>
        <v>14.97</v>
      </c>
      <c r="F28" s="153">
        <f t="shared" si="23"/>
        <v>19.300000000000004</v>
      </c>
      <c r="G28" s="153">
        <f t="shared" si="23"/>
        <v>24.25</v>
      </c>
      <c r="H28" s="153">
        <f>H26-H27</f>
        <v>17.270000000000003</v>
      </c>
      <c r="I28" s="153">
        <f>I26-I27</f>
        <v>24.32</v>
      </c>
      <c r="J28" s="153"/>
      <c r="K28" s="154">
        <f t="shared" si="11"/>
        <v>19.842357462036084</v>
      </c>
      <c r="L28" s="154">
        <f t="shared" si="12"/>
        <v>24.504108852911205</v>
      </c>
      <c r="M28" s="154">
        <f t="shared" si="13"/>
        <v>29.353500683846168</v>
      </c>
      <c r="N28" s="154">
        <f t="shared" si="14"/>
        <v>19.741535670477198</v>
      </c>
      <c r="O28" s="154">
        <f t="shared" si="15"/>
        <v>24.32</v>
      </c>
      <c r="P28" s="154">
        <f t="shared" si="16"/>
        <v>23.55230053385413</v>
      </c>
      <c r="Q28" s="153"/>
      <c r="R28" s="153">
        <f>R26-R27</f>
        <v>20.18</v>
      </c>
      <c r="S28" s="153">
        <f t="shared" ref="S28:AE28" si="24">S26-S27</f>
        <v>22.21</v>
      </c>
      <c r="T28" s="153"/>
      <c r="U28" s="155" t="s">
        <v>70</v>
      </c>
      <c r="V28" s="156">
        <f t="shared" si="17"/>
        <v>34.61521902417136</v>
      </c>
      <c r="W28" s="156">
        <f t="shared" si="18"/>
        <v>36.021738623103658</v>
      </c>
      <c r="X28" s="156">
        <f t="shared" si="19"/>
        <v>37.654282902456693</v>
      </c>
      <c r="Y28" s="156">
        <f t="shared" si="20"/>
        <v>39.354278012022689</v>
      </c>
      <c r="Z28" s="153"/>
      <c r="AA28" s="153">
        <f t="shared" si="24"/>
        <v>31.309771429999998</v>
      </c>
      <c r="AB28" s="153">
        <f t="shared" si="24"/>
        <v>53.656727380000007</v>
      </c>
      <c r="AC28" s="153">
        <f t="shared" si="24"/>
        <v>56.024557659999999</v>
      </c>
      <c r="AD28" s="153">
        <f t="shared" si="24"/>
        <v>68.76439237000001</v>
      </c>
      <c r="AE28" s="153">
        <f t="shared" si="24"/>
        <v>70.224970810000002</v>
      </c>
      <c r="AF28" s="95"/>
      <c r="AG28" s="142">
        <f t="shared" si="21"/>
        <v>36.911379640438597</v>
      </c>
      <c r="AH28" s="142">
        <f t="shared" si="22"/>
        <v>62.167662055000008</v>
      </c>
      <c r="AI28" s="143">
        <f>AG28/AH28</f>
        <v>0.59373922744244323</v>
      </c>
    </row>
    <row r="29" spans="1:35" s="137" customFormat="1" x14ac:dyDescent="0.3">
      <c r="A29" s="136"/>
      <c r="B29" s="136"/>
      <c r="D29" s="157"/>
      <c r="E29" s="158"/>
      <c r="F29" s="158"/>
      <c r="G29" s="158"/>
      <c r="H29" s="158"/>
      <c r="I29" s="158"/>
      <c r="J29" s="158"/>
      <c r="K29" s="159"/>
      <c r="L29" s="159"/>
      <c r="M29" s="159"/>
      <c r="N29" s="159"/>
      <c r="O29" s="159"/>
      <c r="P29" s="159"/>
      <c r="Q29" s="158"/>
      <c r="R29" s="158"/>
      <c r="S29" s="158"/>
      <c r="T29" s="158"/>
      <c r="U29" s="160"/>
      <c r="V29" s="161"/>
      <c r="W29" s="161"/>
      <c r="X29" s="161"/>
      <c r="Y29" s="161"/>
      <c r="Z29" s="158"/>
      <c r="AA29" s="158"/>
      <c r="AB29" s="158"/>
      <c r="AC29" s="158"/>
      <c r="AD29" s="158"/>
      <c r="AE29" s="158"/>
      <c r="AG29" s="147"/>
      <c r="AH29" s="147"/>
      <c r="AI29" s="148"/>
    </row>
    <row r="30" spans="1:35" x14ac:dyDescent="0.3">
      <c r="A30" s="94"/>
      <c r="B30" s="94"/>
      <c r="D30" s="162" t="s">
        <v>84</v>
      </c>
      <c r="E30" s="163"/>
      <c r="F30" s="163"/>
      <c r="G30" s="163"/>
      <c r="H30" s="163"/>
      <c r="I30" s="163"/>
      <c r="J30" s="163"/>
      <c r="K30" s="164"/>
      <c r="L30" s="164"/>
      <c r="M30" s="164"/>
      <c r="N30" s="164"/>
      <c r="O30" s="164"/>
      <c r="P30" s="164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I30" s="148"/>
    </row>
    <row r="31" spans="1:35" x14ac:dyDescent="0.3">
      <c r="A31" s="94"/>
      <c r="B31" s="107" t="s">
        <v>52</v>
      </c>
      <c r="D31" s="95" t="s">
        <v>85</v>
      </c>
      <c r="E31" s="130">
        <v>4.37</v>
      </c>
      <c r="F31" s="130">
        <v>8.19</v>
      </c>
      <c r="G31" s="130">
        <v>17.46</v>
      </c>
      <c r="H31" s="130">
        <v>0.78</v>
      </c>
      <c r="I31" s="130">
        <v>10.77</v>
      </c>
      <c r="J31" s="130"/>
      <c r="K31" s="130">
        <f>E31*($E$73/$E$69)</f>
        <v>5.7923247901868855</v>
      </c>
      <c r="L31" s="130">
        <f>F31*($E$73/$E$70)</f>
        <v>10.398375725665424</v>
      </c>
      <c r="M31" s="130">
        <f>G31*($E$73/$E$71)</f>
        <v>21.134520492369241</v>
      </c>
      <c r="N31" s="130">
        <f>H31*($E$73/$E$72)</f>
        <v>0.89162697295727911</v>
      </c>
      <c r="O31" s="130">
        <f>I31*($E$73/$E$73)</f>
        <v>10.77</v>
      </c>
      <c r="P31" s="130">
        <f t="shared" si="16"/>
        <v>9.7973695962357645</v>
      </c>
      <c r="Q31" s="130"/>
      <c r="R31" s="113">
        <v>1.08</v>
      </c>
      <c r="S31" s="113">
        <v>24.5</v>
      </c>
      <c r="T31" s="113"/>
      <c r="U31" s="112" t="s">
        <v>70</v>
      </c>
      <c r="V31" s="113">
        <f>$P31*($E$77/$E$73)</f>
        <v>14.399361707659107</v>
      </c>
      <c r="W31" s="113">
        <f>$P31*($E$78/$E$73)</f>
        <v>14.984450724134648</v>
      </c>
      <c r="X31" s="113">
        <f>$P31*($E$79/$E$73)</f>
        <v>15.663562289650352</v>
      </c>
      <c r="Y31" s="113">
        <f>$P31*($E$80/$E$73)</f>
        <v>16.370732290995686</v>
      </c>
      <c r="Z31" s="113"/>
      <c r="AA31" s="113">
        <v>35.812614809999999</v>
      </c>
      <c r="AB31" s="113">
        <v>20.987020939999997</v>
      </c>
      <c r="AC31" s="113">
        <v>30.639675920000002</v>
      </c>
      <c r="AD31" s="113">
        <v>21.562123410000002</v>
      </c>
      <c r="AE31" s="113">
        <v>38.326038980000007</v>
      </c>
      <c r="AG31" s="114">
        <f t="shared" ref="AG31:AG39" si="25">AVERAGE(V31:Y31)</f>
        <v>15.354526753109948</v>
      </c>
      <c r="AH31" s="114">
        <f t="shared" ref="AH31:AH39" si="26">AVERAGE(AB31:AE31)</f>
        <v>27.8787148125</v>
      </c>
      <c r="AI31" s="115">
        <f t="shared" ref="AI31:AI39" si="27">AG31/AH31</f>
        <v>0.5507616422197994</v>
      </c>
    </row>
    <row r="32" spans="1:35" x14ac:dyDescent="0.3">
      <c r="A32" s="94"/>
      <c r="B32" s="107" t="s">
        <v>52</v>
      </c>
      <c r="D32" s="95" t="s">
        <v>86</v>
      </c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13"/>
      <c r="S32" s="113"/>
      <c r="T32" s="113"/>
      <c r="U32" s="112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G32" s="114"/>
      <c r="AH32" s="114"/>
      <c r="AI32" s="115"/>
    </row>
    <row r="33" spans="1:35" x14ac:dyDescent="0.3">
      <c r="A33" s="116" t="s">
        <v>51</v>
      </c>
      <c r="B33" s="107"/>
      <c r="D33" s="133" t="s">
        <v>87</v>
      </c>
      <c r="E33" s="120">
        <v>0.88</v>
      </c>
      <c r="F33" s="120">
        <v>0.78</v>
      </c>
      <c r="G33" s="120">
        <v>0.37</v>
      </c>
      <c r="H33" s="120">
        <v>0.49</v>
      </c>
      <c r="I33" s="120">
        <v>4.07</v>
      </c>
      <c r="J33" s="120"/>
      <c r="K33" s="120">
        <f t="shared" ref="K33:K39" si="28">E33*($E$73/$E$69)</f>
        <v>1.1664178067195559</v>
      </c>
      <c r="L33" s="120">
        <f t="shared" ref="L33:L39" si="29">F33*($E$73/$E$70)</f>
        <v>0.9903214976824215</v>
      </c>
      <c r="M33" s="120">
        <f t="shared" ref="M33:M39" si="30">G33*($E$73/$E$71)</f>
        <v>0.44786784548548791</v>
      </c>
      <c r="N33" s="120">
        <f t="shared" ref="N33:N39" si="31">H33*($E$73/$E$72)</f>
        <v>0.56012463685777791</v>
      </c>
      <c r="O33" s="120">
        <f t="shared" ref="O33:O39" si="32">I33*($E$73/$E$73)</f>
        <v>4.07</v>
      </c>
      <c r="P33" s="120">
        <f t="shared" ref="P33:P35" si="33">AVERAGE(K33:O33)</f>
        <v>1.4469463573490486</v>
      </c>
      <c r="Q33" s="120"/>
      <c r="R33" s="121">
        <v>9.5299999999999994</v>
      </c>
      <c r="S33" s="121">
        <v>1.26</v>
      </c>
      <c r="T33" s="121"/>
      <c r="U33" s="122" t="s">
        <v>70</v>
      </c>
      <c r="V33" s="121">
        <f t="shared" ref="V33:V39" si="34">$P33*($E$77/$E$73)</f>
        <v>2.1266018155581015</v>
      </c>
      <c r="W33" s="121">
        <f t="shared" ref="W33:W39" si="35">$P33*($E$78/$E$73)</f>
        <v>2.2130119905339938</v>
      </c>
      <c r="X33" s="121">
        <f t="shared" ref="X33:X39" si="36">$P33*($E$79/$E$73)</f>
        <v>2.3133080951470215</v>
      </c>
      <c r="Y33" s="121">
        <f t="shared" ref="Y33:Y39" si="37">$P33*($E$80/$E$73)</f>
        <v>2.4177480723697133</v>
      </c>
      <c r="Z33" s="121"/>
      <c r="AA33" s="121">
        <v>0.55000000000000004</v>
      </c>
      <c r="AB33" s="121">
        <v>1.17</v>
      </c>
      <c r="AC33" s="121">
        <v>2.5</v>
      </c>
      <c r="AD33" s="121">
        <v>4.03</v>
      </c>
      <c r="AE33" s="121">
        <v>4.87</v>
      </c>
      <c r="AF33" s="123"/>
      <c r="AG33" s="124">
        <f>AVERAGE(V33:Y33)</f>
        <v>2.2676674934022074</v>
      </c>
      <c r="AH33" s="124">
        <f>AVERAGE(AB33:AE33)</f>
        <v>3.1425000000000001</v>
      </c>
      <c r="AI33" s="125">
        <f>AG33/AH33</f>
        <v>0.72161256751064673</v>
      </c>
    </row>
    <row r="34" spans="1:35" x14ac:dyDescent="0.3">
      <c r="A34" s="116" t="s">
        <v>51</v>
      </c>
      <c r="B34" s="107"/>
      <c r="D34" s="133" t="s">
        <v>88</v>
      </c>
      <c r="E34" s="120">
        <v>0.17</v>
      </c>
      <c r="F34" s="120">
        <v>0.78</v>
      </c>
      <c r="G34" s="120">
        <v>0.33</v>
      </c>
      <c r="H34" s="120">
        <v>3.56</v>
      </c>
      <c r="I34" s="120">
        <v>3.64</v>
      </c>
      <c r="J34" s="120"/>
      <c r="K34" s="120">
        <f t="shared" si="28"/>
        <v>0.22533071266173241</v>
      </c>
      <c r="L34" s="120">
        <f t="shared" si="29"/>
        <v>0.9903214976824215</v>
      </c>
      <c r="M34" s="120">
        <f t="shared" si="30"/>
        <v>0.39944970002759733</v>
      </c>
      <c r="N34" s="120">
        <f t="shared" si="31"/>
        <v>4.0694769534973254</v>
      </c>
      <c r="O34" s="120">
        <f t="shared" si="32"/>
        <v>3.64</v>
      </c>
      <c r="P34" s="120">
        <f t="shared" si="33"/>
        <v>1.8649157727738153</v>
      </c>
      <c r="Q34" s="120"/>
      <c r="R34" s="121">
        <v>0</v>
      </c>
      <c r="S34" s="121">
        <v>0</v>
      </c>
      <c r="T34" s="121"/>
      <c r="U34" s="122" t="s">
        <v>70</v>
      </c>
      <c r="V34" s="121">
        <f t="shared" si="34"/>
        <v>2.740898615972001</v>
      </c>
      <c r="W34" s="121">
        <f t="shared" si="35"/>
        <v>2.8522695022679696</v>
      </c>
      <c r="X34" s="121">
        <f t="shared" si="36"/>
        <v>2.9815374509314507</v>
      </c>
      <c r="Y34" s="121">
        <f t="shared" si="37"/>
        <v>3.1161462841072547</v>
      </c>
      <c r="Z34" s="121"/>
      <c r="AA34" s="121">
        <v>1.1599999999999999</v>
      </c>
      <c r="AB34" s="121">
        <v>1.22</v>
      </c>
      <c r="AC34" s="121">
        <v>1.39</v>
      </c>
      <c r="AD34" s="121">
        <v>1.89</v>
      </c>
      <c r="AE34" s="121">
        <v>2</v>
      </c>
      <c r="AF34" s="123"/>
      <c r="AG34" s="124">
        <f>AVERAGE(V34:Y34)</f>
        <v>2.9227129633196691</v>
      </c>
      <c r="AH34" s="124">
        <f>AVERAGE(AB34:AE34)</f>
        <v>1.625</v>
      </c>
      <c r="AI34" s="125">
        <f>AG34/AH34</f>
        <v>1.798592592812104</v>
      </c>
    </row>
    <row r="35" spans="1:35" ht="27" x14ac:dyDescent="0.3">
      <c r="A35" s="94"/>
      <c r="B35" s="107" t="s">
        <v>52</v>
      </c>
      <c r="D35" s="165" t="s">
        <v>89</v>
      </c>
      <c r="E35" s="130">
        <v>7.0000000000000007E-2</v>
      </c>
      <c r="F35" s="130">
        <v>0.2</v>
      </c>
      <c r="G35" s="130">
        <v>2.69</v>
      </c>
      <c r="H35" s="130">
        <v>2.35</v>
      </c>
      <c r="I35" s="130">
        <v>2.57</v>
      </c>
      <c r="J35" s="130"/>
      <c r="K35" s="130">
        <f t="shared" si="28"/>
        <v>9.2783234625419223E-2</v>
      </c>
      <c r="L35" s="130">
        <f t="shared" si="29"/>
        <v>0.25392858914933886</v>
      </c>
      <c r="M35" s="130">
        <f t="shared" si="30"/>
        <v>3.2561202820431419</v>
      </c>
      <c r="N35" s="130">
        <f t="shared" si="31"/>
        <v>2.6863120339097515</v>
      </c>
      <c r="O35" s="130">
        <f t="shared" si="32"/>
        <v>2.57</v>
      </c>
      <c r="P35" s="130">
        <f t="shared" si="33"/>
        <v>1.7718288279455305</v>
      </c>
      <c r="Q35" s="130"/>
      <c r="R35" s="113">
        <v>3.26</v>
      </c>
      <c r="S35" s="113">
        <v>1.26</v>
      </c>
      <c r="T35" s="113"/>
      <c r="U35" s="112" t="s">
        <v>70</v>
      </c>
      <c r="V35" s="113">
        <f t="shared" si="34"/>
        <v>2.6040871406390331</v>
      </c>
      <c r="W35" s="113">
        <f t="shared" si="35"/>
        <v>2.7098989686121207</v>
      </c>
      <c r="X35" s="113">
        <f t="shared" si="36"/>
        <v>2.8327145302128849</v>
      </c>
      <c r="Y35" s="113">
        <f t="shared" si="37"/>
        <v>2.9606043870090755</v>
      </c>
      <c r="Z35" s="113"/>
      <c r="AA35" s="113">
        <v>7.04</v>
      </c>
      <c r="AB35" s="113">
        <v>8.31</v>
      </c>
      <c r="AC35" s="113">
        <v>5.19</v>
      </c>
      <c r="AD35" s="113">
        <v>3.08</v>
      </c>
      <c r="AE35" s="113">
        <v>23.39</v>
      </c>
      <c r="AG35" s="114">
        <f>AVERAGE(V35:Y35)</f>
        <v>2.7768262566182784</v>
      </c>
      <c r="AH35" s="114">
        <f>AVERAGE(AB35:AE35)</f>
        <v>9.9924999999999997</v>
      </c>
      <c r="AI35" s="115">
        <f>AG35/AH35</f>
        <v>0.27789104394478642</v>
      </c>
    </row>
    <row r="36" spans="1:35" x14ac:dyDescent="0.3">
      <c r="A36" s="94"/>
      <c r="B36" s="107" t="s">
        <v>52</v>
      </c>
      <c r="D36" s="95" t="s">
        <v>90</v>
      </c>
      <c r="E36" s="130">
        <v>0.68</v>
      </c>
      <c r="F36" s="130">
        <v>0.96</v>
      </c>
      <c r="G36" s="130">
        <v>0.05</v>
      </c>
      <c r="H36" s="130">
        <v>0.01</v>
      </c>
      <c r="I36" s="130">
        <v>0.01</v>
      </c>
      <c r="J36" s="130"/>
      <c r="K36" s="130">
        <f t="shared" si="28"/>
        <v>0.90132285064692963</v>
      </c>
      <c r="L36" s="130">
        <f t="shared" si="29"/>
        <v>1.2188572279168264</v>
      </c>
      <c r="M36" s="130">
        <f t="shared" si="30"/>
        <v>6.0522681822363235E-2</v>
      </c>
      <c r="N36" s="130">
        <f t="shared" si="31"/>
        <v>1.1431115037913836E-2</v>
      </c>
      <c r="O36" s="130">
        <f t="shared" si="32"/>
        <v>0.01</v>
      </c>
      <c r="P36" s="130">
        <f t="shared" si="16"/>
        <v>0.44042677508480654</v>
      </c>
      <c r="Q36" s="130"/>
      <c r="R36" s="113">
        <v>0</v>
      </c>
      <c r="S36" s="113">
        <v>0</v>
      </c>
      <c r="T36" s="113"/>
      <c r="U36" s="112" t="s">
        <v>70</v>
      </c>
      <c r="V36" s="113">
        <f t="shared" si="34"/>
        <v>0.64730276610372572</v>
      </c>
      <c r="W36" s="113">
        <f t="shared" si="35"/>
        <v>0.67360460825969282</v>
      </c>
      <c r="X36" s="113">
        <f t="shared" si="36"/>
        <v>0.70413309999259555</v>
      </c>
      <c r="Y36" s="113">
        <f t="shared" si="37"/>
        <v>0.7359229186852484</v>
      </c>
      <c r="Z36" s="113"/>
      <c r="AA36" s="113">
        <v>0</v>
      </c>
      <c r="AB36" s="113">
        <v>8.1428259999999995</v>
      </c>
      <c r="AC36" s="113">
        <v>7.0841939600000003</v>
      </c>
      <c r="AD36" s="113">
        <v>4.8308252699999992</v>
      </c>
      <c r="AE36" s="113">
        <v>3.5774988799999998</v>
      </c>
      <c r="AG36" s="114">
        <f t="shared" si="25"/>
        <v>0.69024084826031562</v>
      </c>
      <c r="AH36" s="114">
        <f t="shared" si="26"/>
        <v>5.9088360274999996</v>
      </c>
      <c r="AI36" s="115">
        <f t="shared" si="27"/>
        <v>0.11681502838256171</v>
      </c>
    </row>
    <row r="37" spans="1:35" s="137" customFormat="1" x14ac:dyDescent="0.3">
      <c r="A37" s="136"/>
      <c r="B37" s="136" t="s">
        <v>70</v>
      </c>
      <c r="D37" s="95" t="s">
        <v>91</v>
      </c>
      <c r="E37" s="138">
        <f>SUM(E31:E36)</f>
        <v>6.17</v>
      </c>
      <c r="F37" s="138">
        <f>SUM(F31:F36)</f>
        <v>10.909999999999997</v>
      </c>
      <c r="G37" s="138">
        <f>SUM(G31:G36)</f>
        <v>20.900000000000002</v>
      </c>
      <c r="H37" s="138">
        <f>SUM(H31:H36)</f>
        <v>7.1899999999999995</v>
      </c>
      <c r="I37" s="138">
        <f>SUM(I31:I36)</f>
        <v>21.060000000000002</v>
      </c>
      <c r="J37" s="138"/>
      <c r="K37" s="130">
        <f t="shared" si="28"/>
        <v>8.178179394840523</v>
      </c>
      <c r="L37" s="130">
        <f t="shared" si="29"/>
        <v>13.851804538096429</v>
      </c>
      <c r="M37" s="130">
        <f t="shared" si="30"/>
        <v>25.298481001747835</v>
      </c>
      <c r="N37" s="130">
        <f t="shared" si="31"/>
        <v>8.2189717122600463</v>
      </c>
      <c r="O37" s="130">
        <f t="shared" si="32"/>
        <v>21.060000000000002</v>
      </c>
      <c r="P37" s="130">
        <f t="shared" si="16"/>
        <v>15.321487329388967</v>
      </c>
      <c r="Q37" s="138"/>
      <c r="R37" s="138">
        <f>SUM(R31:R36)</f>
        <v>13.87</v>
      </c>
      <c r="S37" s="138">
        <f>SUM(S31:S36)</f>
        <v>27.020000000000003</v>
      </c>
      <c r="T37" s="138"/>
      <c r="U37" s="112" t="s">
        <v>70</v>
      </c>
      <c r="V37" s="113">
        <f t="shared" si="34"/>
        <v>22.51825204593197</v>
      </c>
      <c r="W37" s="113">
        <f t="shared" si="35"/>
        <v>23.433235793808429</v>
      </c>
      <c r="X37" s="113">
        <f t="shared" si="36"/>
        <v>24.495255465934306</v>
      </c>
      <c r="Y37" s="113">
        <f t="shared" si="37"/>
        <v>25.601153953166982</v>
      </c>
      <c r="Z37" s="138"/>
      <c r="AA37" s="138">
        <f>SUM(AA31:AA36)</f>
        <v>44.562614809999992</v>
      </c>
      <c r="AB37" s="138">
        <f>SUM(AB31:AB36)</f>
        <v>39.829846939999996</v>
      </c>
      <c r="AC37" s="138">
        <f>SUM(AC31:AC36)</f>
        <v>46.803869880000001</v>
      </c>
      <c r="AD37" s="138">
        <f>SUM(AD31:AD36)</f>
        <v>35.392948680000003</v>
      </c>
      <c r="AE37" s="138">
        <f>SUM(AE31:AE36)</f>
        <v>72.163537860000005</v>
      </c>
      <c r="AG37" s="114">
        <f t="shared" si="25"/>
        <v>24.011974314710422</v>
      </c>
      <c r="AH37" s="114">
        <f t="shared" si="26"/>
        <v>48.54755084</v>
      </c>
      <c r="AI37" s="115">
        <f t="shared" si="27"/>
        <v>0.49460732620369652</v>
      </c>
    </row>
    <row r="38" spans="1:35" x14ac:dyDescent="0.3">
      <c r="A38" s="94"/>
      <c r="B38" s="94" t="s">
        <v>70</v>
      </c>
      <c r="D38" s="95"/>
      <c r="E38" s="113"/>
      <c r="F38" s="113"/>
      <c r="G38" s="113"/>
      <c r="H38" s="113"/>
      <c r="I38" s="113"/>
      <c r="J38" s="113"/>
      <c r="K38" s="130">
        <f t="shared" si="28"/>
        <v>0</v>
      </c>
      <c r="L38" s="130">
        <f t="shared" si="29"/>
        <v>0</v>
      </c>
      <c r="M38" s="130">
        <f t="shared" si="30"/>
        <v>0</v>
      </c>
      <c r="N38" s="130">
        <f t="shared" si="31"/>
        <v>0</v>
      </c>
      <c r="O38" s="130">
        <f t="shared" si="32"/>
        <v>0</v>
      </c>
      <c r="P38" s="130">
        <f t="shared" si="16"/>
        <v>0</v>
      </c>
      <c r="Q38" s="113"/>
      <c r="R38" s="113"/>
      <c r="S38" s="113"/>
      <c r="T38" s="113"/>
      <c r="U38" s="112" t="s">
        <v>70</v>
      </c>
      <c r="V38" s="113">
        <f t="shared" si="34"/>
        <v>0</v>
      </c>
      <c r="W38" s="113">
        <f t="shared" si="35"/>
        <v>0</v>
      </c>
      <c r="X38" s="113">
        <f t="shared" si="36"/>
        <v>0</v>
      </c>
      <c r="Y38" s="113">
        <f t="shared" si="37"/>
        <v>0</v>
      </c>
      <c r="Z38" s="113"/>
      <c r="AA38" s="113">
        <v>0</v>
      </c>
      <c r="AB38" s="113">
        <v>0</v>
      </c>
      <c r="AC38" s="113">
        <v>0</v>
      </c>
      <c r="AD38" s="113">
        <v>0</v>
      </c>
      <c r="AE38" s="113">
        <v>0</v>
      </c>
      <c r="AG38" s="114">
        <f t="shared" si="25"/>
        <v>0</v>
      </c>
      <c r="AH38" s="114">
        <f t="shared" si="26"/>
        <v>0</v>
      </c>
      <c r="AI38" s="115"/>
    </row>
    <row r="39" spans="1:35" s="137" customFormat="1" x14ac:dyDescent="0.3">
      <c r="A39" s="136"/>
      <c r="B39" s="136" t="s">
        <v>70</v>
      </c>
      <c r="D39" s="95" t="s">
        <v>77</v>
      </c>
      <c r="E39" s="138">
        <f t="shared" ref="E39:G39" si="38">E37-E38</f>
        <v>6.17</v>
      </c>
      <c r="F39" s="138">
        <f t="shared" si="38"/>
        <v>10.909999999999997</v>
      </c>
      <c r="G39" s="138">
        <f t="shared" si="38"/>
        <v>20.900000000000002</v>
      </c>
      <c r="H39" s="138">
        <f>H37-H38</f>
        <v>7.1899999999999995</v>
      </c>
      <c r="I39" s="138">
        <f>I37-I38</f>
        <v>21.060000000000002</v>
      </c>
      <c r="J39" s="138"/>
      <c r="K39" s="130">
        <f t="shared" si="28"/>
        <v>8.178179394840523</v>
      </c>
      <c r="L39" s="130">
        <f t="shared" si="29"/>
        <v>13.851804538096429</v>
      </c>
      <c r="M39" s="130">
        <f t="shared" si="30"/>
        <v>25.298481001747835</v>
      </c>
      <c r="N39" s="130">
        <f t="shared" si="31"/>
        <v>8.2189717122600463</v>
      </c>
      <c r="O39" s="130">
        <f t="shared" si="32"/>
        <v>21.060000000000002</v>
      </c>
      <c r="P39" s="130">
        <f>AVERAGE(K39:O39)</f>
        <v>15.321487329388967</v>
      </c>
      <c r="Q39" s="138"/>
      <c r="R39" s="138">
        <f>R37-R38</f>
        <v>13.87</v>
      </c>
      <c r="S39" s="138">
        <f t="shared" ref="S39:AE39" si="39">S37-S38</f>
        <v>27.020000000000003</v>
      </c>
      <c r="T39" s="138"/>
      <c r="U39" s="112" t="s">
        <v>70</v>
      </c>
      <c r="V39" s="113">
        <f t="shared" si="34"/>
        <v>22.51825204593197</v>
      </c>
      <c r="W39" s="113">
        <f t="shared" si="35"/>
        <v>23.433235793808429</v>
      </c>
      <c r="X39" s="113">
        <f t="shared" si="36"/>
        <v>24.495255465934306</v>
      </c>
      <c r="Y39" s="113">
        <f t="shared" si="37"/>
        <v>25.601153953166982</v>
      </c>
      <c r="Z39" s="138"/>
      <c r="AA39" s="138">
        <f t="shared" si="39"/>
        <v>44.562614809999992</v>
      </c>
      <c r="AB39" s="138">
        <f t="shared" si="39"/>
        <v>39.829846939999996</v>
      </c>
      <c r="AC39" s="138">
        <f t="shared" si="39"/>
        <v>46.803869880000001</v>
      </c>
      <c r="AD39" s="138">
        <f t="shared" si="39"/>
        <v>35.392948680000003</v>
      </c>
      <c r="AE39" s="138">
        <f t="shared" si="39"/>
        <v>72.163537860000005</v>
      </c>
      <c r="AG39" s="114">
        <f t="shared" si="25"/>
        <v>24.011974314710422</v>
      </c>
      <c r="AH39" s="114">
        <f t="shared" si="26"/>
        <v>48.54755084</v>
      </c>
      <c r="AI39" s="115">
        <f t="shared" si="27"/>
        <v>0.49460732620369652</v>
      </c>
    </row>
    <row r="40" spans="1:35" s="137" customFormat="1" x14ac:dyDescent="0.3">
      <c r="A40" s="136"/>
      <c r="B40" s="136"/>
      <c r="E40" s="144"/>
      <c r="F40" s="144"/>
      <c r="G40" s="144"/>
      <c r="H40" s="144"/>
      <c r="I40" s="144"/>
      <c r="J40" s="144"/>
      <c r="K40" s="109"/>
      <c r="L40" s="109"/>
      <c r="M40" s="109"/>
      <c r="N40" s="109"/>
      <c r="O40" s="109"/>
      <c r="P40" s="109"/>
      <c r="Q40" s="144"/>
      <c r="R40" s="144"/>
      <c r="S40" s="144"/>
      <c r="T40" s="144"/>
      <c r="U40" s="145"/>
      <c r="V40" s="146"/>
      <c r="W40" s="146"/>
      <c r="X40" s="146"/>
      <c r="Y40" s="146"/>
      <c r="Z40" s="144"/>
      <c r="AA40" s="144"/>
      <c r="AB40" s="144"/>
      <c r="AC40" s="144"/>
      <c r="AD40" s="144"/>
      <c r="AE40" s="144"/>
      <c r="AG40" s="147"/>
      <c r="AH40" s="147"/>
      <c r="AI40" s="148"/>
    </row>
    <row r="41" spans="1:35" x14ac:dyDescent="0.3">
      <c r="A41" s="94"/>
      <c r="B41" s="94"/>
      <c r="D41" s="149" t="s">
        <v>92</v>
      </c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I41" s="148"/>
    </row>
    <row r="42" spans="1:35" x14ac:dyDescent="0.3">
      <c r="A42" s="116" t="s">
        <v>51</v>
      </c>
      <c r="B42" s="94"/>
      <c r="D42" s="117" t="s">
        <v>93</v>
      </c>
      <c r="E42" s="120">
        <v>0.79</v>
      </c>
      <c r="F42" s="120">
        <v>0.83</v>
      </c>
      <c r="G42" s="120">
        <v>5.36</v>
      </c>
      <c r="H42" s="120">
        <v>1.37</v>
      </c>
      <c r="I42" s="120">
        <v>0.67</v>
      </c>
      <c r="J42" s="120"/>
      <c r="K42" s="120">
        <f t="shared" ref="K42:K49" si="40">E42*($E$73/$E$69)</f>
        <v>1.047125076486874</v>
      </c>
      <c r="L42" s="120">
        <f t="shared" ref="L42:L49" si="41">F42*($E$73/$E$70)</f>
        <v>1.0538036449697561</v>
      </c>
      <c r="M42" s="120">
        <f t="shared" ref="M42:M49" si="42">G42*($E$73/$E$71)</f>
        <v>6.4880314913573391</v>
      </c>
      <c r="N42" s="120">
        <f t="shared" ref="N42:N49" si="43">H42*($E$73/$E$72)</f>
        <v>1.5660627601941954</v>
      </c>
      <c r="O42" s="120">
        <f t="shared" ref="O42:O49" si="44">I42*($E$73/$E$73)</f>
        <v>0.67</v>
      </c>
      <c r="P42" s="120">
        <f t="shared" ref="P42:P51" si="45">AVERAGE(K42:O42)</f>
        <v>2.165004594601633</v>
      </c>
      <c r="Q42" s="120"/>
      <c r="R42" s="120">
        <v>0.21</v>
      </c>
      <c r="S42" s="120">
        <v>0.5</v>
      </c>
      <c r="T42" s="120"/>
      <c r="U42" s="122" t="s">
        <v>70</v>
      </c>
      <c r="V42" s="121">
        <f t="shared" ref="V42:V49" si="46">$P42*($E$77/$E$73)</f>
        <v>3.1819442912912432</v>
      </c>
      <c r="W42" s="121">
        <f t="shared" ref="W42:W49" si="47">$P42*($E$78/$E$73)</f>
        <v>3.3112361789227132</v>
      </c>
      <c r="X42" s="121">
        <f t="shared" ref="X42:X49" si="48">$P42*($E$79/$E$73)</f>
        <v>3.4613049953684563</v>
      </c>
      <c r="Y42" s="121">
        <f t="shared" ref="Y42:Y49" si="49">$P42*($E$80/$E$73)</f>
        <v>3.6175741130166594</v>
      </c>
      <c r="Z42" s="120"/>
      <c r="AA42" s="120">
        <v>5.1731992</v>
      </c>
      <c r="AB42" s="120">
        <v>1.9760831999999999</v>
      </c>
      <c r="AC42" s="120">
        <v>5.4183157800000004</v>
      </c>
      <c r="AD42" s="120">
        <v>1.4096795600000001</v>
      </c>
      <c r="AE42" s="120">
        <v>0.79386602000000006</v>
      </c>
      <c r="AF42" s="123"/>
      <c r="AG42" s="124">
        <f t="shared" ref="AG42:AG53" si="50">AVERAGE(V42:Y42)</f>
        <v>3.3930148946497676</v>
      </c>
      <c r="AH42" s="124">
        <f t="shared" ref="AH42:AH49" si="51">AVERAGE(AB42:AE42)</f>
        <v>2.39948614</v>
      </c>
      <c r="AI42" s="125">
        <f t="shared" ref="AI42:AI49" si="52">AG42/AH42</f>
        <v>1.4140589679129247</v>
      </c>
    </row>
    <row r="43" spans="1:35" x14ac:dyDescent="0.3">
      <c r="A43" s="116" t="s">
        <v>51</v>
      </c>
      <c r="B43" s="94"/>
      <c r="D43" s="117" t="s">
        <v>94</v>
      </c>
      <c r="E43" s="120">
        <v>0.8</v>
      </c>
      <c r="F43" s="120">
        <v>1.63</v>
      </c>
      <c r="G43" s="120">
        <v>2.33</v>
      </c>
      <c r="H43" s="120">
        <v>1.79</v>
      </c>
      <c r="I43" s="120">
        <v>1.24</v>
      </c>
      <c r="J43" s="120"/>
      <c r="K43" s="120">
        <f t="shared" si="40"/>
        <v>1.0603798242905054</v>
      </c>
      <c r="L43" s="120">
        <f t="shared" si="41"/>
        <v>2.0695180015671113</v>
      </c>
      <c r="M43" s="120">
        <f t="shared" si="42"/>
        <v>2.8203569729221267</v>
      </c>
      <c r="N43" s="120">
        <f t="shared" si="43"/>
        <v>2.0461695917865765</v>
      </c>
      <c r="O43" s="120">
        <f t="shared" si="44"/>
        <v>1.24</v>
      </c>
      <c r="P43" s="120">
        <f t="shared" si="45"/>
        <v>1.847284878113264</v>
      </c>
      <c r="Q43" s="120"/>
      <c r="R43" s="120">
        <v>2</v>
      </c>
      <c r="S43" s="120">
        <v>1.74</v>
      </c>
      <c r="T43" s="120"/>
      <c r="U43" s="122" t="s">
        <v>70</v>
      </c>
      <c r="V43" s="121">
        <f t="shared" si="46"/>
        <v>2.714986188462432</v>
      </c>
      <c r="W43" s="121">
        <f t="shared" si="47"/>
        <v>2.8253041755373189</v>
      </c>
      <c r="X43" s="121">
        <f t="shared" si="48"/>
        <v>2.9533500263349639</v>
      </c>
      <c r="Y43" s="121">
        <f t="shared" si="49"/>
        <v>3.0866862689773242</v>
      </c>
      <c r="Z43" s="120"/>
      <c r="AA43" s="120">
        <v>3.9678</v>
      </c>
      <c r="AB43" s="120">
        <v>3.3708960000000001</v>
      </c>
      <c r="AC43" s="120">
        <v>4.6374440000000003</v>
      </c>
      <c r="AD43" s="120">
        <v>2.9603640000000002</v>
      </c>
      <c r="AE43" s="120">
        <v>2.9093035</v>
      </c>
      <c r="AF43" s="123"/>
      <c r="AG43" s="124">
        <f t="shared" si="50"/>
        <v>2.8950816648280098</v>
      </c>
      <c r="AH43" s="124">
        <f t="shared" si="51"/>
        <v>3.4695018750000002</v>
      </c>
      <c r="AI43" s="125">
        <f t="shared" si="52"/>
        <v>0.83443726769221294</v>
      </c>
    </row>
    <row r="44" spans="1:35" x14ac:dyDescent="0.3">
      <c r="A44" s="116" t="s">
        <v>51</v>
      </c>
      <c r="B44" s="94"/>
      <c r="D44" s="117" t="s">
        <v>95</v>
      </c>
      <c r="E44" s="120">
        <v>4.2300000000000004</v>
      </c>
      <c r="F44" s="120">
        <v>2.71</v>
      </c>
      <c r="G44" s="120">
        <v>3.3</v>
      </c>
      <c r="H44" s="120">
        <v>3.03</v>
      </c>
      <c r="I44" s="120">
        <v>2.35</v>
      </c>
      <c r="J44" s="120"/>
      <c r="K44" s="120">
        <f t="shared" si="40"/>
        <v>5.6067583209360476</v>
      </c>
      <c r="L44" s="120">
        <f t="shared" si="41"/>
        <v>3.4407323829735414</v>
      </c>
      <c r="M44" s="120">
        <f t="shared" si="42"/>
        <v>3.994497000275973</v>
      </c>
      <c r="N44" s="120">
        <f t="shared" si="43"/>
        <v>3.463627856487892</v>
      </c>
      <c r="O44" s="120">
        <f t="shared" si="44"/>
        <v>2.35</v>
      </c>
      <c r="P44" s="120">
        <f t="shared" si="45"/>
        <v>3.7711231121346911</v>
      </c>
      <c r="Q44" s="120"/>
      <c r="R44" s="120">
        <v>1.44</v>
      </c>
      <c r="S44" s="120">
        <v>1.33</v>
      </c>
      <c r="T44" s="120"/>
      <c r="U44" s="122" t="s">
        <v>70</v>
      </c>
      <c r="V44" s="121">
        <f t="shared" si="46"/>
        <v>5.5424841537675302</v>
      </c>
      <c r="W44" s="121">
        <f t="shared" si="47"/>
        <v>5.7676918170095908</v>
      </c>
      <c r="X44" s="121">
        <f t="shared" si="48"/>
        <v>6.0290898683210585</v>
      </c>
      <c r="Y44" s="121">
        <f t="shared" si="49"/>
        <v>6.3012879425170478</v>
      </c>
      <c r="Z44" s="120"/>
      <c r="AA44" s="120">
        <v>2.6387399999999999</v>
      </c>
      <c r="AB44" s="120">
        <v>2.1216356999999997</v>
      </c>
      <c r="AC44" s="120">
        <v>1.9534039000000001</v>
      </c>
      <c r="AD44" s="120">
        <v>2.0411357999999997</v>
      </c>
      <c r="AE44" s="120">
        <v>1.4946753700000002</v>
      </c>
      <c r="AF44" s="123"/>
      <c r="AG44" s="124">
        <f t="shared" si="50"/>
        <v>5.9101384454038062</v>
      </c>
      <c r="AH44" s="124">
        <f t="shared" si="51"/>
        <v>1.9027126925</v>
      </c>
      <c r="AI44" s="125">
        <f t="shared" si="52"/>
        <v>3.1061644086887314</v>
      </c>
    </row>
    <row r="45" spans="1:35" x14ac:dyDescent="0.3">
      <c r="A45" s="116" t="s">
        <v>51</v>
      </c>
      <c r="B45" s="94"/>
      <c r="D45" s="117" t="s">
        <v>96</v>
      </c>
      <c r="E45" s="120">
        <v>0.16</v>
      </c>
      <c r="F45" s="120">
        <v>0.17</v>
      </c>
      <c r="G45" s="120">
        <v>0.46</v>
      </c>
      <c r="H45" s="120">
        <v>0.43</v>
      </c>
      <c r="I45" s="120">
        <v>0.36</v>
      </c>
      <c r="J45" s="120"/>
      <c r="K45" s="120">
        <f t="shared" si="40"/>
        <v>0.21207596485810107</v>
      </c>
      <c r="L45" s="120">
        <f t="shared" si="41"/>
        <v>0.21583930077693803</v>
      </c>
      <c r="M45" s="120">
        <f t="shared" si="42"/>
        <v>0.55680867276574175</v>
      </c>
      <c r="N45" s="120">
        <f t="shared" si="43"/>
        <v>0.49153794663029488</v>
      </c>
      <c r="O45" s="120">
        <f t="shared" si="44"/>
        <v>0.36</v>
      </c>
      <c r="P45" s="120">
        <f t="shared" si="45"/>
        <v>0.36725237700621516</v>
      </c>
      <c r="Q45" s="120"/>
      <c r="R45" s="120">
        <v>0.48</v>
      </c>
      <c r="S45" s="120">
        <v>0.19</v>
      </c>
      <c r="T45" s="120"/>
      <c r="U45" s="122" t="s">
        <v>70</v>
      </c>
      <c r="V45" s="121">
        <f t="shared" si="46"/>
        <v>0.5397571013899336</v>
      </c>
      <c r="W45" s="121">
        <f t="shared" si="47"/>
        <v>0.56168904240228734</v>
      </c>
      <c r="X45" s="121">
        <f t="shared" si="48"/>
        <v>0.58714539925789466</v>
      </c>
      <c r="Y45" s="121">
        <f t="shared" si="49"/>
        <v>0.61365352078893753</v>
      </c>
      <c r="Z45" s="120"/>
      <c r="AA45" s="120">
        <v>1.12537416</v>
      </c>
      <c r="AB45" s="120">
        <v>1.2603499199999999</v>
      </c>
      <c r="AC45" s="120">
        <v>1.3511638799999999</v>
      </c>
      <c r="AD45" s="120">
        <v>0.83665336999999995</v>
      </c>
      <c r="AE45" s="120">
        <v>0.83419367999999994</v>
      </c>
      <c r="AF45" s="123"/>
      <c r="AG45" s="124">
        <f t="shared" si="50"/>
        <v>0.57556126595976331</v>
      </c>
      <c r="AH45" s="124">
        <f t="shared" si="51"/>
        <v>1.0705902125</v>
      </c>
      <c r="AI45" s="125">
        <f t="shared" si="52"/>
        <v>0.53761117861869423</v>
      </c>
    </row>
    <row r="46" spans="1:35" x14ac:dyDescent="0.3">
      <c r="A46" s="94"/>
      <c r="B46" s="107" t="s">
        <v>52</v>
      </c>
      <c r="D46" s="95" t="s">
        <v>97</v>
      </c>
      <c r="E46" s="130">
        <v>0.54</v>
      </c>
      <c r="F46" s="130">
        <v>1.69</v>
      </c>
      <c r="G46" s="130">
        <v>0.93</v>
      </c>
      <c r="H46" s="130">
        <v>0.71</v>
      </c>
      <c r="I46" s="130">
        <v>0.67</v>
      </c>
      <c r="J46" s="130"/>
      <c r="K46" s="130">
        <f t="shared" si="40"/>
        <v>0.71575638139609121</v>
      </c>
      <c r="L46" s="130">
        <f t="shared" si="41"/>
        <v>2.1456965783119131</v>
      </c>
      <c r="M46" s="130">
        <f t="shared" si="42"/>
        <v>1.1257218818959562</v>
      </c>
      <c r="N46" s="130">
        <f t="shared" si="43"/>
        <v>0.81160916769188218</v>
      </c>
      <c r="O46" s="130">
        <f t="shared" si="44"/>
        <v>0.67</v>
      </c>
      <c r="P46" s="130">
        <f t="shared" si="45"/>
        <v>1.0937568018591686</v>
      </c>
      <c r="Q46" s="130"/>
      <c r="R46" s="130">
        <v>2.02</v>
      </c>
      <c r="S46" s="130">
        <v>1.33</v>
      </c>
      <c r="T46" s="130"/>
      <c r="U46" s="112" t="s">
        <v>70</v>
      </c>
      <c r="V46" s="113">
        <f t="shared" si="46"/>
        <v>1.6075130835355704</v>
      </c>
      <c r="W46" s="113">
        <f t="shared" si="47"/>
        <v>1.6728311349959426</v>
      </c>
      <c r="X46" s="113">
        <f t="shared" si="48"/>
        <v>1.7486456571192495</v>
      </c>
      <c r="Y46" s="113">
        <f t="shared" si="49"/>
        <v>1.8275925613311099</v>
      </c>
      <c r="Z46" s="130"/>
      <c r="AA46" s="130">
        <v>0.82874999999999999</v>
      </c>
      <c r="AB46" s="130">
        <v>1.69065</v>
      </c>
      <c r="AC46" s="130">
        <v>3.4489000000000001</v>
      </c>
      <c r="AD46" s="130">
        <v>5.2766999999999999</v>
      </c>
      <c r="AE46" s="130">
        <v>6.2795687500000001</v>
      </c>
      <c r="AG46" s="114">
        <f t="shared" si="50"/>
        <v>1.7141456092454681</v>
      </c>
      <c r="AH46" s="114">
        <f t="shared" si="51"/>
        <v>4.1739546875000002</v>
      </c>
      <c r="AI46" s="115">
        <f t="shared" si="52"/>
        <v>0.41067662147337769</v>
      </c>
    </row>
    <row r="47" spans="1:35" s="137" customFormat="1" x14ac:dyDescent="0.3">
      <c r="A47" s="136"/>
      <c r="B47" s="136" t="s">
        <v>70</v>
      </c>
      <c r="D47" s="95" t="s">
        <v>98</v>
      </c>
      <c r="E47" s="166">
        <f t="shared" ref="E47:AE47" si="53">SUM(E42:E46)</f>
        <v>6.5200000000000005</v>
      </c>
      <c r="F47" s="166">
        <f t="shared" si="53"/>
        <v>7.0299999999999994</v>
      </c>
      <c r="G47" s="166">
        <f t="shared" si="53"/>
        <v>12.38</v>
      </c>
      <c r="H47" s="166">
        <f t="shared" si="53"/>
        <v>7.3299999999999992</v>
      </c>
      <c r="I47" s="166">
        <f t="shared" si="53"/>
        <v>5.29</v>
      </c>
      <c r="J47" s="166"/>
      <c r="K47" s="167">
        <f t="shared" si="40"/>
        <v>8.642095567967619</v>
      </c>
      <c r="L47" s="167">
        <f t="shared" si="41"/>
        <v>8.9255899085992603</v>
      </c>
      <c r="M47" s="167">
        <f t="shared" si="42"/>
        <v>14.985416019217137</v>
      </c>
      <c r="N47" s="167">
        <f t="shared" si="43"/>
        <v>8.3790073227908408</v>
      </c>
      <c r="O47" s="167">
        <f t="shared" si="44"/>
        <v>5.29</v>
      </c>
      <c r="P47" s="167">
        <f t="shared" si="45"/>
        <v>9.2444217637149713</v>
      </c>
      <c r="Q47" s="166"/>
      <c r="R47" s="166">
        <f t="shared" si="53"/>
        <v>6.15</v>
      </c>
      <c r="S47" s="166">
        <f t="shared" si="53"/>
        <v>5.09</v>
      </c>
      <c r="T47" s="166"/>
      <c r="U47" s="168" t="s">
        <v>70</v>
      </c>
      <c r="V47" s="169">
        <f t="shared" si="46"/>
        <v>13.586684818446709</v>
      </c>
      <c r="W47" s="169">
        <f t="shared" si="47"/>
        <v>14.138752348867852</v>
      </c>
      <c r="X47" s="169">
        <f t="shared" si="48"/>
        <v>14.779535946401621</v>
      </c>
      <c r="Y47" s="169">
        <f t="shared" si="49"/>
        <v>15.446794406631078</v>
      </c>
      <c r="Z47" s="166"/>
      <c r="AA47" s="166">
        <f t="shared" si="53"/>
        <v>13.733863359999999</v>
      </c>
      <c r="AB47" s="166">
        <f t="shared" si="53"/>
        <v>10.41961482</v>
      </c>
      <c r="AC47" s="166">
        <f t="shared" si="53"/>
        <v>16.80922756</v>
      </c>
      <c r="AD47" s="166">
        <f t="shared" si="53"/>
        <v>12.524532730000001</v>
      </c>
      <c r="AE47" s="166">
        <f t="shared" si="53"/>
        <v>12.31160732</v>
      </c>
      <c r="AG47" s="142">
        <f t="shared" si="50"/>
        <v>14.487941880086815</v>
      </c>
      <c r="AH47" s="142">
        <f t="shared" si="51"/>
        <v>13.0162456075</v>
      </c>
      <c r="AI47" s="143">
        <f t="shared" si="52"/>
        <v>1.1130661111479656</v>
      </c>
    </row>
    <row r="48" spans="1:35" x14ac:dyDescent="0.3">
      <c r="A48" s="94"/>
      <c r="B48" s="136" t="s">
        <v>70</v>
      </c>
      <c r="D48" s="95"/>
      <c r="E48" s="169"/>
      <c r="F48" s="169"/>
      <c r="G48" s="169"/>
      <c r="H48" s="169"/>
      <c r="I48" s="169"/>
      <c r="J48" s="169"/>
      <c r="K48" s="167">
        <f t="shared" si="40"/>
        <v>0</v>
      </c>
      <c r="L48" s="167">
        <f t="shared" si="41"/>
        <v>0</v>
      </c>
      <c r="M48" s="167">
        <f t="shared" si="42"/>
        <v>0</v>
      </c>
      <c r="N48" s="167">
        <f t="shared" si="43"/>
        <v>0</v>
      </c>
      <c r="O48" s="167">
        <f t="shared" si="44"/>
        <v>0</v>
      </c>
      <c r="P48" s="167">
        <f t="shared" si="45"/>
        <v>0</v>
      </c>
      <c r="Q48" s="169"/>
      <c r="R48" s="169"/>
      <c r="S48" s="169"/>
      <c r="T48" s="169"/>
      <c r="U48" s="169"/>
      <c r="V48" s="169">
        <f t="shared" si="46"/>
        <v>0</v>
      </c>
      <c r="W48" s="169">
        <f t="shared" si="47"/>
        <v>0</v>
      </c>
      <c r="X48" s="169">
        <f t="shared" si="48"/>
        <v>0</v>
      </c>
      <c r="Y48" s="169">
        <f t="shared" si="49"/>
        <v>0</v>
      </c>
      <c r="Z48" s="169"/>
      <c r="AA48" s="169"/>
      <c r="AB48" s="169"/>
      <c r="AC48" s="169"/>
      <c r="AD48" s="169"/>
      <c r="AE48" s="169"/>
      <c r="AG48" s="114">
        <f t="shared" si="50"/>
        <v>0</v>
      </c>
      <c r="AH48" s="114"/>
      <c r="AI48" s="115"/>
    </row>
    <row r="49" spans="1:36" s="137" customFormat="1" x14ac:dyDescent="0.3">
      <c r="A49" s="136"/>
      <c r="B49" s="136" t="s">
        <v>70</v>
      </c>
      <c r="D49" s="95" t="s">
        <v>77</v>
      </c>
      <c r="E49" s="166">
        <f t="shared" ref="E49:G49" si="54">E47-E48</f>
        <v>6.5200000000000005</v>
      </c>
      <c r="F49" s="166">
        <f t="shared" si="54"/>
        <v>7.0299999999999994</v>
      </c>
      <c r="G49" s="166">
        <f t="shared" si="54"/>
        <v>12.38</v>
      </c>
      <c r="H49" s="166">
        <f>H47-H48</f>
        <v>7.3299999999999992</v>
      </c>
      <c r="I49" s="166">
        <f>I47-I48</f>
        <v>5.29</v>
      </c>
      <c r="J49" s="166"/>
      <c r="K49" s="167">
        <f t="shared" si="40"/>
        <v>8.642095567967619</v>
      </c>
      <c r="L49" s="167">
        <f t="shared" si="41"/>
        <v>8.9255899085992603</v>
      </c>
      <c r="M49" s="167">
        <f t="shared" si="42"/>
        <v>14.985416019217137</v>
      </c>
      <c r="N49" s="167">
        <f t="shared" si="43"/>
        <v>8.3790073227908408</v>
      </c>
      <c r="O49" s="167">
        <f t="shared" si="44"/>
        <v>5.29</v>
      </c>
      <c r="P49" s="167">
        <f t="shared" si="45"/>
        <v>9.2444217637149713</v>
      </c>
      <c r="Q49" s="166"/>
      <c r="R49" s="166">
        <f>R47-R48</f>
        <v>6.15</v>
      </c>
      <c r="S49" s="166">
        <f t="shared" ref="S49:AE49" si="55">S47-S48</f>
        <v>5.09</v>
      </c>
      <c r="T49" s="166"/>
      <c r="U49" s="168" t="s">
        <v>70</v>
      </c>
      <c r="V49" s="169">
        <f t="shared" si="46"/>
        <v>13.586684818446709</v>
      </c>
      <c r="W49" s="169">
        <f t="shared" si="47"/>
        <v>14.138752348867852</v>
      </c>
      <c r="X49" s="169">
        <f t="shared" si="48"/>
        <v>14.779535946401621</v>
      </c>
      <c r="Y49" s="169">
        <f t="shared" si="49"/>
        <v>15.446794406631078</v>
      </c>
      <c r="Z49" s="166"/>
      <c r="AA49" s="166">
        <f t="shared" si="55"/>
        <v>13.733863359999999</v>
      </c>
      <c r="AB49" s="166">
        <f t="shared" si="55"/>
        <v>10.41961482</v>
      </c>
      <c r="AC49" s="166">
        <f t="shared" si="55"/>
        <v>16.80922756</v>
      </c>
      <c r="AD49" s="166">
        <f t="shared" si="55"/>
        <v>12.524532730000001</v>
      </c>
      <c r="AE49" s="166">
        <f t="shared" si="55"/>
        <v>12.31160732</v>
      </c>
      <c r="AG49" s="142">
        <f t="shared" si="50"/>
        <v>14.487941880086815</v>
      </c>
      <c r="AH49" s="142">
        <f t="shared" si="51"/>
        <v>13.0162456075</v>
      </c>
      <c r="AI49" s="143">
        <f t="shared" si="52"/>
        <v>1.1130661111479656</v>
      </c>
    </row>
    <row r="50" spans="1:36" s="137" customFormat="1" x14ac:dyDescent="0.3">
      <c r="A50" s="136"/>
      <c r="B50" s="136"/>
      <c r="D50" s="170"/>
      <c r="E50" s="166"/>
      <c r="F50" s="166"/>
      <c r="G50" s="166"/>
      <c r="H50" s="166"/>
      <c r="I50" s="166"/>
      <c r="J50" s="166"/>
      <c r="K50" s="167"/>
      <c r="L50" s="167"/>
      <c r="M50" s="167"/>
      <c r="N50" s="167"/>
      <c r="O50" s="167"/>
      <c r="P50" s="167"/>
      <c r="Q50" s="166"/>
      <c r="R50" s="166"/>
      <c r="S50" s="166"/>
      <c r="T50" s="166"/>
      <c r="U50" s="168"/>
      <c r="V50" s="169"/>
      <c r="W50" s="169"/>
      <c r="X50" s="169"/>
      <c r="Y50" s="169"/>
      <c r="Z50" s="166"/>
      <c r="AA50" s="166"/>
      <c r="AB50" s="166"/>
      <c r="AC50" s="166"/>
      <c r="AD50" s="166"/>
      <c r="AE50" s="166"/>
      <c r="AG50" s="114"/>
      <c r="AH50" s="114"/>
      <c r="AI50" s="115"/>
    </row>
    <row r="51" spans="1:36" ht="15" thickBot="1" x14ac:dyDescent="0.35">
      <c r="A51" s="116" t="s">
        <v>51</v>
      </c>
      <c r="B51" s="94"/>
      <c r="D51" s="171" t="s">
        <v>99</v>
      </c>
      <c r="E51" s="172">
        <f>(107167.15-451441.09)/1000000</f>
        <v>-0.34427394000000006</v>
      </c>
      <c r="F51" s="172">
        <f>(-108431.66-42583.88)/1000000</f>
        <v>-0.15101554</v>
      </c>
      <c r="G51" s="172">
        <f>0.43/1000000</f>
        <v>4.3000000000000001E-7</v>
      </c>
      <c r="H51" s="172"/>
      <c r="I51" s="172"/>
      <c r="J51" s="172"/>
      <c r="K51" s="173">
        <f>E51*($E$73/$E$69)</f>
        <v>-0.45632642500625004</v>
      </c>
      <c r="L51" s="173">
        <f>F51*($E$73/$E$70)</f>
        <v>-0.19173581505912773</v>
      </c>
      <c r="M51" s="173">
        <f>G51*($E$73/$E$71)</f>
        <v>5.2049506367232385E-7</v>
      </c>
      <c r="N51" s="173">
        <f>H51*($E$73/$E$72)</f>
        <v>0</v>
      </c>
      <c r="O51" s="173">
        <f>I51*($E$73/$E$73)</f>
        <v>0</v>
      </c>
      <c r="P51" s="173">
        <f t="shared" si="45"/>
        <v>-0.12961234391406279</v>
      </c>
      <c r="Q51" s="174"/>
      <c r="R51" s="174"/>
      <c r="S51" s="174"/>
      <c r="T51" s="174"/>
      <c r="U51" s="175"/>
      <c r="V51" s="176">
        <f>$P51*($E$77/$E$73)</f>
        <v>-0.19049347924091389</v>
      </c>
      <c r="W51" s="176">
        <f>$P51*($E$78/$E$73)</f>
        <v>-0.19823379750479822</v>
      </c>
      <c r="X51" s="176">
        <f>$P51*($E$79/$E$73)</f>
        <v>-0.20721796829891193</v>
      </c>
      <c r="Y51" s="176">
        <f>$P51*($E$80/$E$73)</f>
        <v>-0.21657333256477526</v>
      </c>
      <c r="Z51" s="174"/>
      <c r="AA51" s="174"/>
      <c r="AB51" s="174"/>
      <c r="AC51" s="174"/>
      <c r="AD51" s="174"/>
      <c r="AE51" s="174"/>
      <c r="AF51" s="123"/>
      <c r="AG51" s="177">
        <f t="shared" si="50"/>
        <v>-0.20312964440234985</v>
      </c>
      <c r="AH51" s="177"/>
      <c r="AI51" s="178"/>
    </row>
    <row r="52" spans="1:36" s="137" customFormat="1" ht="15.6" thickTop="1" thickBot="1" x14ac:dyDescent="0.35">
      <c r="A52" s="136"/>
      <c r="B52" s="136"/>
      <c r="C52" s="179"/>
      <c r="D52" s="95" t="s">
        <v>100</v>
      </c>
      <c r="E52" s="180" cm="1">
        <f t="array" ref="E52">SUMPRODUCT(--($D10:$D51="Sub-Total"), E$10:E$51)+E51</f>
        <v>34.335726060000006</v>
      </c>
      <c r="F52" s="180">
        <f>SUMPRODUCT(--($D10:$D51="Sub-Total"), F$10:F$51)+F51</f>
        <v>51.018984459999999</v>
      </c>
      <c r="G52" s="180">
        <f>SUMPRODUCT(--($D10:$D51="Sub-Total"), G$10:G$51)+G51</f>
        <v>77.280000430000001</v>
      </c>
      <c r="H52" s="180">
        <f>SUMPRODUCT(--($D10:$D51="Sub-Total"), H$10:H$51)+H51</f>
        <v>55.230000000000004</v>
      </c>
      <c r="I52" s="180">
        <f>SUMPRODUCT(--($D10:$D51="Sub-Total"), I$10:I$51)+I51</f>
        <v>72.470000000000013</v>
      </c>
      <c r="J52" s="180"/>
      <c r="K52" s="181">
        <f>E52*($E$73/$E$69)</f>
        <v>45.511138957987164</v>
      </c>
      <c r="L52" s="182">
        <f>F52*($E$73/$E$70)</f>
        <v>64.77589371879921</v>
      </c>
      <c r="M52" s="182">
        <f>G52*($E$73/$E$71)</f>
        <v>93.543857545139673</v>
      </c>
      <c r="N52" s="182">
        <f>H52*($E$73/$E$72)</f>
        <v>63.134048354398118</v>
      </c>
      <c r="O52" s="182">
        <f>I52*($E$73/$E$73)</f>
        <v>72.470000000000013</v>
      </c>
      <c r="P52" s="182">
        <f>AVERAGE(K52:O52)</f>
        <v>67.886987715264837</v>
      </c>
      <c r="Q52" s="183"/>
      <c r="R52" s="183">
        <f>SUMPRODUCT(--($D10:$D51="Sub-Total"), R$10:R$51)+R51</f>
        <v>63.019999999999996</v>
      </c>
      <c r="S52" s="183">
        <f>SUMPRODUCT(--($D10:$D51="Sub-Total"), S$10:S$51)+S51</f>
        <v>78.47</v>
      </c>
      <c r="T52" s="183"/>
      <c r="U52" s="184" t="s">
        <v>70</v>
      </c>
      <c r="V52" s="185">
        <f>$P52*($E$77/$E$73)</f>
        <v>99.774667246511143</v>
      </c>
      <c r="W52" s="185">
        <f>$P52*($E$78/$E$73)</f>
        <v>103.82880958376381</v>
      </c>
      <c r="X52" s="185">
        <f>$P52*($E$79/$E$73)</f>
        <v>108.53444389230026</v>
      </c>
      <c r="Y52" s="185">
        <f>$P52*($E$80/$E$73)</f>
        <v>113.43449800604724</v>
      </c>
      <c r="Z52" s="183"/>
      <c r="AA52" s="183">
        <f>SUMPRODUCT(--($D10:$D51="Sub-Total"), AA$10:AA$51)+AA51</f>
        <v>123.33624959999999</v>
      </c>
      <c r="AB52" s="183">
        <f>SUMPRODUCT(--($D10:$D51="Sub-Total"), AB$10:AB$51)+AB51</f>
        <v>129.73618913999999</v>
      </c>
      <c r="AC52" s="183">
        <f>SUMPRODUCT(--($D10:$D51="Sub-Total"), AC$10:AC$51)+AC51</f>
        <v>149.72765510000002</v>
      </c>
      <c r="AD52" s="183">
        <f>SUMPRODUCT(--($D10:$D51="Sub-Total"), AD$10:AD$51)+AD51</f>
        <v>149.01187378</v>
      </c>
      <c r="AE52" s="183">
        <f>SUMPRODUCT(--($D10:$D51="Sub-Total"), AE$10:AE$51)+AE51</f>
        <v>188.13011599000004</v>
      </c>
      <c r="AG52" s="186">
        <f t="shared" si="50"/>
        <v>106.39310468215562</v>
      </c>
      <c r="AH52" s="186">
        <f t="shared" ref="AH52:AH54" si="56">AVERAGE(AB52:AE52)</f>
        <v>154.15145850250002</v>
      </c>
      <c r="AI52" s="187">
        <f t="shared" ref="AI52:AI54" si="57">AG52/AH52</f>
        <v>0.6901855208877582</v>
      </c>
    </row>
    <row r="53" spans="1:36" ht="40.200000000000003" thickBot="1" x14ac:dyDescent="0.35">
      <c r="A53" s="116" t="s">
        <v>51</v>
      </c>
      <c r="B53" s="94"/>
      <c r="D53" s="188" t="s">
        <v>101</v>
      </c>
      <c r="E53" s="189">
        <f>-(107167.15-451441.09)/1000000</f>
        <v>0.34427394000000006</v>
      </c>
      <c r="F53" s="189">
        <f>-(-108431.66)/1000000</f>
        <v>0.10843166</v>
      </c>
      <c r="G53" s="189">
        <f>-0.43/1000000</f>
        <v>-4.3000000000000001E-7</v>
      </c>
      <c r="H53" s="189"/>
      <c r="I53" s="189"/>
      <c r="J53" s="189"/>
      <c r="K53" s="190">
        <f>E53*($E$73/$E$69)</f>
        <v>0.45632642500625004</v>
      </c>
      <c r="L53" s="191">
        <f>F53*($E$73/$E$70)</f>
        <v>0.13766949221460401</v>
      </c>
      <c r="M53" s="191">
        <f>G53*($E$73/$E$71)</f>
        <v>-5.2049506367232385E-7</v>
      </c>
      <c r="N53" s="191">
        <f>H53*($E$73/$E$72)</f>
        <v>0</v>
      </c>
      <c r="O53" s="191">
        <f>I53*($E$73/$E$73)</f>
        <v>0</v>
      </c>
      <c r="P53" s="191">
        <f t="shared" ref="P53:P54" si="58">AVERAGE(K53:O53)</f>
        <v>0.11879907934515806</v>
      </c>
      <c r="Q53" s="189"/>
      <c r="R53" s="189"/>
      <c r="S53" s="189"/>
      <c r="T53" s="189"/>
      <c r="U53" s="192" t="s">
        <v>70</v>
      </c>
      <c r="V53" s="176">
        <f>$P53*($E$77/$E$73)</f>
        <v>0.1746010393121297</v>
      </c>
      <c r="W53" s="176">
        <f>$P53*($E$78/$E$73)</f>
        <v>0.18169560033787316</v>
      </c>
      <c r="X53" s="176">
        <f>$P53*($E$79/$E$73)</f>
        <v>0.18993024209181003</v>
      </c>
      <c r="Y53" s="176">
        <f>$P53*($E$80/$E$73)</f>
        <v>0.19850510948607653</v>
      </c>
      <c r="Z53" s="189"/>
      <c r="AA53" s="189"/>
      <c r="AB53" s="189"/>
      <c r="AC53" s="189"/>
      <c r="AD53" s="189"/>
      <c r="AE53" s="189"/>
      <c r="AF53" s="123"/>
      <c r="AG53" s="177">
        <f t="shared" si="50"/>
        <v>0.18618299780697234</v>
      </c>
      <c r="AH53" s="177"/>
      <c r="AI53" s="178"/>
    </row>
    <row r="54" spans="1:36" ht="15.6" thickTop="1" thickBot="1" x14ac:dyDescent="0.35">
      <c r="A54" s="94"/>
      <c r="B54" s="94"/>
      <c r="D54" s="193" t="s">
        <v>100</v>
      </c>
      <c r="E54" s="183">
        <f>E52+E53</f>
        <v>34.680000000000007</v>
      </c>
      <c r="F54" s="183">
        <f t="shared" ref="F54:AE54" si="59">F52+F53</f>
        <v>51.127416119999999</v>
      </c>
      <c r="G54" s="183">
        <f t="shared" si="59"/>
        <v>77.28</v>
      </c>
      <c r="H54" s="183">
        <f t="shared" si="59"/>
        <v>55.230000000000004</v>
      </c>
      <c r="I54" s="183">
        <f t="shared" si="59"/>
        <v>72.470000000000013</v>
      </c>
      <c r="J54" s="183"/>
      <c r="K54" s="194">
        <f>E54*($E$73/$E$69)</f>
        <v>45.967465382993417</v>
      </c>
      <c r="L54" s="194">
        <f>F54*($E$73/$E$70)</f>
        <v>64.913563211013823</v>
      </c>
      <c r="M54" s="194">
        <f>G54*($E$73/$E$71)</f>
        <v>93.543857024644609</v>
      </c>
      <c r="N54" s="194">
        <f>H54*($E$73/$E$72)</f>
        <v>63.134048354398118</v>
      </c>
      <c r="O54" s="194">
        <f>I54*($E$73/$E$73)</f>
        <v>72.470000000000013</v>
      </c>
      <c r="P54" s="194">
        <f t="shared" si="58"/>
        <v>68.005786794610003</v>
      </c>
      <c r="Q54" s="183"/>
      <c r="R54" s="183">
        <f t="shared" si="59"/>
        <v>63.019999999999996</v>
      </c>
      <c r="S54" s="183">
        <f t="shared" si="59"/>
        <v>78.47</v>
      </c>
      <c r="T54" s="183"/>
      <c r="U54" s="195" t="s">
        <v>70</v>
      </c>
      <c r="V54" s="196">
        <f>$P54*($E$77/$E$73)</f>
        <v>99.949268285823294</v>
      </c>
      <c r="W54" s="196">
        <f>$P54*($E$78/$E$73)</f>
        <v>104.01050518410169</v>
      </c>
      <c r="X54" s="196">
        <f>$P54*($E$79/$E$73)</f>
        <v>108.72437413439208</v>
      </c>
      <c r="Y54" s="196">
        <f>$P54*($E$80/$E$73)</f>
        <v>113.63300311553333</v>
      </c>
      <c r="Z54" s="183"/>
      <c r="AA54" s="183">
        <f t="shared" si="59"/>
        <v>123.33624959999999</v>
      </c>
      <c r="AB54" s="183">
        <f t="shared" si="59"/>
        <v>129.73618913999999</v>
      </c>
      <c r="AC54" s="183">
        <f t="shared" si="59"/>
        <v>149.72765510000002</v>
      </c>
      <c r="AD54" s="183">
        <f t="shared" si="59"/>
        <v>149.01187378</v>
      </c>
      <c r="AE54" s="183">
        <f t="shared" si="59"/>
        <v>188.13011599000004</v>
      </c>
      <c r="AG54" s="197">
        <f>AVERAGE(V54:Y54)</f>
        <v>106.57928767996259</v>
      </c>
      <c r="AH54" s="197">
        <f t="shared" si="56"/>
        <v>154.15145850250002</v>
      </c>
      <c r="AI54" s="198">
        <f t="shared" si="57"/>
        <v>0.69139331353283362</v>
      </c>
    </row>
    <row r="55" spans="1:36" x14ac:dyDescent="0.3">
      <c r="A55" s="94"/>
      <c r="B55" s="94"/>
    </row>
    <row r="56" spans="1:36" ht="19.5" customHeight="1" x14ac:dyDescent="0.3">
      <c r="A56" s="94"/>
      <c r="B56" s="94"/>
      <c r="D56" s="199" t="s">
        <v>102</v>
      </c>
      <c r="E56" s="200"/>
      <c r="F56" s="199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H56" s="201"/>
    </row>
    <row r="57" spans="1:36" x14ac:dyDescent="0.3">
      <c r="A57" s="202"/>
      <c r="B57" s="202"/>
      <c r="D57" s="203" t="s">
        <v>103</v>
      </c>
      <c r="E57" s="204">
        <f>SUM(E12,E13,E15,E22:E25,E33,E34,E42:E45,E51,E53)</f>
        <v>27.090000000000003</v>
      </c>
      <c r="F57" s="204">
        <f t="shared" ref="F57:I57" si="60">SUM(F12,F13,F15,F22:F25,F33,F34,F42:F45,F51,F53)</f>
        <v>34.33741612</v>
      </c>
      <c r="G57" s="204">
        <f t="shared" si="60"/>
        <v>47.879999999999995</v>
      </c>
      <c r="H57" s="204">
        <f t="shared" si="60"/>
        <v>39.83</v>
      </c>
      <c r="I57" s="204">
        <f t="shared" si="60"/>
        <v>56.210000000000008</v>
      </c>
      <c r="J57" s="205"/>
      <c r="K57" s="204">
        <f t="shared" ref="K57:O57" si="61">SUM(K12,K13,K15,K22:K25,K33,K34,K42:K45,K51,K53)</f>
        <v>35.907111800037235</v>
      </c>
      <c r="L57" s="204">
        <f t="shared" si="61"/>
        <v>43.596258151926826</v>
      </c>
      <c r="M57" s="204">
        <f t="shared" si="61"/>
        <v>57.956520113095031</v>
      </c>
      <c r="N57" s="204">
        <f t="shared" si="61"/>
        <v>45.530131196010799</v>
      </c>
      <c r="O57" s="204">
        <f t="shared" si="61"/>
        <v>56.210000000000008</v>
      </c>
      <c r="P57" s="204">
        <f>AVERAGE(K57:O57)</f>
        <v>47.84000425221398</v>
      </c>
      <c r="Q57" s="205"/>
      <c r="R57" s="204">
        <f t="shared" ref="R57:S57" si="62">SUM(R12,R13,R15,R22:R25,R33,R34,R42:R45,R51,R53)</f>
        <v>53.85</v>
      </c>
      <c r="S57" s="204">
        <f t="shared" si="62"/>
        <v>46.82</v>
      </c>
      <c r="T57" s="205"/>
      <c r="U57" s="206" t="s">
        <v>70</v>
      </c>
      <c r="V57" s="204">
        <f t="shared" ref="V57:Y57" si="63">SUM(V12,V13,V15,V22:V25,V33,V34,V42:V45,V51,V53)</f>
        <v>70.311272689788822</v>
      </c>
      <c r="W57" s="204">
        <f t="shared" si="63"/>
        <v>73.168229423039733</v>
      </c>
      <c r="X57" s="204">
        <f t="shared" si="63"/>
        <v>76.484292970798634</v>
      </c>
      <c r="Y57" s="204">
        <f t="shared" si="63"/>
        <v>79.937364281326424</v>
      </c>
      <c r="Z57" s="205"/>
      <c r="AA57" s="204">
        <f t="shared" ref="AA57:AE57" si="64">SUM(AA12,AA13,AA15,AA22:AA25,AA33,AA34,AA42:AA45,AA51,AA53)</f>
        <v>74.554884790000003</v>
      </c>
      <c r="AB57" s="204">
        <f t="shared" si="64"/>
        <v>84.315692200000001</v>
      </c>
      <c r="AC57" s="204">
        <f t="shared" si="64"/>
        <v>90.564885219999994</v>
      </c>
      <c r="AD57" s="204">
        <f>SUM(AD12,AD13,AD15,AD22:AD25,AD33,AD34,AD42:AD45,AD51,AD53)</f>
        <v>101.16222510000001</v>
      </c>
      <c r="AE57" s="204">
        <f t="shared" si="64"/>
        <v>103.62700937999999</v>
      </c>
      <c r="AF57" s="205"/>
      <c r="AG57" s="204">
        <f>AVERAGE(V57:Y57)</f>
        <v>74.975289841238407</v>
      </c>
      <c r="AH57" s="204">
        <f>AVERAGE(AB57:AE57)</f>
        <v>94.917452975000003</v>
      </c>
      <c r="AI57" s="207">
        <f>AG57/AH57</f>
        <v>0.78989993400882663</v>
      </c>
    </row>
    <row r="58" spans="1:36" ht="28.2" customHeight="1" x14ac:dyDescent="0.3">
      <c r="A58" s="202"/>
      <c r="B58" s="202"/>
      <c r="D58" s="208" t="s">
        <v>104</v>
      </c>
      <c r="E58" s="209">
        <f>E49+E39+E28+E19+E51+E53-E57</f>
        <v>7.5900000000000034</v>
      </c>
      <c r="F58" s="209">
        <f t="shared" ref="F58:I58" si="65">F49+F39+F28+F19+F51+F53-F57</f>
        <v>16.79</v>
      </c>
      <c r="G58" s="209">
        <f t="shared" si="65"/>
        <v>29.400000000000006</v>
      </c>
      <c r="H58" s="209">
        <f t="shared" si="65"/>
        <v>15.400000000000006</v>
      </c>
      <c r="I58" s="209">
        <f t="shared" si="65"/>
        <v>16.259999999999991</v>
      </c>
      <c r="J58" s="210"/>
      <c r="K58" s="209">
        <f t="shared" ref="K58:O58" si="66">K49+K39+K28+K19+K51+K53-K57</f>
        <v>10.060353582956175</v>
      </c>
      <c r="L58" s="209">
        <f t="shared" si="66"/>
        <v>21.317305059086983</v>
      </c>
      <c r="M58" s="209">
        <f t="shared" si="66"/>
        <v>35.587336911549578</v>
      </c>
      <c r="N58" s="209">
        <f t="shared" si="66"/>
        <v>17.603917158387318</v>
      </c>
      <c r="O58" s="209">
        <f t="shared" si="66"/>
        <v>16.259999999999991</v>
      </c>
      <c r="P58" s="211">
        <f>AVERAGE(K58:O58)</f>
        <v>20.165782542396009</v>
      </c>
      <c r="Q58" s="210"/>
      <c r="R58" s="209">
        <f t="shared" ref="R58:S58" si="67">R49+R39+R28+R19+R51+R53-R57</f>
        <v>9.1700000000000017</v>
      </c>
      <c r="S58" s="209">
        <f t="shared" si="67"/>
        <v>31.65</v>
      </c>
      <c r="T58" s="210"/>
      <c r="U58" s="212" t="s">
        <v>70</v>
      </c>
      <c r="V58" s="209">
        <f t="shared" ref="V58:Y58" si="68">V49+V39+V28+V19+V51+V53-V57</f>
        <v>29.637995596034457</v>
      </c>
      <c r="W58" s="209">
        <f t="shared" si="68"/>
        <v>30.842275761061941</v>
      </c>
      <c r="X58" s="209">
        <f t="shared" si="68"/>
        <v>32.240081163593416</v>
      </c>
      <c r="Y58" s="209">
        <f t="shared" si="68"/>
        <v>33.695638834206875</v>
      </c>
      <c r="Z58" s="210"/>
      <c r="AA58" s="209">
        <f t="shared" ref="AA58:AE58" si="69">AA49+AA39+AA28+AA19+AA51+AA53-AA57</f>
        <v>48.781364809999985</v>
      </c>
      <c r="AB58" s="209">
        <f t="shared" si="69"/>
        <v>45.420496940000021</v>
      </c>
      <c r="AC58" s="209">
        <f t="shared" si="69"/>
        <v>59.162769879999999</v>
      </c>
      <c r="AD58" s="209">
        <f t="shared" si="69"/>
        <v>47.849648680000016</v>
      </c>
      <c r="AE58" s="209">
        <f t="shared" si="69"/>
        <v>84.503106610000017</v>
      </c>
      <c r="AF58" s="210"/>
      <c r="AG58" s="142">
        <f>AVERAGE(V58:Y58)</f>
        <v>31.603997838724172</v>
      </c>
      <c r="AH58" s="142">
        <f>AVERAGE(AB58:AE58)</f>
        <v>59.234005527500017</v>
      </c>
      <c r="AI58" s="143">
        <f>AG58/AH58</f>
        <v>0.53354483724811896</v>
      </c>
    </row>
    <row r="59" spans="1:36" ht="28.2" customHeight="1" x14ac:dyDescent="0.3">
      <c r="A59" s="202"/>
      <c r="B59" s="202"/>
      <c r="E59" s="213"/>
      <c r="F59" s="213"/>
      <c r="G59" s="213"/>
      <c r="H59" s="213"/>
      <c r="I59" s="213"/>
      <c r="J59" s="214"/>
      <c r="K59" s="213"/>
      <c r="L59" s="213"/>
      <c r="M59" s="213"/>
      <c r="N59" s="213"/>
      <c r="O59" s="213"/>
      <c r="P59" s="215"/>
      <c r="Q59" s="214"/>
      <c r="R59" s="213"/>
      <c r="S59" s="213"/>
      <c r="T59" s="214"/>
      <c r="U59" s="214"/>
      <c r="V59" s="213"/>
      <c r="W59" s="213"/>
      <c r="X59" s="213"/>
      <c r="Y59" s="213"/>
      <c r="Z59" s="214"/>
      <c r="AA59" s="213"/>
      <c r="AB59" s="213"/>
      <c r="AC59" s="213"/>
      <c r="AD59" s="213"/>
      <c r="AE59" s="213"/>
      <c r="AF59" s="214"/>
      <c r="AG59" s="215"/>
      <c r="AH59" s="215"/>
      <c r="AI59" s="216"/>
    </row>
    <row r="60" spans="1:36" ht="28.2" customHeight="1" x14ac:dyDescent="0.3">
      <c r="A60" s="202"/>
      <c r="B60" s="202"/>
      <c r="D60" s="81" t="s">
        <v>105</v>
      </c>
      <c r="E60" s="213"/>
      <c r="F60" s="213"/>
      <c r="G60" s="213"/>
      <c r="H60" s="213"/>
      <c r="I60" s="213"/>
      <c r="J60" s="214"/>
      <c r="K60" s="213"/>
      <c r="L60" s="213"/>
      <c r="M60" s="213"/>
      <c r="N60" s="213"/>
      <c r="O60" s="213"/>
      <c r="P60" s="215"/>
      <c r="Q60" s="214"/>
      <c r="R60" s="213"/>
      <c r="S60" s="213"/>
      <c r="T60" s="214"/>
      <c r="U60" s="214"/>
      <c r="V60" s="213"/>
      <c r="W60" s="213"/>
      <c r="X60" s="213"/>
      <c r="Y60" s="213"/>
      <c r="Z60" s="214"/>
      <c r="AA60" s="213"/>
      <c r="AB60" s="213"/>
      <c r="AC60" s="213"/>
      <c r="AD60" s="213"/>
      <c r="AE60" s="213"/>
      <c r="AF60" s="214"/>
      <c r="AG60" s="215"/>
      <c r="AH60" s="215"/>
      <c r="AI60" s="216">
        <f>AG57/(AH57+AH58)</f>
        <v>0.48637418399789234</v>
      </c>
    </row>
    <row r="61" spans="1:36" ht="28.5" customHeight="1" x14ac:dyDescent="0.3">
      <c r="D61" s="217" t="s">
        <v>106</v>
      </c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8"/>
    </row>
    <row r="62" spans="1:36" ht="28.5" customHeight="1" x14ac:dyDescent="0.3">
      <c r="D62" s="217" t="s">
        <v>107</v>
      </c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8"/>
    </row>
    <row r="63" spans="1:36" ht="28.5" customHeight="1" x14ac:dyDescent="0.3">
      <c r="D63" s="217" t="s">
        <v>108</v>
      </c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8"/>
    </row>
    <row r="64" spans="1:36" ht="28.5" customHeight="1" x14ac:dyDescent="0.3">
      <c r="D64" s="217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8"/>
    </row>
    <row r="65" spans="4:36" ht="27" customHeight="1" x14ac:dyDescent="0.3">
      <c r="D65" s="214" t="s">
        <v>109</v>
      </c>
      <c r="E65" s="219">
        <f t="shared" ref="E65:I65" si="70">SUM(E16,E31,E11,E35:E36,E46)</f>
        <v>7.59</v>
      </c>
      <c r="F65" s="219">
        <f t="shared" si="70"/>
        <v>16.79</v>
      </c>
      <c r="G65" s="219">
        <f t="shared" si="70"/>
        <v>29.400000000000002</v>
      </c>
      <c r="H65" s="219">
        <f t="shared" si="70"/>
        <v>15.399999999999999</v>
      </c>
      <c r="I65" s="219">
        <f t="shared" si="70"/>
        <v>16.260000000000002</v>
      </c>
      <c r="J65" s="214"/>
      <c r="K65" s="219">
        <f t="shared" ref="K65:P65" si="71">SUM(K16,K31,K11,K35:K36,K46)</f>
        <v>10.060353582956168</v>
      </c>
      <c r="L65" s="219">
        <f t="shared" si="71"/>
        <v>21.317305059086994</v>
      </c>
      <c r="M65" s="219">
        <f t="shared" si="71"/>
        <v>35.587336911549578</v>
      </c>
      <c r="N65" s="219">
        <f t="shared" si="71"/>
        <v>17.603917158387308</v>
      </c>
      <c r="O65" s="219">
        <f t="shared" si="71"/>
        <v>16.260000000000002</v>
      </c>
      <c r="P65" s="219">
        <f t="shared" si="71"/>
        <v>20.165782542396006</v>
      </c>
      <c r="Q65" s="214"/>
      <c r="R65" s="219">
        <f t="shared" ref="R65:S65" si="72">SUM(R16,R31,R11,R35:R36,R46)</f>
        <v>9.17</v>
      </c>
      <c r="S65" s="219">
        <f t="shared" si="72"/>
        <v>31.65</v>
      </c>
      <c r="T65" s="214"/>
      <c r="U65" s="214"/>
      <c r="V65" s="219">
        <f t="shared" ref="V65:Y65" si="73">SUM(V16,V31,V11,V35:V36,V46)</f>
        <v>29.637995596034472</v>
      </c>
      <c r="W65" s="219">
        <f t="shared" si="73"/>
        <v>30.842275761061959</v>
      </c>
      <c r="X65" s="219">
        <f t="shared" si="73"/>
        <v>32.240081163593423</v>
      </c>
      <c r="Y65" s="219">
        <f t="shared" si="73"/>
        <v>33.695638834206861</v>
      </c>
      <c r="Z65" s="219"/>
      <c r="AA65" s="219">
        <f t="shared" ref="AA65:AE65" si="74">SUM(AA16,AA31,AA11,AA35:AA36,AA46)</f>
        <v>48.781364809999999</v>
      </c>
      <c r="AB65" s="219">
        <f t="shared" si="74"/>
        <v>45.420496939999992</v>
      </c>
      <c r="AC65" s="219">
        <f t="shared" si="74"/>
        <v>59.162769879999999</v>
      </c>
      <c r="AD65" s="219">
        <f t="shared" si="74"/>
        <v>47.849648679999994</v>
      </c>
      <c r="AE65" s="219">
        <f t="shared" si="74"/>
        <v>84.503106610000003</v>
      </c>
      <c r="AF65" s="214"/>
      <c r="AG65" s="219">
        <f>SUM(AG16,AG31,AG11,AG35:AG36,AG46)</f>
        <v>31.60399783872418</v>
      </c>
      <c r="AH65" s="219">
        <f>SUM(AH16,AH31,AH11,AH35:AH36,AH46)</f>
        <v>59.234005527500003</v>
      </c>
      <c r="AI65" s="214"/>
    </row>
    <row r="66" spans="4:36" x14ac:dyDescent="0.3">
      <c r="D66" s="214" t="s">
        <v>109</v>
      </c>
      <c r="E66" s="220">
        <f>E58-E65</f>
        <v>0</v>
      </c>
      <c r="F66" s="220">
        <f t="shared" ref="F66:I66" si="75">F58-F65</f>
        <v>0</v>
      </c>
      <c r="G66" s="220">
        <f t="shared" si="75"/>
        <v>0</v>
      </c>
      <c r="H66" s="220">
        <f t="shared" si="75"/>
        <v>0</v>
      </c>
      <c r="I66" s="220">
        <f t="shared" si="75"/>
        <v>0</v>
      </c>
      <c r="K66" s="220">
        <f t="shared" ref="K66:O66" si="76">K58-K65</f>
        <v>0</v>
      </c>
      <c r="L66" s="220">
        <f t="shared" si="76"/>
        <v>0</v>
      </c>
      <c r="M66" s="220">
        <f t="shared" si="76"/>
        <v>0</v>
      </c>
      <c r="N66" s="220">
        <f t="shared" si="76"/>
        <v>0</v>
      </c>
      <c r="O66" s="220">
        <f t="shared" si="76"/>
        <v>0</v>
      </c>
      <c r="P66" s="220">
        <f>P58-P65</f>
        <v>0</v>
      </c>
      <c r="R66" s="220">
        <f t="shared" ref="R66:S66" si="77">R58-R65</f>
        <v>0</v>
      </c>
      <c r="S66" s="220">
        <f t="shared" si="77"/>
        <v>0</v>
      </c>
      <c r="V66" s="220">
        <f t="shared" ref="V66:Y66" si="78">V58-V65</f>
        <v>0</v>
      </c>
      <c r="W66" s="220">
        <f t="shared" si="78"/>
        <v>0</v>
      </c>
      <c r="X66" s="220">
        <f t="shared" si="78"/>
        <v>0</v>
      </c>
      <c r="Y66" s="220">
        <f t="shared" si="78"/>
        <v>0</v>
      </c>
      <c r="AA66" s="220">
        <f t="shared" ref="AA66:AE66" si="79">AA58-AA65</f>
        <v>0</v>
      </c>
      <c r="AB66" s="220">
        <f t="shared" si="79"/>
        <v>0</v>
      </c>
      <c r="AC66" s="220">
        <f t="shared" si="79"/>
        <v>0</v>
      </c>
      <c r="AD66" s="220">
        <f t="shared" si="79"/>
        <v>0</v>
      </c>
      <c r="AE66" s="220">
        <f t="shared" si="79"/>
        <v>0</v>
      </c>
      <c r="AG66" s="220">
        <f t="shared" ref="AG66:AH66" si="80">AG58-AG65</f>
        <v>0</v>
      </c>
      <c r="AH66" s="220">
        <f t="shared" si="80"/>
        <v>0</v>
      </c>
    </row>
    <row r="67" spans="4:36" x14ac:dyDescent="0.3">
      <c r="D67" s="86"/>
      <c r="E67" s="270" t="s">
        <v>110</v>
      </c>
      <c r="F67" s="270"/>
      <c r="G67" s="270"/>
      <c r="H67" s="270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</row>
    <row r="68" spans="4:36" x14ac:dyDescent="0.3">
      <c r="D68" s="86">
        <v>2019</v>
      </c>
      <c r="E68" s="221">
        <v>100</v>
      </c>
      <c r="F68" s="86"/>
      <c r="G68" s="221"/>
      <c r="H68" s="221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</row>
    <row r="69" spans="4:36" x14ac:dyDescent="0.3">
      <c r="D69" s="86">
        <v>2020</v>
      </c>
      <c r="E69" s="223">
        <f t="shared" ref="E69:E80" si="81">E68*F69</f>
        <v>106.38219242026707</v>
      </c>
      <c r="F69" s="224">
        <f>'Escalation Factors HWI'!E11</f>
        <v>1.0638219242026707</v>
      </c>
      <c r="G69" s="225">
        <f>F69-1</f>
        <v>6.3821924202670743E-2</v>
      </c>
      <c r="H69" s="226"/>
    </row>
    <row r="70" spans="4:36" x14ac:dyDescent="0.3">
      <c r="D70" s="86">
        <v>2021</v>
      </c>
      <c r="E70" s="223">
        <f t="shared" si="81"/>
        <v>111.06028951302827</v>
      </c>
      <c r="F70" s="224">
        <f>'Escalation Factors HWI'!F11</f>
        <v>1.0439744376979954</v>
      </c>
      <c r="G70" s="225">
        <f t="shared" ref="G70:G80" si="82">F70-1</f>
        <v>4.3974437697995361E-2</v>
      </c>
      <c r="H70" s="226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</row>
    <row r="71" spans="4:36" x14ac:dyDescent="0.3">
      <c r="D71" s="86">
        <v>2022</v>
      </c>
      <c r="E71" s="223">
        <f t="shared" si="81"/>
        <v>116.49096577268625</v>
      </c>
      <c r="F71" s="224">
        <f>'Escalation Factors HWI'!G11</f>
        <v>1.0488984522142897</v>
      </c>
      <c r="G71" s="225">
        <f t="shared" si="82"/>
        <v>4.8898452214289678E-2</v>
      </c>
      <c r="H71" s="226"/>
    </row>
    <row r="72" spans="4:36" x14ac:dyDescent="0.3">
      <c r="D72" s="86">
        <v>2023</v>
      </c>
      <c r="E72" s="223">
        <f t="shared" si="81"/>
        <v>123.35359469756111</v>
      </c>
      <c r="F72" s="224">
        <f>'Escalation Factors HWI'!H11</f>
        <v>1.0589112544423933</v>
      </c>
      <c r="G72" s="225">
        <f t="shared" si="82"/>
        <v>5.8911254442393313E-2</v>
      </c>
      <c r="H72" s="226"/>
    </row>
    <row r="73" spans="4:36" x14ac:dyDescent="0.3">
      <c r="D73" s="86">
        <v>2024</v>
      </c>
      <c r="E73" s="223">
        <f t="shared" si="81"/>
        <v>141.00691313280191</v>
      </c>
      <c r="F73" s="224">
        <f>'Escalation Factors HWI'!I11</f>
        <v>1.1431115037913835</v>
      </c>
      <c r="G73" s="225">
        <f t="shared" si="82"/>
        <v>0.14311150379138349</v>
      </c>
      <c r="H73" s="226"/>
    </row>
    <row r="74" spans="4:36" x14ac:dyDescent="0.3">
      <c r="D74" s="86">
        <v>2025</v>
      </c>
      <c r="E74" s="223">
        <f t="shared" si="81"/>
        <v>170.35021019085113</v>
      </c>
      <c r="F74" s="224">
        <f>'Escalation Factors HWI'!J11</f>
        <v>1.2080982868578463</v>
      </c>
      <c r="G74" s="225">
        <f t="shared" si="82"/>
        <v>0.20809828685784626</v>
      </c>
      <c r="H74" s="226"/>
    </row>
    <row r="75" spans="4:36" x14ac:dyDescent="0.3">
      <c r="D75" s="86">
        <v>2026</v>
      </c>
      <c r="E75" s="223">
        <f t="shared" si="81"/>
        <v>187.92548107278611</v>
      </c>
      <c r="F75" s="224">
        <f>'Escalation Factors HWI'!K11</f>
        <v>1.1031714070810046</v>
      </c>
      <c r="G75" s="225">
        <f t="shared" si="82"/>
        <v>0.10317140708100458</v>
      </c>
      <c r="H75" s="226"/>
    </row>
    <row r="76" spans="4:36" x14ac:dyDescent="0.3">
      <c r="D76" s="86">
        <v>2027</v>
      </c>
      <c r="E76" s="223">
        <f t="shared" si="81"/>
        <v>196.99987183062976</v>
      </c>
      <c r="F76" s="224">
        <f>'Escalation Factors HWI'!L11</f>
        <v>1.0482871758850467</v>
      </c>
      <c r="G76" s="225">
        <f t="shared" si="82"/>
        <v>4.8287175885046718E-2</v>
      </c>
      <c r="H76" s="226"/>
    </row>
    <row r="77" spans="4:36" x14ac:dyDescent="0.3">
      <c r="D77" s="86">
        <v>2028</v>
      </c>
      <c r="E77" s="223">
        <f t="shared" si="81"/>
        <v>207.24027255844089</v>
      </c>
      <c r="F77" s="224">
        <f>'Escalation Factors HWI'!M11</f>
        <v>1.0519817634024418</v>
      </c>
      <c r="G77" s="225">
        <f t="shared" si="82"/>
        <v>5.1981763402441761E-2</v>
      </c>
      <c r="H77" s="226"/>
      <c r="I77" s="81">
        <f>E77/$E$73</f>
        <v>1.4697171078644893</v>
      </c>
      <c r="K77" s="227">
        <f>I77*P11</f>
        <v>10.379730898097034</v>
      </c>
    </row>
    <row r="78" spans="4:36" x14ac:dyDescent="0.3">
      <c r="D78" s="86">
        <v>2029</v>
      </c>
      <c r="E78" s="223">
        <f t="shared" si="81"/>
        <v>215.66106298700868</v>
      </c>
      <c r="F78" s="224">
        <f>'Escalation Factors HWI'!N11</f>
        <v>1.0406329827914753</v>
      </c>
      <c r="G78" s="225">
        <f t="shared" si="82"/>
        <v>4.0632982791475314E-2</v>
      </c>
      <c r="H78" s="226"/>
      <c r="I78" s="81">
        <f t="shared" ref="I78:I80" si="83">E78/$E$73</f>
        <v>1.5294360978166839</v>
      </c>
      <c r="K78" s="227">
        <f>I78*P11</f>
        <v>10.801490325059556</v>
      </c>
    </row>
    <row r="79" spans="4:36" x14ac:dyDescent="0.3">
      <c r="D79" s="86">
        <v>2030</v>
      </c>
      <c r="E79" s="223">
        <f t="shared" si="81"/>
        <v>225.43505636202084</v>
      </c>
      <c r="F79" s="224">
        <f>'Escalation Factors HWI'!O11</f>
        <v>1.0453210850379651</v>
      </c>
      <c r="G79" s="225">
        <f t="shared" si="82"/>
        <v>4.5321085037965059E-2</v>
      </c>
      <c r="H79" s="226"/>
      <c r="I79" s="81">
        <f t="shared" si="83"/>
        <v>1.5987518012659674</v>
      </c>
      <c r="K79" s="227">
        <f>I79*P11</f>
        <v>11.291025586618337</v>
      </c>
    </row>
    <row r="80" spans="4:36" x14ac:dyDescent="0.3">
      <c r="D80" s="86">
        <v>2031</v>
      </c>
      <c r="E80" s="223">
        <f t="shared" si="81"/>
        <v>235.61287582369931</v>
      </c>
      <c r="F80" s="224">
        <f>'Escalation Factors HWI'!P11</f>
        <v>1.0451474567705838</v>
      </c>
      <c r="G80" s="225">
        <f t="shared" si="82"/>
        <v>4.5147456770583849E-2</v>
      </c>
      <c r="H80" s="226"/>
      <c r="I80" s="81">
        <f t="shared" si="83"/>
        <v>1.6709313791005156</v>
      </c>
      <c r="K80" s="227">
        <f>I80*P11</f>
        <v>11.800786676185743</v>
      </c>
    </row>
  </sheetData>
  <mergeCells count="10">
    <mergeCell ref="E67:H67"/>
    <mergeCell ref="D1:AH2"/>
    <mergeCell ref="D4:AE4"/>
    <mergeCell ref="A6:B6"/>
    <mergeCell ref="AG6:AI6"/>
    <mergeCell ref="E7:I7"/>
    <mergeCell ref="K7:P7"/>
    <mergeCell ref="R7:S7"/>
    <mergeCell ref="U7:Y7"/>
    <mergeCell ref="AA7:AE7"/>
  </mergeCells>
  <dataValidations count="1">
    <dataValidation type="list" allowBlank="1" showInputMessage="1" showErrorMessage="1" sqref="E9:AE9" xr:uid="{A1B58BC1-F981-409D-A9E5-1265F1F973D6}">
      <formula1>"CGAAP, MIFRS, USGAAP, ASPE"</formula1>
    </dataValidation>
  </dataValidations>
  <pageMargins left="0.7" right="0.7" top="0.75" bottom="0.75" header="0.3" footer="0.3"/>
  <pageSetup scale="2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EC74566A107E49B2CCCE5C5481A213" ma:contentTypeVersion="16" ma:contentTypeDescription="Create a new document." ma:contentTypeScope="" ma:versionID="a7ebd70f9836dec32b4b93b7542d5364">
  <xsd:schema xmlns:xsd="http://www.w3.org/2001/XMLSchema" xmlns:xs="http://www.w3.org/2001/XMLSchema" xmlns:p="http://schemas.microsoft.com/office/2006/metadata/properties" xmlns:ns2="83abfa7a-daeb-4e82-8a7e-c5824009c764" xmlns:ns3="18c4c99b-0bc1-4dd5-829e-ad5714449cd6" targetNamespace="http://schemas.microsoft.com/office/2006/metadata/properties" ma:root="true" ma:fieldsID="a6c5029327904a573e795508ed1fe5be" ns2:_="" ns3:_="">
    <xsd:import namespace="83abfa7a-daeb-4e82-8a7e-c5824009c764"/>
    <xsd:import namespace="18c4c99b-0bc1-4dd5-829e-ad5714449c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bfa7a-daeb-4e82-8a7e-c5824009c7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6fef157-3fa8-492c-b9fa-e38244047c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c4c99b-0bc1-4dd5-829e-ad5714449cd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8438e2d-c537-4dfd-9cc0-e70d5b18b1dc}" ma:internalName="TaxCatchAll" ma:showField="CatchAllData" ma:web="18c4c99b-0bc1-4dd5-829e-ad5714449c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c4c99b-0bc1-4dd5-829e-ad5714449cd6" xsi:nil="true"/>
    <lcf76f155ced4ddcb4097134ff3c332f xmlns="83abfa7a-daeb-4e82-8a7e-c5824009c76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B02060F-F41B-4135-8386-CDE9763FBED0}"/>
</file>

<file path=customXml/itemProps2.xml><?xml version="1.0" encoding="utf-8"?>
<ds:datastoreItem xmlns:ds="http://schemas.openxmlformats.org/officeDocument/2006/customXml" ds:itemID="{86A2B447-2DEF-4794-B714-ECFAE5259C22}"/>
</file>

<file path=customXml/itemProps3.xml><?xml version="1.0" encoding="utf-8"?>
<ds:datastoreItem xmlns:ds="http://schemas.openxmlformats.org/officeDocument/2006/customXml" ds:itemID="{836AB146-60D5-4C2E-B1AA-247793ABF4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Escalation Factors HWI</vt:lpstr>
      <vt:lpstr>Own-Cost Trend Capex Less CIAC</vt:lpstr>
      <vt:lpstr>'Escalation Factors HWI'!Print_Area</vt:lpstr>
      <vt:lpstr>'Own-Cost Trend Capex Less CIAC'!Print_Area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Makos</dc:creator>
  <cp:lastModifiedBy>Matt Makos</cp:lastModifiedBy>
  <dcterms:created xsi:type="dcterms:W3CDTF">2026-04-07T23:56:39Z</dcterms:created>
  <dcterms:modified xsi:type="dcterms:W3CDTF">2026-04-09T19:46:46Z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0x010100EDEC74566A107E49B2CCCE5C5481A213</vt:lpwstr>
  </property>
</Properties>
</file>