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corp.opg.com\opg\OEB APPLICATION\EB-2025-0297 COS\Interrogatories - Working Folder\Exhibit A\"/>
    </mc:Choice>
  </mc:AlternateContent>
  <xr:revisionPtr revIDLastSave="0" documentId="8_{22323DDD-F670-422F-9873-58FF5FF49A93}" xr6:coauthVersionLast="47" xr6:coauthVersionMax="47" xr10:uidLastSave="{00000000-0000-0000-0000-000000000000}"/>
  <bookViews>
    <workbookView xWindow="-110" yWindow="-110" windowWidth="19420" windowHeight="11500" xr2:uid="{00000000-000D-0000-FFFF-FFFF00000000}"/>
  </bookViews>
  <sheets>
    <sheet name="Exh-1 Credit Metrics Analysis" sheetId="5" r:id="rId1"/>
    <sheet name="Exh-2 Proxy Group Screening" sheetId="1" r:id="rId2"/>
    <sheet name="Exh-3 Actual Equity Ratios" sheetId="2" r:id="rId3"/>
    <sheet name="Exh-4 Authorized Equity Ratios" sheetId="3"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'Exh-1 Credit Metrics Analysis'!$A$1:$I$72</definedName>
    <definedName name="_xlnm.Print_Area" localSheetId="1">'Exh-2 Proxy Group Screening'!$A$1:$O$61,'Exh-2 Proxy Group Screening'!$Q$1:$AE$51,'Exh-2 Proxy Group Screening'!$AG$1:$AN$24</definedName>
    <definedName name="_xlnm.Print_Area" localSheetId="3">'Exh-4 Authorized Equity Ratios'!$B$1:$J$98,'Exh-4 Authorized Equity Ratios'!$B$99:$D$121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3" i="3" l="1"/>
  <c r="D104" i="3"/>
  <c r="D105" i="3"/>
  <c r="D106" i="3"/>
  <c r="D107" i="3"/>
  <c r="D108" i="3"/>
  <c r="D109" i="3"/>
  <c r="D110" i="3"/>
  <c r="D111" i="3"/>
  <c r="D112" i="3"/>
  <c r="D113" i="3"/>
  <c r="D114" i="3"/>
  <c r="D115" i="3"/>
  <c r="D116" i="3"/>
  <c r="D117" i="3"/>
  <c r="D118" i="3"/>
  <c r="D119" i="3"/>
  <c r="D102" i="3"/>
  <c r="C64" i="5"/>
  <c r="C63" i="5"/>
  <c r="C57" i="5"/>
  <c r="C50" i="5"/>
  <c r="C49" i="5"/>
  <c r="E45" i="5"/>
  <c r="C45" i="5"/>
  <c r="E44" i="5"/>
  <c r="C44" i="5"/>
  <c r="E42" i="5"/>
  <c r="C42" i="5"/>
  <c r="F40" i="5"/>
  <c r="C32" i="5"/>
  <c r="C31" i="5"/>
  <c r="C25" i="5"/>
  <c r="C18" i="5"/>
  <c r="C17" i="5"/>
  <c r="E13" i="5"/>
  <c r="C13" i="5"/>
  <c r="E12" i="5"/>
  <c r="C12" i="5"/>
  <c r="E10" i="5"/>
  <c r="C10" i="5"/>
  <c r="F8" i="5"/>
  <c r="F13" i="5" s="1"/>
  <c r="F10" i="5" l="1"/>
  <c r="F45" i="5"/>
  <c r="E17" i="5"/>
  <c r="E25" i="5" s="1"/>
  <c r="E32" i="5" s="1"/>
  <c r="F44" i="5"/>
  <c r="E49" i="5"/>
  <c r="F42" i="5"/>
  <c r="G40" i="5"/>
  <c r="F12" i="5"/>
  <c r="F17" i="5" s="1"/>
  <c r="G8" i="5"/>
  <c r="E57" i="5" l="1"/>
  <c r="F49" i="5"/>
  <c r="F57" i="5" s="1"/>
  <c r="G45" i="5"/>
  <c r="E18" i="5"/>
  <c r="E31" i="5" s="1"/>
  <c r="E50" i="5"/>
  <c r="G42" i="5"/>
  <c r="H40" i="5"/>
  <c r="G13" i="5"/>
  <c r="H8" i="5"/>
  <c r="G10" i="5"/>
  <c r="H12" i="5"/>
  <c r="G12" i="5"/>
  <c r="G44" i="5"/>
  <c r="F18" i="5"/>
  <c r="F31" i="5" s="1"/>
  <c r="F25" i="5"/>
  <c r="F32" i="5" s="1"/>
  <c r="F50" i="5" l="1"/>
  <c r="F63" i="5" s="1"/>
  <c r="E64" i="5"/>
  <c r="E63" i="5"/>
  <c r="F64" i="5"/>
  <c r="G49" i="5"/>
  <c r="G50" i="5" s="1"/>
  <c r="I40" i="5"/>
  <c r="I42" i="5" s="1"/>
  <c r="H42" i="5"/>
  <c r="H45" i="5"/>
  <c r="G17" i="5"/>
  <c r="H44" i="5"/>
  <c r="I8" i="5"/>
  <c r="I12" i="5" s="1"/>
  <c r="H10" i="5"/>
  <c r="H13" i="5"/>
  <c r="H17" i="5" s="1"/>
  <c r="G57" i="5" l="1"/>
  <c r="G64" i="5" s="1"/>
  <c r="I44" i="5"/>
  <c r="G63" i="5"/>
  <c r="I45" i="5"/>
  <c r="H49" i="5"/>
  <c r="H25" i="5"/>
  <c r="H32" i="5" s="1"/>
  <c r="H18" i="5"/>
  <c r="H31" i="5" s="1"/>
  <c r="G18" i="5"/>
  <c r="G31" i="5" s="1"/>
  <c r="G25" i="5"/>
  <c r="G32" i="5" s="1"/>
  <c r="I10" i="5"/>
  <c r="I13" i="5"/>
  <c r="I17" i="5" s="1"/>
  <c r="H50" i="5" l="1"/>
  <c r="I49" i="5"/>
  <c r="H57" i="5"/>
  <c r="I18" i="5"/>
  <c r="I31" i="5" s="1"/>
  <c r="I25" i="5"/>
  <c r="I32" i="5" s="1"/>
  <c r="I50" i="5" l="1"/>
  <c r="I63" i="5"/>
  <c r="H64" i="5"/>
  <c r="I57" i="5"/>
  <c r="H63" i="5"/>
  <c r="F86" i="3" a="1"/>
  <c r="F86" i="3" s="1"/>
  <c r="F90" i="3" a="1"/>
  <c r="F90" i="3" s="1"/>
  <c r="F79" i="3"/>
  <c r="F84" i="3"/>
  <c r="F91" i="3" a="1"/>
  <c r="F91" i="3" s="1"/>
  <c r="F89" i="3"/>
  <c r="F87" i="3" a="1"/>
  <c r="F87" i="3" s="1"/>
  <c r="F75" i="3"/>
  <c r="F82" i="3" a="1"/>
  <c r="F82" i="3" s="1"/>
  <c r="F81" i="3" a="1"/>
  <c r="F81" i="3" s="1"/>
  <c r="F74" i="3"/>
  <c r="F76" i="3"/>
  <c r="F77" i="3"/>
  <c r="F85" i="3" a="1"/>
  <c r="F85" i="3" s="1"/>
  <c r="F80" i="3" a="1"/>
  <c r="F80" i="3" s="1"/>
  <c r="I64" i="5" l="1"/>
  <c r="F92" i="3" a="1"/>
  <c r="F92" i="3" s="1"/>
  <c r="H37" i="2" l="1" a="1"/>
  <c r="H37" i="2" s="1"/>
  <c r="H36" i="2" a="1"/>
  <c r="H36" i="2" s="1"/>
  <c r="H35" i="2" a="1"/>
  <c r="H35" i="2" s="1"/>
  <c r="H32" i="2" a="1"/>
  <c r="H32" i="2" s="1"/>
  <c r="H31" i="2" a="1"/>
  <c r="H31" i="2" s="1"/>
  <c r="H30" i="2" a="1"/>
  <c r="H30" i="2" s="1"/>
  <c r="I25" i="2"/>
  <c r="K23" i="2"/>
  <c r="K22" i="2"/>
  <c r="K19" i="2"/>
  <c r="K15" i="2"/>
  <c r="K14" i="2"/>
  <c r="K11" i="2"/>
  <c r="K7" i="2"/>
  <c r="H29" i="2"/>
  <c r="G29" i="2"/>
  <c r="F29" i="2"/>
  <c r="K6" i="2"/>
  <c r="I34" i="2"/>
  <c r="H34" i="2"/>
  <c r="F37" i="2" a="1"/>
  <c r="F37" i="2" s="1"/>
  <c r="E37" i="2" l="1" a="1"/>
  <c r="E37" i="2" s="1"/>
  <c r="E36" i="2" a="1"/>
  <c r="E36" i="2" s="1"/>
  <c r="E35" i="2" a="1"/>
  <c r="E35" i="2" s="1"/>
  <c r="E34" i="2"/>
  <c r="E32" i="2" a="1"/>
  <c r="E32" i="2" s="1"/>
  <c r="E31" i="2" a="1"/>
  <c r="E31" i="2" s="1"/>
  <c r="E30" i="2" a="1"/>
  <c r="E30" i="2" s="1"/>
  <c r="E27" i="2"/>
  <c r="E26" i="2"/>
  <c r="E25" i="2"/>
  <c r="E24" i="2"/>
  <c r="K10" i="2"/>
  <c r="K18" i="2"/>
  <c r="K34" i="2" s="1"/>
  <c r="G31" i="2" a="1"/>
  <c r="G31" i="2" s="1"/>
  <c r="G30" i="2" a="1"/>
  <c r="G30" i="2" s="1"/>
  <c r="G37" i="2" a="1"/>
  <c r="G37" i="2" s="1"/>
  <c r="K13" i="2"/>
  <c r="K21" i="2"/>
  <c r="I29" i="2"/>
  <c r="I27" i="2"/>
  <c r="I26" i="2"/>
  <c r="K12" i="2"/>
  <c r="K20" i="2"/>
  <c r="I24" i="2"/>
  <c r="K9" i="2"/>
  <c r="K17" i="2"/>
  <c r="E29" i="2"/>
  <c r="K8" i="2"/>
  <c r="K16" i="2"/>
  <c r="I30" i="2" a="1"/>
  <c r="I30" i="2" s="1"/>
  <c r="I31" i="2" a="1"/>
  <c r="I31" i="2" s="1"/>
  <c r="I32" i="2" a="1"/>
  <c r="I32" i="2" s="1"/>
  <c r="I35" i="2" a="1"/>
  <c r="I35" i="2" s="1"/>
  <c r="I36" i="2" a="1"/>
  <c r="I36" i="2" s="1"/>
  <c r="I37" i="2" a="1"/>
  <c r="I37" i="2" s="1"/>
  <c r="F24" i="2"/>
  <c r="F25" i="2"/>
  <c r="F26" i="2"/>
  <c r="F27" i="2"/>
  <c r="F34" i="2"/>
  <c r="G24" i="2"/>
  <c r="G25" i="2"/>
  <c r="G26" i="2"/>
  <c r="G27" i="2"/>
  <c r="F30" i="2" a="1"/>
  <c r="F30" i="2" s="1"/>
  <c r="F31" i="2" a="1"/>
  <c r="F31" i="2" s="1"/>
  <c r="F32" i="2" a="1"/>
  <c r="F32" i="2" s="1"/>
  <c r="G34" i="2"/>
  <c r="F35" i="2" a="1"/>
  <c r="F35" i="2" s="1"/>
  <c r="F36" i="2" a="1"/>
  <c r="F36" i="2" s="1"/>
  <c r="H24" i="2"/>
  <c r="H25" i="2"/>
  <c r="H26" i="2"/>
  <c r="H27" i="2"/>
  <c r="G32" i="2" a="1"/>
  <c r="G32" i="2" s="1"/>
  <c r="G35" i="2" a="1"/>
  <c r="G35" i="2" s="1"/>
  <c r="G36" i="2" a="1"/>
  <c r="G36" i="2" s="1"/>
  <c r="K35" i="2" l="1" a="1"/>
  <c r="K35" i="2" s="1"/>
  <c r="K30" i="2" a="1"/>
  <c r="K30" i="2" s="1"/>
  <c r="K29" i="2"/>
  <c r="K36" i="2" a="1"/>
  <c r="K36" i="2" s="1"/>
  <c r="K24" i="2"/>
  <c r="K25" i="2"/>
  <c r="K26" i="2"/>
  <c r="K27" i="2"/>
  <c r="K37" i="2" a="1"/>
  <c r="K37" i="2" s="1"/>
  <c r="K31" i="2" a="1"/>
  <c r="K31" i="2" s="1"/>
  <c r="K32" i="2" a="1"/>
  <c r="K32" i="2" s="1"/>
  <c r="X43" i="1" l="1"/>
  <c r="V50" i="1"/>
  <c r="U50" i="1"/>
  <c r="S50" i="1"/>
  <c r="X50" i="1"/>
  <c r="W50" i="1"/>
  <c r="J50" i="1"/>
  <c r="AD50" i="1" s="1"/>
  <c r="I50" i="1"/>
  <c r="AA50" i="1" s="1"/>
  <c r="V49" i="1"/>
  <c r="U49" i="1"/>
  <c r="S49" i="1"/>
  <c r="X49" i="1"/>
  <c r="W49" i="1"/>
  <c r="J49" i="1"/>
  <c r="AD49" i="1" s="1"/>
  <c r="I49" i="1"/>
  <c r="AA49" i="1" s="1"/>
  <c r="V48" i="1"/>
  <c r="U48" i="1"/>
  <c r="S48" i="1"/>
  <c r="W48" i="1"/>
  <c r="J48" i="1"/>
  <c r="AD48" i="1" s="1"/>
  <c r="AE48" i="1" s="1"/>
  <c r="I48" i="1"/>
  <c r="AA48" i="1" s="1"/>
  <c r="AB48" i="1" s="1"/>
  <c r="V47" i="1"/>
  <c r="U47" i="1"/>
  <c r="S47" i="1"/>
  <c r="X47" i="1"/>
  <c r="W47" i="1"/>
  <c r="J47" i="1"/>
  <c r="AD47" i="1" s="1"/>
  <c r="I47" i="1"/>
  <c r="AA47" i="1" s="1"/>
  <c r="V46" i="1"/>
  <c r="U46" i="1"/>
  <c r="S46" i="1"/>
  <c r="W46" i="1"/>
  <c r="J46" i="1"/>
  <c r="AD46" i="1" s="1"/>
  <c r="AE46" i="1" s="1"/>
  <c r="I46" i="1"/>
  <c r="AA46" i="1" s="1"/>
  <c r="AB46" i="1" s="1"/>
  <c r="V45" i="1"/>
  <c r="U45" i="1"/>
  <c r="S45" i="1"/>
  <c r="X45" i="1"/>
  <c r="W45" i="1"/>
  <c r="J45" i="1"/>
  <c r="AD45" i="1" s="1"/>
  <c r="I45" i="1"/>
  <c r="AA45" i="1" s="1"/>
  <c r="V44" i="1"/>
  <c r="U44" i="1"/>
  <c r="S44" i="1"/>
  <c r="X44" i="1"/>
  <c r="W44" i="1"/>
  <c r="J44" i="1"/>
  <c r="AD44" i="1" s="1"/>
  <c r="I44" i="1"/>
  <c r="AA44" i="1" s="1"/>
  <c r="V43" i="1"/>
  <c r="U43" i="1"/>
  <c r="S43" i="1"/>
  <c r="W43" i="1"/>
  <c r="J43" i="1"/>
  <c r="AD43" i="1" s="1"/>
  <c r="AE43" i="1" s="1"/>
  <c r="I43" i="1"/>
  <c r="AA43" i="1" s="1"/>
  <c r="AB43" i="1" s="1"/>
  <c r="X42" i="1"/>
  <c r="W42" i="1"/>
  <c r="V42" i="1"/>
  <c r="U42" i="1"/>
  <c r="S42" i="1"/>
  <c r="J42" i="1"/>
  <c r="AD42" i="1" s="1"/>
  <c r="I42" i="1"/>
  <c r="AA42" i="1" s="1"/>
  <c r="X41" i="1"/>
  <c r="W41" i="1"/>
  <c r="V41" i="1"/>
  <c r="U41" i="1"/>
  <c r="S41" i="1"/>
  <c r="J41" i="1"/>
  <c r="AD41" i="1" s="1"/>
  <c r="I41" i="1"/>
  <c r="AA41" i="1" s="1"/>
  <c r="X40" i="1"/>
  <c r="W40" i="1"/>
  <c r="V40" i="1"/>
  <c r="U40" i="1"/>
  <c r="S40" i="1"/>
  <c r="J40" i="1"/>
  <c r="AD40" i="1" s="1"/>
  <c r="I40" i="1"/>
  <c r="AA40" i="1" s="1"/>
  <c r="X39" i="1"/>
  <c r="V39" i="1"/>
  <c r="U39" i="1"/>
  <c r="S39" i="1"/>
  <c r="J39" i="1"/>
  <c r="AD39" i="1" s="1"/>
  <c r="I39" i="1"/>
  <c r="AA39" i="1" s="1"/>
  <c r="X38" i="1"/>
  <c r="W38" i="1"/>
  <c r="V38" i="1"/>
  <c r="U38" i="1"/>
  <c r="S38" i="1"/>
  <c r="J38" i="1"/>
  <c r="AD38" i="1" s="1"/>
  <c r="I38" i="1"/>
  <c r="AA38" i="1" s="1"/>
  <c r="X37" i="1"/>
  <c r="W37" i="1"/>
  <c r="V37" i="1"/>
  <c r="U37" i="1"/>
  <c r="S37" i="1"/>
  <c r="I37" i="1"/>
  <c r="AA37" i="1" s="1"/>
  <c r="J37" i="1"/>
  <c r="AD37" i="1" s="1"/>
  <c r="X36" i="1"/>
  <c r="W36" i="1"/>
  <c r="V36" i="1"/>
  <c r="U36" i="1"/>
  <c r="S36" i="1"/>
  <c r="I36" i="1"/>
  <c r="J36" i="1"/>
  <c r="AD36" i="1" s="1"/>
  <c r="X35" i="1"/>
  <c r="W35" i="1"/>
  <c r="V35" i="1"/>
  <c r="U35" i="1"/>
  <c r="S35" i="1"/>
  <c r="J35" i="1"/>
  <c r="AD35" i="1" s="1"/>
  <c r="I35" i="1"/>
  <c r="AA35" i="1" s="1"/>
  <c r="X34" i="1"/>
  <c r="W34" i="1"/>
  <c r="V34" i="1"/>
  <c r="U34" i="1"/>
  <c r="S34" i="1"/>
  <c r="J34" i="1"/>
  <c r="AD34" i="1" s="1"/>
  <c r="I34" i="1"/>
  <c r="AA34" i="1" s="1"/>
  <c r="X33" i="1"/>
  <c r="W33" i="1"/>
  <c r="V33" i="1"/>
  <c r="U33" i="1"/>
  <c r="S33" i="1"/>
  <c r="J33" i="1"/>
  <c r="AD33" i="1" s="1"/>
  <c r="I33" i="1"/>
  <c r="AA33" i="1" s="1"/>
  <c r="X32" i="1"/>
  <c r="W32" i="1"/>
  <c r="V32" i="1"/>
  <c r="U32" i="1"/>
  <c r="S32" i="1"/>
  <c r="I32" i="1"/>
  <c r="AA32" i="1" s="1"/>
  <c r="J32" i="1"/>
  <c r="AD32" i="1" s="1"/>
  <c r="X31" i="1"/>
  <c r="W31" i="1"/>
  <c r="V31" i="1"/>
  <c r="U31" i="1"/>
  <c r="S31" i="1"/>
  <c r="J31" i="1"/>
  <c r="AD31" i="1" s="1"/>
  <c r="I31" i="1"/>
  <c r="AA31" i="1" s="1"/>
  <c r="X30" i="1"/>
  <c r="W30" i="1"/>
  <c r="V30" i="1"/>
  <c r="U30" i="1"/>
  <c r="S30" i="1"/>
  <c r="J30" i="1"/>
  <c r="AD30" i="1" s="1"/>
  <c r="I30" i="1"/>
  <c r="AA30" i="1" s="1"/>
  <c r="X29" i="1"/>
  <c r="W29" i="1"/>
  <c r="V29" i="1"/>
  <c r="U29" i="1"/>
  <c r="S29" i="1"/>
  <c r="J29" i="1"/>
  <c r="AD29" i="1" s="1"/>
  <c r="I29" i="1"/>
  <c r="AA29" i="1" s="1"/>
  <c r="X28" i="1"/>
  <c r="W28" i="1"/>
  <c r="V28" i="1"/>
  <c r="U28" i="1"/>
  <c r="S28" i="1"/>
  <c r="I28" i="1"/>
  <c r="J28" i="1"/>
  <c r="AD28" i="1" s="1"/>
  <c r="X27" i="1"/>
  <c r="W27" i="1"/>
  <c r="V27" i="1"/>
  <c r="U27" i="1"/>
  <c r="S27" i="1"/>
  <c r="J27" i="1"/>
  <c r="AD27" i="1" s="1"/>
  <c r="I27" i="1"/>
  <c r="AA27" i="1" s="1"/>
  <c r="X26" i="1"/>
  <c r="W26" i="1"/>
  <c r="V26" i="1"/>
  <c r="U26" i="1"/>
  <c r="S26" i="1"/>
  <c r="J26" i="1"/>
  <c r="AD26" i="1" s="1"/>
  <c r="I26" i="1"/>
  <c r="AA26" i="1" s="1"/>
  <c r="X25" i="1"/>
  <c r="W25" i="1"/>
  <c r="V25" i="1"/>
  <c r="U25" i="1"/>
  <c r="S25" i="1"/>
  <c r="J25" i="1"/>
  <c r="AD25" i="1" s="1"/>
  <c r="I25" i="1"/>
  <c r="AA25" i="1" s="1"/>
  <c r="X24" i="1"/>
  <c r="W24" i="1"/>
  <c r="V24" i="1"/>
  <c r="U24" i="1"/>
  <c r="S24" i="1"/>
  <c r="I24" i="1"/>
  <c r="AA24" i="1" s="1"/>
  <c r="J24" i="1"/>
  <c r="AD24" i="1" s="1"/>
  <c r="X23" i="1"/>
  <c r="W23" i="1"/>
  <c r="V23" i="1"/>
  <c r="U23" i="1"/>
  <c r="S23" i="1"/>
  <c r="J23" i="1"/>
  <c r="AD23" i="1" s="1"/>
  <c r="I23" i="1"/>
  <c r="AA23" i="1" s="1"/>
  <c r="X22" i="1"/>
  <c r="W22" i="1"/>
  <c r="V22" i="1"/>
  <c r="U22" i="1"/>
  <c r="S22" i="1"/>
  <c r="J22" i="1"/>
  <c r="AD22" i="1" s="1"/>
  <c r="I22" i="1"/>
  <c r="AA22" i="1" s="1"/>
  <c r="X21" i="1"/>
  <c r="W21" i="1"/>
  <c r="V21" i="1"/>
  <c r="U21" i="1"/>
  <c r="S21" i="1"/>
  <c r="J21" i="1"/>
  <c r="AD21" i="1" s="1"/>
  <c r="I21" i="1"/>
  <c r="AA21" i="1" s="1"/>
  <c r="X20" i="1"/>
  <c r="W20" i="1"/>
  <c r="V20" i="1"/>
  <c r="U20" i="1"/>
  <c r="S20" i="1"/>
  <c r="I20" i="1"/>
  <c r="AA20" i="1" s="1"/>
  <c r="J20" i="1"/>
  <c r="AD20" i="1" s="1"/>
  <c r="X19" i="1"/>
  <c r="W19" i="1"/>
  <c r="V19" i="1"/>
  <c r="U19" i="1"/>
  <c r="S19" i="1"/>
  <c r="J19" i="1"/>
  <c r="AD19" i="1" s="1"/>
  <c r="I19" i="1"/>
  <c r="AA19" i="1" s="1"/>
  <c r="X18" i="1"/>
  <c r="W18" i="1"/>
  <c r="V18" i="1"/>
  <c r="U18" i="1"/>
  <c r="S18" i="1"/>
  <c r="J18" i="1"/>
  <c r="AD18" i="1" s="1"/>
  <c r="I18" i="1"/>
  <c r="AA18" i="1" s="1"/>
  <c r="X17" i="1"/>
  <c r="W17" i="1"/>
  <c r="V17" i="1"/>
  <c r="U17" i="1"/>
  <c r="S17" i="1"/>
  <c r="J17" i="1"/>
  <c r="AD17" i="1" s="1"/>
  <c r="I17" i="1"/>
  <c r="AA17" i="1" s="1"/>
  <c r="X16" i="1"/>
  <c r="W16" i="1"/>
  <c r="V16" i="1"/>
  <c r="U16" i="1"/>
  <c r="S16" i="1"/>
  <c r="I16" i="1"/>
  <c r="AA16" i="1" s="1"/>
  <c r="J16" i="1"/>
  <c r="AD16" i="1" s="1"/>
  <c r="X15" i="1"/>
  <c r="W15" i="1"/>
  <c r="V15" i="1"/>
  <c r="U15" i="1"/>
  <c r="S15" i="1"/>
  <c r="J15" i="1"/>
  <c r="AD15" i="1" s="1"/>
  <c r="I15" i="1"/>
  <c r="AA15" i="1" s="1"/>
  <c r="X14" i="1"/>
  <c r="W14" i="1"/>
  <c r="V14" i="1"/>
  <c r="U14" i="1"/>
  <c r="S14" i="1"/>
  <c r="J14" i="1"/>
  <c r="AD14" i="1" s="1"/>
  <c r="I14" i="1"/>
  <c r="AA14" i="1" s="1"/>
  <c r="X13" i="1"/>
  <c r="W13" i="1"/>
  <c r="V13" i="1"/>
  <c r="U13" i="1"/>
  <c r="S13" i="1"/>
  <c r="J13" i="1"/>
  <c r="AD13" i="1" s="1"/>
  <c r="I13" i="1"/>
  <c r="AA13" i="1" s="1"/>
  <c r="X12" i="1"/>
  <c r="W12" i="1"/>
  <c r="V12" i="1"/>
  <c r="U12" i="1"/>
  <c r="S12" i="1"/>
  <c r="I12" i="1"/>
  <c r="J12" i="1"/>
  <c r="AD12" i="1" s="1"/>
  <c r="X11" i="1"/>
  <c r="W11" i="1"/>
  <c r="V11" i="1"/>
  <c r="U11" i="1"/>
  <c r="S11" i="1"/>
  <c r="J11" i="1"/>
  <c r="AD11" i="1" s="1"/>
  <c r="I11" i="1"/>
  <c r="AA11" i="1" s="1"/>
  <c r="X10" i="1"/>
  <c r="W10" i="1"/>
  <c r="V10" i="1"/>
  <c r="U10" i="1"/>
  <c r="S10" i="1"/>
  <c r="J10" i="1"/>
  <c r="AD10" i="1" s="1"/>
  <c r="I10" i="1"/>
  <c r="AA10" i="1" s="1"/>
  <c r="X9" i="1"/>
  <c r="W9" i="1"/>
  <c r="V9" i="1"/>
  <c r="U9" i="1"/>
  <c r="S9" i="1"/>
  <c r="J9" i="1"/>
  <c r="AD9" i="1" s="1"/>
  <c r="I9" i="1"/>
  <c r="AA9" i="1" s="1"/>
  <c r="X8" i="1"/>
  <c r="W8" i="1"/>
  <c r="V8" i="1"/>
  <c r="U8" i="1"/>
  <c r="S8" i="1"/>
  <c r="I8" i="1"/>
  <c r="AA8" i="1" s="1"/>
  <c r="J8" i="1"/>
  <c r="AD8" i="1" s="1"/>
  <c r="X7" i="1"/>
  <c r="W7" i="1"/>
  <c r="V7" i="1"/>
  <c r="U7" i="1"/>
  <c r="S7" i="1"/>
  <c r="J7" i="1"/>
  <c r="AD7" i="1" s="1"/>
  <c r="I7" i="1"/>
  <c r="AA7" i="1" s="1"/>
  <c r="K12" i="1" l="1"/>
  <c r="T12" i="1" s="1"/>
  <c r="AA12" i="1"/>
  <c r="K28" i="1"/>
  <c r="T28" i="1" s="1"/>
  <c r="AA28" i="1"/>
  <c r="K36" i="1"/>
  <c r="T36" i="1" s="1"/>
  <c r="Y36" i="1" s="1"/>
  <c r="AA36" i="1"/>
  <c r="AE41" i="1"/>
  <c r="AE15" i="1"/>
  <c r="K32" i="1"/>
  <c r="T32" i="1" s="1"/>
  <c r="Y32" i="1" s="1"/>
  <c r="K30" i="1"/>
  <c r="T30" i="1" s="1"/>
  <c r="Y30" i="1" s="1"/>
  <c r="K19" i="1"/>
  <c r="T19" i="1" s="1"/>
  <c r="Y19" i="1" s="1"/>
  <c r="K35" i="1"/>
  <c r="T35" i="1" s="1"/>
  <c r="K42" i="1"/>
  <c r="T42" i="1" s="1"/>
  <c r="K9" i="1"/>
  <c r="T9" i="1" s="1"/>
  <c r="Y9" i="1" s="1"/>
  <c r="AB9" i="1" s="1"/>
  <c r="K25" i="1"/>
  <c r="T25" i="1" s="1"/>
  <c r="Y25" i="1" s="1"/>
  <c r="AB25" i="1" s="1"/>
  <c r="K44" i="1"/>
  <c r="T44" i="1" s="1"/>
  <c r="K50" i="1"/>
  <c r="T50" i="1" s="1"/>
  <c r="K43" i="1"/>
  <c r="T43" i="1" s="1"/>
  <c r="Y12" i="1"/>
  <c r="K15" i="1"/>
  <c r="T15" i="1" s="1"/>
  <c r="Y15" i="1" s="1"/>
  <c r="AB15" i="1" s="1"/>
  <c r="K39" i="1"/>
  <c r="T39" i="1" s="1"/>
  <c r="K45" i="1"/>
  <c r="T45" i="1" s="1"/>
  <c r="Y45" i="1" s="1"/>
  <c r="AB45" i="1" s="1"/>
  <c r="K20" i="1"/>
  <c r="T20" i="1" s="1"/>
  <c r="Y20" i="1" s="1"/>
  <c r="Y50" i="1"/>
  <c r="K7" i="1"/>
  <c r="T7" i="1" s="1"/>
  <c r="Y7" i="1" s="1"/>
  <c r="K8" i="1"/>
  <c r="T8" i="1" s="1"/>
  <c r="Y8" i="1" s="1"/>
  <c r="AB8" i="1" s="1"/>
  <c r="K17" i="1"/>
  <c r="T17" i="1" s="1"/>
  <c r="Y17" i="1" s="1"/>
  <c r="AB17" i="1" s="1"/>
  <c r="K27" i="1"/>
  <c r="T27" i="1" s="1"/>
  <c r="Y27" i="1" s="1"/>
  <c r="AB27" i="1" s="1"/>
  <c r="K37" i="1"/>
  <c r="T37" i="1" s="1"/>
  <c r="Y37" i="1" s="1"/>
  <c r="AB37" i="1" s="1"/>
  <c r="K14" i="1"/>
  <c r="T14" i="1" s="1"/>
  <c r="K23" i="1"/>
  <c r="T23" i="1" s="1"/>
  <c r="Y23" i="1" s="1"/>
  <c r="AB23" i="1" s="1"/>
  <c r="K24" i="1"/>
  <c r="T24" i="1" s="1"/>
  <c r="Y24" i="1" s="1"/>
  <c r="Y28" i="1"/>
  <c r="K22" i="1"/>
  <c r="T22" i="1" s="1"/>
  <c r="Y22" i="1" s="1"/>
  <c r="Y42" i="1"/>
  <c r="K11" i="1"/>
  <c r="T11" i="1" s="1"/>
  <c r="Y11" i="1" s="1"/>
  <c r="AB11" i="1" s="1"/>
  <c r="K31" i="1"/>
  <c r="T31" i="1" s="1"/>
  <c r="K46" i="1"/>
  <c r="T46" i="1" s="1"/>
  <c r="K13" i="1"/>
  <c r="T13" i="1" s="1"/>
  <c r="Y13" i="1" s="1"/>
  <c r="AB13" i="1" s="1"/>
  <c r="K18" i="1"/>
  <c r="T18" i="1" s="1"/>
  <c r="Y18" i="1" s="1"/>
  <c r="K29" i="1"/>
  <c r="T29" i="1" s="1"/>
  <c r="Y29" i="1" s="1"/>
  <c r="AB29" i="1" s="1"/>
  <c r="K34" i="1"/>
  <c r="T34" i="1" s="1"/>
  <c r="Y34" i="1" s="1"/>
  <c r="K16" i="1"/>
  <c r="T16" i="1" s="1"/>
  <c r="Y16" i="1" s="1"/>
  <c r="K40" i="1"/>
  <c r="T40" i="1" s="1"/>
  <c r="Y40" i="1" s="1"/>
  <c r="K41" i="1"/>
  <c r="T41" i="1" s="1"/>
  <c r="Y41" i="1" s="1"/>
  <c r="AB41" i="1" s="1"/>
  <c r="K10" i="1"/>
  <c r="T10" i="1" s="1"/>
  <c r="Y10" i="1" s="1"/>
  <c r="AB10" i="1" s="1"/>
  <c r="Y14" i="1"/>
  <c r="K21" i="1"/>
  <c r="T21" i="1" s="1"/>
  <c r="Y21" i="1" s="1"/>
  <c r="AB21" i="1" s="1"/>
  <c r="K26" i="1"/>
  <c r="T26" i="1" s="1"/>
  <c r="Y26" i="1" s="1"/>
  <c r="Y39" i="1"/>
  <c r="AB39" i="1" s="1"/>
  <c r="Y35" i="1"/>
  <c r="AB35" i="1" s="1"/>
  <c r="K47" i="1"/>
  <c r="T47" i="1" s="1"/>
  <c r="Y47" i="1" s="1"/>
  <c r="AB47" i="1" s="1"/>
  <c r="K33" i="1"/>
  <c r="T33" i="1" s="1"/>
  <c r="Y33" i="1" s="1"/>
  <c r="AB33" i="1" s="1"/>
  <c r="K48" i="1"/>
  <c r="T48" i="1" s="1"/>
  <c r="Y31" i="1"/>
  <c r="AB31" i="1" s="1"/>
  <c r="K38" i="1"/>
  <c r="T38" i="1" s="1"/>
  <c r="Y38" i="1" s="1"/>
  <c r="Y44" i="1"/>
  <c r="K49" i="1"/>
  <c r="T49" i="1" s="1"/>
  <c r="Y49" i="1" s="1"/>
  <c r="AB49" i="1" s="1"/>
  <c r="AB36" i="1" l="1"/>
  <c r="AE36" i="1"/>
  <c r="AB19" i="1"/>
  <c r="AE19" i="1"/>
  <c r="AG7" i="1" a="1"/>
  <c r="AG7" i="1" s="1"/>
  <c r="AE7" i="1"/>
  <c r="AB7" i="1"/>
  <c r="AE32" i="1"/>
  <c r="AB32" i="1"/>
  <c r="AB18" i="1"/>
  <c r="AE18" i="1"/>
  <c r="AB28" i="1"/>
  <c r="AE28" i="1"/>
  <c r="AB12" i="1"/>
  <c r="AE12" i="1"/>
  <c r="AE24" i="1"/>
  <c r="AB24" i="1"/>
  <c r="AE30" i="1"/>
  <c r="AB30" i="1"/>
  <c r="AE10" i="1"/>
  <c r="AE25" i="1"/>
  <c r="AB14" i="1"/>
  <c r="AE14" i="1"/>
  <c r="AE8" i="1"/>
  <c r="AB50" i="1"/>
  <c r="AE50" i="1"/>
  <c r="AE33" i="1"/>
  <c r="AE27" i="1"/>
  <c r="AB20" i="1"/>
  <c r="AE20" i="1"/>
  <c r="AE40" i="1"/>
  <c r="AB40" i="1"/>
  <c r="AE45" i="1"/>
  <c r="AE17" i="1"/>
  <c r="AE35" i="1"/>
  <c r="AB16" i="1"/>
  <c r="AE16" i="1"/>
  <c r="AE9" i="1"/>
  <c r="AE11" i="1"/>
  <c r="AE31" i="1"/>
  <c r="AE13" i="1"/>
  <c r="AE21" i="1"/>
  <c r="AE49" i="1"/>
  <c r="AE39" i="1"/>
  <c r="AE44" i="1"/>
  <c r="AB44" i="1"/>
  <c r="AE26" i="1"/>
  <c r="AB26" i="1"/>
  <c r="AB34" i="1"/>
  <c r="AE34" i="1"/>
  <c r="AE42" i="1"/>
  <c r="AB42" i="1"/>
  <c r="AB38" i="1"/>
  <c r="AE38" i="1"/>
  <c r="AB22" i="1"/>
  <c r="AE22" i="1"/>
  <c r="AE23" i="1"/>
  <c r="AE47" i="1"/>
  <c r="AE37" i="1"/>
  <c r="AE29" i="1"/>
  <c r="Y51" i="1"/>
  <c r="AE51" i="1" l="1"/>
  <c r="AJ7" i="1" a="1"/>
  <c r="AJ7" i="1" s="1"/>
  <c r="AB51" i="1"/>
  <c r="AM7" i="1" a="1"/>
  <c r="AM7" i="1" s="1"/>
  <c r="D120" i="3" l="1"/>
  <c r="D121"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<sst xmlns="http://schemas.openxmlformats.org/spreadsheetml/2006/main" count="1166" uniqueCount="365">
  <si>
    <t>CREDIT METRICS ANALYSIS</t>
  </si>
  <si>
    <t>@ 45%</t>
  </si>
  <si>
    <t>Label</t>
  </si>
  <si>
    <t>Item</t>
  </si>
  <si>
    <t>Formula/Source</t>
  </si>
  <si>
    <t>Units</t>
  </si>
  <si>
    <t>[a]</t>
  </si>
  <si>
    <t>Rate Base (financed by capital structure)</t>
  </si>
  <si>
    <t>Ex C1-01-01 (Tables 1-5)</t>
  </si>
  <si>
    <t>$ Millions</t>
  </si>
  <si>
    <t>[b]</t>
  </si>
  <si>
    <t>Return on Equity</t>
  </si>
  <si>
    <t>%</t>
  </si>
  <si>
    <t>[c]</t>
  </si>
  <si>
    <t>Equity Portion</t>
  </si>
  <si>
    <t>Toggle</t>
  </si>
  <si>
    <t>[d]</t>
  </si>
  <si>
    <t>Cost of Debt</t>
  </si>
  <si>
    <t>[e]</t>
  </si>
  <si>
    <t>Total Debt</t>
  </si>
  <si>
    <t>[f]</t>
  </si>
  <si>
    <t>Income Tax Rate</t>
  </si>
  <si>
    <t>Ex F4-02-01 (Table 3d)</t>
  </si>
  <si>
    <t>[g]</t>
  </si>
  <si>
    <t>Net Income</t>
  </si>
  <si>
    <t>[h]</t>
  </si>
  <si>
    <t>Interest Expense</t>
  </si>
  <si>
    <t>[i]</t>
  </si>
  <si>
    <t>Income Taxes</t>
  </si>
  <si>
    <t>Ex F4-02-01 (Tables 3b &amp; 3d)</t>
  </si>
  <si>
    <t>[j]</t>
  </si>
  <si>
    <t>Depreciation</t>
  </si>
  <si>
    <t>Ex F4-01-01 (Tables 1-2), Ex H01-02-01 (Tables 1-2)</t>
  </si>
  <si>
    <t>[k]</t>
  </si>
  <si>
    <t>Cost of Lesser of UNL or ARC</t>
  </si>
  <si>
    <t>Ex C2-01-01 (Tables 1-5)</t>
  </si>
  <si>
    <t>[l]</t>
  </si>
  <si>
    <t>EBITDA</t>
  </si>
  <si>
    <t>[m]</t>
  </si>
  <si>
    <t>Funds from Operations</t>
  </si>
  <si>
    <t>[n]</t>
  </si>
  <si>
    <t>Pension and OPEB Accrual</t>
  </si>
  <si>
    <t>[o]</t>
  </si>
  <si>
    <t>Pension Plan Contributions &amp; OPEB Payments</t>
  </si>
  <si>
    <t>[p]</t>
  </si>
  <si>
    <t>Nuclear Waste Management Expenses</t>
  </si>
  <si>
    <t>[q]</t>
  </si>
  <si>
    <t>Receipts from Nuclear Segregated Funds</t>
  </si>
  <si>
    <t>[r]</t>
  </si>
  <si>
    <t>Cash Expenditures for Nuclear Waste &amp; Decommissioning</t>
  </si>
  <si>
    <t>[s]</t>
  </si>
  <si>
    <t>Contributions to Nuclear Segregated Funds</t>
  </si>
  <si>
    <t>[t]</t>
  </si>
  <si>
    <t>Cashflow from Operations</t>
  </si>
  <si>
    <t>[u]</t>
  </si>
  <si>
    <t>OPEB Liabilities</t>
  </si>
  <si>
    <t>Ex. F4-03-02 Attachment 1</t>
  </si>
  <si>
    <t>[v]</t>
  </si>
  <si>
    <t>Pension Liabilities</t>
  </si>
  <si>
    <t>[w]</t>
  </si>
  <si>
    <t>Pension Allocation</t>
  </si>
  <si>
    <t>Ex. F4-03-02</t>
  </si>
  <si>
    <t>METRICS - CALCULATED</t>
  </si>
  <si>
    <t>FFO/Debt</t>
  </si>
  <si>
    <t>CFO/Debt</t>
  </si>
  <si>
    <t>@ 52%</t>
  </si>
  <si>
    <t>Notes:</t>
  </si>
  <si>
    <t>General</t>
  </si>
  <si>
    <t>Amounts presented in this schedule are as of November 24, 2025.  Amounts do not reflect OPG's rate shaping proposal or Clean Electricity Investment Tax Credits, which are considered in Canada's 2025 budget but have not yet been passed into law.</t>
  </si>
  <si>
    <t>The Cost of Debt is based on OPG's forecasted Cost of Debt in its rates application, based on the assumptions therein.  A decrease from OPG's proposed equity thickness of 52% would likely increase the Cost of Debt, although, conservatively, no such impact has been reflected in this analysis.</t>
  </si>
  <si>
    <t xml:space="preserve">"Cost of Lesser of UNL or ARC" is subtracted to arrive at EBITDA.  The return on the lesser of the Unfunded Nuclear Liability ("UNL") and the Asset Retirement Cost ("ARC") is different than the return applied to other elements of OPG's rate base. </t>
  </si>
  <si>
    <t>[n] through [s]</t>
  </si>
  <si>
    <t>These adjustments are made to adjust net income for cash and non-cash items to arrive at Cashflow from Operations.</t>
  </si>
  <si>
    <t>[u] and [v]</t>
  </si>
  <si>
    <t>S&amp;P adjusts debt for the after-tax amount of OPEB Liabilities and Pension Liabilities.  Moody's adjusts debt for the pre-tax amount of Pension Liabilities.</t>
  </si>
  <si>
    <t>OPG's pension and OPEB liabilities are not segregated for ratemaking purposes.  This allocation factor allocates a portion of OPG's pension and OPEB liabilities to the prescribed operations.</t>
  </si>
  <si>
    <t>-------------------------------------------------------------------------------------------------------------------- ALL COMPANY DATA --------------------------------------------------------------------------------------------------------------------</t>
  </si>
  <si>
    <t>--------------------------------------------------------- MAIN PROXY GROUP SCREENING ---------------------------------------------------------</t>
  </si>
  <si>
    <t>HYDRO SCREENING</t>
  </si>
  <si>
    <t>NUCLEAR SCREENING</t>
  </si>
  <si>
    <t>MAIN PROXY GROUP</t>
  </si>
  <si>
    <t>HYDRO PROXY GROUP</t>
  </si>
  <si>
    <t>NUCLEAR PROXY GROUP</t>
  </si>
  <si>
    <t>[1]</t>
  </si>
  <si>
    <t>[2]</t>
  </si>
  <si>
    <t>[3]</t>
  </si>
  <si>
    <t>[4]</t>
  </si>
  <si>
    <t>[5]</t>
  </si>
  <si>
    <t>[6]</t>
  </si>
  <si>
    <t>[7]</t>
  </si>
  <si>
    <t>[8]</t>
  </si>
  <si>
    <t>[9]</t>
  </si>
  <si>
    <t>[10</t>
  </si>
  <si>
    <t>[11]</t>
  </si>
  <si>
    <t>[12]</t>
  </si>
  <si>
    <t>[13]</t>
  </si>
  <si>
    <t>[14]</t>
  </si>
  <si>
    <t>[15]</t>
  </si>
  <si>
    <t>Company</t>
  </si>
  <si>
    <t>Ticker</t>
  </si>
  <si>
    <t>S&amp;P/Moody's Credit Rating Of At Least BBB-/Baa3</t>
  </si>
  <si>
    <t>Generation Assets Included in Rate Base</t>
  </si>
  <si>
    <t>Regulated Generation Operating Capacity (MW)</t>
  </si>
  <si>
    <t>Regulated Hydro Generation Operating Capacity (MW)</t>
  </si>
  <si>
    <t>Regulated Nuclear Generation Operating Capacity (MW)</t>
  </si>
  <si>
    <t>Percent of Generation Assets that are Hydroelectric</t>
  </si>
  <si>
    <t>Percent of Generation Assets that are Nuclear</t>
  </si>
  <si>
    <t>Own Regulated Nuclear and/or Hydroelectric Generation</t>
  </si>
  <si>
    <t xml:space="preserve">% Regulated Operating Revenue of Total Revenue 
&gt; 60% </t>
  </si>
  <si>
    <t xml:space="preserve">% Regulated Operating Income of Total Income 
&gt; 60% </t>
  </si>
  <si>
    <t xml:space="preserve">% Regulated Electric Revenue of Total Regulated Revenue 
&gt; 80% </t>
  </si>
  <si>
    <t xml:space="preserve">% Regulated Electric Income of Total Regulated Income 
&gt; 80% </t>
  </si>
  <si>
    <t>Passes Main Screens?</t>
  </si>
  <si>
    <t>% Hydroelectric</t>
  </si>
  <si>
    <t>Passes Hydro Screen?</t>
  </si>
  <si>
    <t>% 
Nuclear</t>
  </si>
  <si>
    <t>Passes Nuclear Screen?</t>
  </si>
  <si>
    <t>ALLETE, Inc.</t>
  </si>
  <si>
    <t>ALE</t>
  </si>
  <si>
    <t>BBB</t>
  </si>
  <si>
    <t>Yes</t>
  </si>
  <si>
    <t>Alliant Energy Corporation</t>
  </si>
  <si>
    <t>LNT</t>
  </si>
  <si>
    <t>BBB+</t>
  </si>
  <si>
    <t>Ameren Corporation</t>
  </si>
  <si>
    <t>AEE</t>
  </si>
  <si>
    <t>American Electric Power Company, Inc.</t>
  </si>
  <si>
    <t>AEP</t>
  </si>
  <si>
    <t>Avista Corporation</t>
  </si>
  <si>
    <t>AVA</t>
  </si>
  <si>
    <t>Black Hills Corporation</t>
  </si>
  <si>
    <t>BKH</t>
  </si>
  <si>
    <t>CenterPoint Energy, Inc.</t>
  </si>
  <si>
    <t>CNP</t>
  </si>
  <si>
    <t>CMS Energy Corporation</t>
  </si>
  <si>
    <t>CMS</t>
  </si>
  <si>
    <t>Consolidated Edison, Inc.</t>
  </si>
  <si>
    <t>ED</t>
  </si>
  <si>
    <t>A-</t>
  </si>
  <si>
    <t>Dominion Resources, Inc.</t>
  </si>
  <si>
    <t>D</t>
  </si>
  <si>
    <t>DTE Energy Company</t>
  </si>
  <si>
    <t>DTE</t>
  </si>
  <si>
    <t>Duke Energy Corporation</t>
  </si>
  <si>
    <t>DUK</t>
  </si>
  <si>
    <t>Edison International</t>
  </si>
  <si>
    <t>EIX</t>
  </si>
  <si>
    <t>Entergy Corporation</t>
  </si>
  <si>
    <t>ETR</t>
  </si>
  <si>
    <t>Eversource Energy</t>
  </si>
  <si>
    <t>ES</t>
  </si>
  <si>
    <t>No</t>
  </si>
  <si>
    <t>Exelon Corporation</t>
  </si>
  <si>
    <t>EXC</t>
  </si>
  <si>
    <t>FirstEnergy Corporation</t>
  </si>
  <si>
    <t>FE</t>
  </si>
  <si>
    <t xml:space="preserve">Evergy, Inc. </t>
  </si>
  <si>
    <t>EVRG</t>
  </si>
  <si>
    <t>Hawaiian Electric Industries, Inc.</t>
  </si>
  <si>
    <t>HE</t>
  </si>
  <si>
    <t>B-</t>
  </si>
  <si>
    <t>IDACORP, Inc.</t>
  </si>
  <si>
    <t>IDA</t>
  </si>
  <si>
    <t>MGE Energy, Inc.</t>
  </si>
  <si>
    <t>MGEE</t>
  </si>
  <si>
    <t>AA-</t>
  </si>
  <si>
    <t>NextEra Energy, Inc.</t>
  </si>
  <si>
    <t>NEE</t>
  </si>
  <si>
    <t>NorthWestern Corporation</t>
  </si>
  <si>
    <t>NWE</t>
  </si>
  <si>
    <t>OGE Energy Corporation</t>
  </si>
  <si>
    <t>OGE</t>
  </si>
  <si>
    <t>Otter Tail Corporation</t>
  </si>
  <si>
    <t>OTTR</t>
  </si>
  <si>
    <t>PG&amp;E Corporation</t>
  </si>
  <si>
    <t>PCG</t>
  </si>
  <si>
    <t>BB</t>
  </si>
  <si>
    <t>Pinnacle West Capital Corporation</t>
  </si>
  <si>
    <t>PNW</t>
  </si>
  <si>
    <t>TXNM Energy, Inc.</t>
  </si>
  <si>
    <t>TXNM</t>
  </si>
  <si>
    <t>Portland General Electric Company</t>
  </si>
  <si>
    <t>POR</t>
  </si>
  <si>
    <t>PPL Corporation</t>
  </si>
  <si>
    <t>PPL</t>
  </si>
  <si>
    <t>Public Service Enterprise Group Inc.</t>
  </si>
  <si>
    <t>PEG</t>
  </si>
  <si>
    <t>Sempra Energy</t>
  </si>
  <si>
    <t>SRE</t>
  </si>
  <si>
    <t>Southern Company</t>
  </si>
  <si>
    <t>SO</t>
  </si>
  <si>
    <t>Unitil Corporation</t>
  </si>
  <si>
    <t>UTL</t>
  </si>
  <si>
    <t>Wisconsin Energy Corporation</t>
  </si>
  <si>
    <t>WEC</t>
  </si>
  <si>
    <t>Xcel Energy Inc.</t>
  </si>
  <si>
    <t>XEL</t>
  </si>
  <si>
    <t>Algonquin Power &amp; Utilities Corporation</t>
  </si>
  <si>
    <t>AQN</t>
  </si>
  <si>
    <t>n/a</t>
  </si>
  <si>
    <t>AltaGas Limited</t>
  </si>
  <si>
    <t>ALA</t>
  </si>
  <si>
    <t>BBB-</t>
  </si>
  <si>
    <t>Canadian Utilities Limited</t>
  </si>
  <si>
    <t>CU</t>
  </si>
  <si>
    <t>NR</t>
  </si>
  <si>
    <t>Emera Inc.</t>
  </si>
  <si>
    <t>EMA</t>
  </si>
  <si>
    <t>Enbridge Inc.</t>
  </si>
  <si>
    <t>ENB</t>
  </si>
  <si>
    <t>Fortis Inc.</t>
  </si>
  <si>
    <t>FTS</t>
  </si>
  <si>
    <t>Hydro One Limited</t>
  </si>
  <si>
    <t>H</t>
  </si>
  <si>
    <t>A</t>
  </si>
  <si>
    <t>TC Energy Corporation</t>
  </si>
  <si>
    <t>TRP</t>
  </si>
  <si>
    <t>[1] Source: Bloomberg Professional, as of May 31, 2025</t>
  </si>
  <si>
    <t xml:space="preserve">[2] - [5] Source: S&amp;P Capital IQ </t>
  </si>
  <si>
    <t>[6] Equals [4] / [3]</t>
  </si>
  <si>
    <t>[7] Equals [5] / [3]</t>
  </si>
  <si>
    <t>[8] Equals "Yes" if ([6] + [7]) &gt; 5%</t>
  </si>
  <si>
    <t>[9] - [12] Source: Form 10-Ks for 2022, 2023, &amp; 2024 (three-year average) for US companies; Annual Reports for Canadian companies</t>
  </si>
  <si>
    <t>[13] Equals "Yes" if Screens [1] - [8] are passed. Manual inclusions are: AQN, EMA, and FTS, as explained in Concentric's report, and SO, due to close proximity of only failing screen (regulated electric revenue as a percentage of total regulated revenue).</t>
  </si>
  <si>
    <t>[14] Equals "Yes" if [13] equals "Yes" and [6] &gt; 5%</t>
  </si>
  <si>
    <t>[15] Equals "Yes" if [13] equals "Yes" and [7] &gt; 5%</t>
  </si>
  <si>
    <t>ACTUAL EQUITY RATIO ANALYSIS</t>
  </si>
  <si>
    <t>Common Equity Ratio (%)</t>
  </si>
  <si>
    <t>Proxy Group Company</t>
  </si>
  <si>
    <t>2020-2024 Average</t>
  </si>
  <si>
    <t>Group</t>
  </si>
  <si>
    <t/>
  </si>
  <si>
    <t>Hydro</t>
  </si>
  <si>
    <t>Nuclear</t>
  </si>
  <si>
    <t>MEAN</t>
  </si>
  <si>
    <t>MEDIAN</t>
  </si>
  <si>
    <t>LOW</t>
  </si>
  <si>
    <t>HIGH</t>
  </si>
  <si>
    <t>Average Nuclear</t>
  </si>
  <si>
    <t>Median Nuclear</t>
  </si>
  <si>
    <t>Min Nuclear</t>
  </si>
  <si>
    <t>Max Nuclear</t>
  </si>
  <si>
    <t>Average Hydro</t>
  </si>
  <si>
    <t>Median Hydro</t>
  </si>
  <si>
    <t>Min Hydro</t>
  </si>
  <si>
    <t>Max Hydro</t>
  </si>
  <si>
    <t>AUTHORIZED EQUITY RATIO ANALYSIS - OPERATING SUBSIDIARIES</t>
  </si>
  <si>
    <t>Company Name</t>
  </si>
  <si>
    <t>State</t>
  </si>
  <si>
    <t>Service Type</t>
  </si>
  <si>
    <t>Current</t>
  </si>
  <si>
    <t>S&amp;P Credit Supportiveness</t>
  </si>
  <si>
    <t>Minnesota Power Enterprises, Inc.</t>
  </si>
  <si>
    <t>Minnesota</t>
  </si>
  <si>
    <t>Electric</t>
  </si>
  <si>
    <t>Highly Credit Supportive</t>
  </si>
  <si>
    <t>Ameren Illinois Company</t>
  </si>
  <si>
    <t>Illinois</t>
  </si>
  <si>
    <t>Very Credit Supportive</t>
  </si>
  <si>
    <t>Union Electric Company</t>
  </si>
  <si>
    <t>Missouri</t>
  </si>
  <si>
    <t>AEP Texas, Inc.</t>
  </si>
  <si>
    <t>Texas</t>
  </si>
  <si>
    <t>Appalachian Power Company</t>
  </si>
  <si>
    <t>Virginia</t>
  </si>
  <si>
    <t>West Virginia</t>
  </si>
  <si>
    <t>Indiana Michigan Power Company</t>
  </si>
  <si>
    <t>Indiana</t>
  </si>
  <si>
    <t>Michigan</t>
  </si>
  <si>
    <t>Most Credit Supportive</t>
  </si>
  <si>
    <t>Kentucky Power Company</t>
  </si>
  <si>
    <t>Kentucky</t>
  </si>
  <si>
    <t>Kingsport Power Company</t>
  </si>
  <si>
    <t>Tennessee</t>
  </si>
  <si>
    <t>Ohio Power Company</t>
  </si>
  <si>
    <t>Ohio</t>
  </si>
  <si>
    <t>Public Service Company of Oklahoma</t>
  </si>
  <si>
    <t>Oklahoma</t>
  </si>
  <si>
    <t>Southwestern Electric Power Company</t>
  </si>
  <si>
    <t>Louisiana</t>
  </si>
  <si>
    <t>Arkansas</t>
  </si>
  <si>
    <t>Wheeling Power Company</t>
  </si>
  <si>
    <t>Virginia Electric and Power Company</t>
  </si>
  <si>
    <t>North Carolina</t>
  </si>
  <si>
    <t>Dominion Energy South Carolina</t>
  </si>
  <si>
    <t>South Carolina</t>
  </si>
  <si>
    <t>More Credit Supportive</t>
  </si>
  <si>
    <t>Duke Energy Carolinas, LLC</t>
  </si>
  <si>
    <t>Duke Energy Florida, LLC</t>
  </si>
  <si>
    <t>Florida</t>
  </si>
  <si>
    <t>Duke Energy Indiana, LLC</t>
  </si>
  <si>
    <t>Duke Energy Kentucky, Inc.</t>
  </si>
  <si>
    <t>Duke Energy Ohio, Inc.</t>
  </si>
  <si>
    <t>Duke Energy Progress, LLC</t>
  </si>
  <si>
    <t>Southern California Edison Company</t>
  </si>
  <si>
    <t>California</t>
  </si>
  <si>
    <t>Entergy Arkansas, Inc.</t>
  </si>
  <si>
    <t>Entergy Louisiana, LLC</t>
  </si>
  <si>
    <t>Entergy Mississippi, Inc.</t>
  </si>
  <si>
    <t>Mississippi</t>
  </si>
  <si>
    <t>Entergy New Orleans, LLC</t>
  </si>
  <si>
    <t>Entergy Texas, Inc.</t>
  </si>
  <si>
    <t>Evergy Metro</t>
  </si>
  <si>
    <t>Kansas</t>
  </si>
  <si>
    <t>Evergy Kansas South</t>
  </si>
  <si>
    <t>Evergy Missouri West, Inc.</t>
  </si>
  <si>
    <t>Westar Energy (KPL)</t>
  </si>
  <si>
    <t>Idaho Power Co.</t>
  </si>
  <si>
    <t>Idaho</t>
  </si>
  <si>
    <t>Oregon</t>
  </si>
  <si>
    <t>Florida Power &amp; Light Company</t>
  </si>
  <si>
    <t>Arizona Public Service Company</t>
  </si>
  <si>
    <t>Arizona</t>
  </si>
  <si>
    <t>Public Service Company of New Mexico</t>
  </si>
  <si>
    <t>New Mexico</t>
  </si>
  <si>
    <t>Credit Supportive</t>
  </si>
  <si>
    <t>Texas-New Mexico Power Company</t>
  </si>
  <si>
    <t>Alabama Power Company</t>
  </si>
  <si>
    <t>Alabama</t>
  </si>
  <si>
    <t>Georgia Power Company</t>
  </si>
  <si>
    <t>Georgia</t>
  </si>
  <si>
    <t>Mississippi Power Company</t>
  </si>
  <si>
    <t>Northern States Power Company</t>
  </si>
  <si>
    <t>North Dakota</t>
  </si>
  <si>
    <t>Wisconsin</t>
  </si>
  <si>
    <t>South Dakota</t>
  </si>
  <si>
    <t>Public Service Company of Colorado</t>
  </si>
  <si>
    <t>Colorado</t>
  </si>
  <si>
    <t>Southwestern Public Service Company</t>
  </si>
  <si>
    <t>Liberty Utilities (CalPeco Electric) LLC</t>
  </si>
  <si>
    <t>Liberty Utilities (Granite State Electric) Corp.</t>
  </si>
  <si>
    <t>New Hampshire</t>
  </si>
  <si>
    <t>The Empire District Electric Company</t>
  </si>
  <si>
    <t>Tampa Electric Company</t>
  </si>
  <si>
    <t>Nova Scotia Power</t>
  </si>
  <si>
    <t>Nova Scotia</t>
  </si>
  <si>
    <t>Central Hudson Gas &amp; Electric Corp.</t>
  </si>
  <si>
    <t>New York</t>
  </si>
  <si>
    <t>Tucson Electric Power Company</t>
  </si>
  <si>
    <t>UNS Electric, Inc.</t>
  </si>
  <si>
    <t>FortisAlberta</t>
  </si>
  <si>
    <t>Alberta</t>
  </si>
  <si>
    <t>FortisBC Inc.</t>
  </si>
  <si>
    <t>British Columbia</t>
  </si>
  <si>
    <t>Newfoundland Power</t>
  </si>
  <si>
    <t>Newfoundland and Labrador</t>
  </si>
  <si>
    <t>Maritime Electric</t>
  </si>
  <si>
    <t>Prince Edward Island</t>
  </si>
  <si>
    <t>Average</t>
  </si>
  <si>
    <t>Median</t>
  </si>
  <si>
    <t>Min</t>
  </si>
  <si>
    <t>Max</t>
  </si>
  <si>
    <t>Average Most Cred. Supp.</t>
  </si>
  <si>
    <t>Median Most Cred. Supp.</t>
  </si>
  <si>
    <t>Min Most Cred. Supp.</t>
  </si>
  <si>
    <t>Max Most Cred. Supp.</t>
  </si>
  <si>
    <t>Source: S&amp;P Capital IQ, RRA rate case database, as of May 28, 2025, and internal Concentric research.</t>
  </si>
  <si>
    <t>Note that only electric operating subsidiaries were included in this analysis. U.S. states that account for zero-cost of capital items in utilities' regulated capital structure (Florida, Arkansas, Indiana, and Michigan) were excluded from this analysis.</t>
  </si>
  <si>
    <t>Florida Power &amp; Light's authorized equity ratio was included based on an analysis of the capital structure excluding zero cost of capital effects.</t>
  </si>
  <si>
    <t>Operating subsidaries were included in the Nuclear and Hydro groups based off of operating subsidiary-level owned generation data, rather than holding company-level, to better reflect operating subsidiary characteristics.</t>
  </si>
  <si>
    <t>AUTHORIZED EQUITY RATIOS ANALYSIS - HOLDING COMPANY AVERAGES</t>
  </si>
  <si>
    <t>HoldCo Name</t>
  </si>
  <si>
    <t>Average Authorized Equity Ratio of Operating Subsidiaries</t>
  </si>
  <si>
    <t>Please note a minor data issue resulted in certain data changing from what was filed in Concentric's exhibits (see exhibit 3). The mean equity ratio result was impacted by 0.01%. These data are highlighted in green below.</t>
  </si>
  <si>
    <t>Filed: 2026-04-22
EB-2025-0297
Exhibit L
A1-Staff-002
Attachment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</si>
</sst>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_(&quot;$&quot;* #,##0.0_);_(&quot;$&quot;* \(#,##0.0\);_(&quot;$&quot;* &quot;-&quot;??_);_(@_)"/>
    <numFmt numFmtId="166" formatCode="_(&quot;$&quot;* #,##0.0_);_(&quot;$&quot;* \(#,##0.0\);_(&quot;$&quot;* &quot;-&quot;?_);_(@_)"/>
    <numFmt numFmtId="167" formatCode="0.0%"/>
  </numFmts>
  <fonts count="17" x14ac:knownFonts="1">
    <font>
      <sz val="11"/>
      <color theme="1"/>
      <name val="Aptos Narrow"/>
      <family val="2"/>
      <scheme val="minor"/>
    </font>
    <font>
      <sz val="11"/>
      <color theme="1"/>
      <name val="Aptos Narrow"/>
      <family val="2"/>
      <scheme val="minor"/>
    </font>
    <font>
      <sz val="10"/>
      <color theme="1"/>
      <name val="Arial"/>
      <family val="2"/>
    </font>
    <font>
      <sz val="10"/>
      <name val="Arial"/>
      <family val="2"/>
    </font>
    <font>
      <sz val="10"/>
      <color theme="0" tint="-0.499984740745262"/>
      <name val="Arial"/>
      <family val="2"/>
    </font>
    <font>
      <sz val="10"/>
      <color rgb="FF0070C0"/>
      <name val="Arial"/>
      <family val="2"/>
    </font>
    <font>
      <b/>
      <sz val="11"/>
      <color theme="1"/>
      <name val="Aptos Narrow"/>
      <family val="2"/>
      <scheme val="minor"/>
    </font>
    <font>
      <b/>
      <sz val="10"/>
      <color theme="1"/>
      <name val="Arial"/>
      <family val="2"/>
    </font>
    <font>
      <i/>
      <sz val="10"/>
      <color theme="1"/>
      <name val="Arial"/>
      <family val="2"/>
    </font>
    <font>
      <b/>
      <sz val="10"/>
      <name val="Arial"/>
      <family val="2"/>
    </font>
    <font>
      <i/>
      <sz val="11"/>
      <name val="Aptos Narrow"/>
      <family val="2"/>
      <scheme val="minor"/>
    </font>
    <font>
      <i/>
      <sz val="10"/>
      <name val="Arial"/>
      <family val="2"/>
    </font>
    <font>
      <i/>
      <sz val="12"/>
      <name val="Aptos Narrow"/>
      <family val="2"/>
      <scheme val="minor"/>
    </font>
    <font>
      <sz val="12"/>
      <name val="Aptos Narrow"/>
      <family val="2"/>
      <scheme val="minor"/>
    </font>
    <font>
      <b/>
      <sz val="12"/>
      <name val="Aptos Narrow"/>
      <family val="2"/>
      <scheme val="minor"/>
    </font>
    <font>
      <b/>
      <u/>
      <sz val="12"/>
      <name val="Aptos Narrow"/>
      <family val="2"/>
      <scheme val="minor"/>
    </font>
    <font>
      <sz val="11"/>
      <color theme="0" tint="-0.499984740745262"/>
      <name val="Aptos Narrow"/>
      <family val="2"/>
      <scheme val="minor"/>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right/>
      <top style="medium">
        <color auto="1"/>
      </top>
      <bottom style="thin">
        <color auto="1"/>
      </bottom>
      <diagonal/>
    </border>
    <border>
      <left/>
      <right/>
      <top/>
      <bottom style="medium">
        <color indexed="64"/>
      </bottom>
      <diagonal/>
    </border>
    <border>
      <left/>
      <right/>
      <top/>
      <bottom style="thin">
        <color auto="1"/>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3" fillId="0" borderId="0"/>
    <xf numFmtId="0" fontId="1" fillId="0" borderId="0"/>
    <xf numFmtId="44" fontId="1" fillId="0" borderId="0" applyFont="0" applyFill="0" applyBorder="0" applyAlignment="0" applyProtection="0"/>
  </cellStyleXfs>
  <cellXfs count="122">
    <xf numFmtId="0" fontId="0" fillId="0" borderId="0" xfId="0"/>
    <xf numFmtId="0" fontId="3" fillId="0" borderId="0" xfId="3" applyFont="1" applyAlignment="1">
      <alignment horizontal="centerContinuous"/>
    </xf>
    <xf numFmtId="0" fontId="3" fillId="0" borderId="0" xfId="3" applyFont="1"/>
    <xf numFmtId="0" fontId="3" fillId="0" borderId="0" xfId="3" applyFont="1" applyAlignment="1">
      <alignment horizontal="center"/>
    </xf>
    <xf numFmtId="0" fontId="3" fillId="0" borderId="0" xfId="0" applyFont="1" applyAlignment="1">
      <alignment horizontal="center"/>
    </xf>
    <xf numFmtId="0" fontId="3" fillId="0" borderId="1" xfId="3" applyFont="1" applyBorder="1"/>
    <xf numFmtId="0" fontId="3" fillId="0" borderId="1" xfId="3" applyFont="1" applyBorder="1" applyAlignment="1">
      <alignment horizontal="center"/>
    </xf>
    <xf numFmtId="0" fontId="3" fillId="0" borderId="1" xfId="3" applyFont="1" applyBorder="1" applyAlignment="1">
      <alignment horizontal="center" wrapText="1"/>
    </xf>
    <xf numFmtId="0" fontId="3" fillId="0" borderId="0" xfId="3" applyFont="1" applyAlignment="1">
      <alignment horizontal="center" wrapText="1"/>
    </xf>
    <xf numFmtId="0" fontId="3" fillId="0" borderId="0" xfId="0" applyFont="1"/>
    <xf numFmtId="0" fontId="3" fillId="0" borderId="0" xfId="4" applyFont="1" applyAlignment="1">
      <alignment horizontal="center"/>
    </xf>
    <xf numFmtId="164" fontId="3" fillId="0" borderId="0" xfId="1" applyNumberFormat="1" applyFont="1" applyAlignment="1">
      <alignment horizontal="center"/>
    </xf>
    <xf numFmtId="43" fontId="3" fillId="0" borderId="0" xfId="1" applyFont="1" applyAlignment="1">
      <alignment horizontal="center"/>
    </xf>
    <xf numFmtId="9" fontId="3" fillId="0" borderId="0" xfId="2" applyFont="1" applyBorder="1" applyAlignment="1">
      <alignment horizontal="center"/>
    </xf>
    <xf numFmtId="9" fontId="3" fillId="0" borderId="0" xfId="2" applyFont="1" applyFill="1" applyBorder="1" applyAlignment="1">
      <alignment horizontal="center"/>
    </xf>
    <xf numFmtId="164" fontId="3" fillId="0" borderId="0" xfId="1" applyNumberFormat="1" applyFont="1" applyBorder="1" applyAlignment="1">
      <alignment horizontal="center"/>
    </xf>
    <xf numFmtId="43" fontId="3" fillId="0" borderId="0" xfId="1" applyFont="1" applyBorder="1" applyAlignment="1">
      <alignment horizontal="center"/>
    </xf>
    <xf numFmtId="0" fontId="3" fillId="0" borderId="2" xfId="0" applyFont="1" applyBorder="1"/>
    <xf numFmtId="0" fontId="3" fillId="0" borderId="2" xfId="4" applyFont="1" applyBorder="1" applyAlignment="1">
      <alignment horizontal="center"/>
    </xf>
    <xf numFmtId="0" fontId="3" fillId="0" borderId="2" xfId="3" applyFont="1" applyBorder="1" applyAlignment="1">
      <alignment horizontal="center"/>
    </xf>
    <xf numFmtId="164" fontId="3" fillId="0" borderId="2" xfId="1" applyNumberFormat="1" applyFont="1" applyBorder="1" applyAlignment="1">
      <alignment horizontal="center"/>
    </xf>
    <xf numFmtId="43" fontId="3" fillId="0" borderId="2" xfId="1" applyFont="1" applyBorder="1" applyAlignment="1">
      <alignment horizontal="center"/>
    </xf>
    <xf numFmtId="9" fontId="3" fillId="0" borderId="2" xfId="2" applyFont="1" applyBorder="1" applyAlignment="1">
      <alignment horizontal="center"/>
    </xf>
    <xf numFmtId="9" fontId="3" fillId="0" borderId="2" xfId="2" applyFont="1" applyFill="1" applyBorder="1" applyAlignment="1">
      <alignment horizontal="center"/>
    </xf>
    <xf numFmtId="0" fontId="3" fillId="0" borderId="3" xfId="3" applyFont="1" applyBorder="1"/>
    <xf numFmtId="0" fontId="4" fillId="0" borderId="0" xfId="3" applyFont="1" applyAlignment="1">
      <alignment horizontal="center"/>
    </xf>
    <xf numFmtId="0" fontId="3" fillId="0" borderId="0" xfId="0" applyFont="1" applyAlignment="1">
      <alignment horizontal="centerContinuous"/>
    </xf>
    <xf numFmtId="0" fontId="2" fillId="0" borderId="0" xfId="0" applyFont="1"/>
    <xf numFmtId="0" fontId="4" fillId="0" borderId="0" xfId="0" applyFont="1" applyAlignment="1">
      <alignment horizontal="center"/>
    </xf>
    <xf numFmtId="0" fontId="5" fillId="0" borderId="0" xfId="0" applyFont="1" applyAlignment="1">
      <alignment horizontal="center"/>
    </xf>
    <xf numFmtId="0" fontId="3" fillId="0" borderId="2" xfId="0" applyFont="1" applyBorder="1" applyAlignment="1">
      <alignment horizontal="center"/>
    </xf>
    <xf numFmtId="0" fontId="3" fillId="0" borderId="0" xfId="0" quotePrefix="1" applyFont="1" applyAlignment="1">
      <alignment horizontal="centerContinuous"/>
    </xf>
    <xf numFmtId="0" fontId="3" fillId="0" borderId="0" xfId="3" quotePrefix="1" applyFont="1" applyAlignment="1">
      <alignment horizontal="centerContinuous"/>
    </xf>
    <xf numFmtId="9" fontId="3" fillId="0" borderId="0" xfId="2" applyFont="1" applyAlignment="1">
      <alignment horizontal="centerContinuous"/>
    </xf>
    <xf numFmtId="9" fontId="3" fillId="0" borderId="1" xfId="2" applyFont="1" applyBorder="1" applyAlignment="1">
      <alignment horizontal="center" wrapText="1"/>
    </xf>
    <xf numFmtId="9" fontId="3" fillId="0" borderId="0" xfId="2" applyFont="1" applyAlignment="1">
      <alignment horizontal="center"/>
    </xf>
    <xf numFmtId="9" fontId="4" fillId="0" borderId="0" xfId="2" applyFont="1" applyAlignment="1">
      <alignment horizontal="center"/>
    </xf>
    <xf numFmtId="0" fontId="2" fillId="0" borderId="0" xfId="0" applyFont="1" applyAlignment="1">
      <alignment horizontal="left"/>
    </xf>
    <xf numFmtId="9" fontId="3" fillId="0" borderId="1" xfId="2" applyFont="1" applyBorder="1" applyAlignment="1">
      <alignment horizontal="left" wrapText="1"/>
    </xf>
    <xf numFmtId="0" fontId="3" fillId="0" borderId="0" xfId="3" applyFont="1" applyAlignment="1">
      <alignment horizontal="left"/>
    </xf>
    <xf numFmtId="0" fontId="2" fillId="0" borderId="2" xfId="0" applyFont="1" applyBorder="1" applyAlignment="1">
      <alignment horizontal="left"/>
    </xf>
    <xf numFmtId="0" fontId="0" fillId="0" borderId="0" xfId="0" applyAlignment="1">
      <alignment horizontal="center"/>
    </xf>
    <xf numFmtId="0" fontId="0" fillId="0" borderId="0" xfId="0" applyAlignment="1">
      <alignment horizontal="centerContinuous"/>
    </xf>
    <xf numFmtId="0" fontId="6" fillId="0" borderId="3" xfId="0" applyFont="1" applyBorder="1"/>
    <xf numFmtId="0" fontId="6" fillId="0" borderId="3" xfId="0" applyFont="1" applyBorder="1" applyAlignment="1">
      <alignment horizontal="center"/>
    </xf>
    <xf numFmtId="0" fontId="0" fillId="0" borderId="3" xfId="0" applyBorder="1"/>
    <xf numFmtId="10" fontId="0" fillId="0" borderId="0" xfId="2" applyNumberFormat="1" applyFont="1"/>
    <xf numFmtId="10" fontId="0" fillId="0" borderId="0" xfId="0" applyNumberFormat="1" applyAlignment="1">
      <alignment horizontal="center"/>
    </xf>
    <xf numFmtId="0" fontId="0" fillId="0" borderId="3" xfId="0" applyBorder="1" applyAlignment="1">
      <alignment horizontal="center"/>
    </xf>
    <xf numFmtId="0" fontId="6" fillId="0" borderId="0" xfId="0" applyFont="1"/>
    <xf numFmtId="10" fontId="6" fillId="0" borderId="0" xfId="0" applyNumberFormat="1" applyFont="1" applyAlignment="1">
      <alignment horizontal="center"/>
    </xf>
    <xf numFmtId="10" fontId="0" fillId="0" borderId="0" xfId="0" applyNumberFormat="1"/>
    <xf numFmtId="10" fontId="0" fillId="0" borderId="0" xfId="2" applyNumberFormat="1" applyFont="1" applyAlignment="1">
      <alignment horizontal="center"/>
    </xf>
    <xf numFmtId="0" fontId="3" fillId="0" borderId="0" xfId="5" applyAlignment="1">
      <alignment horizontal="center" wrapText="1"/>
    </xf>
    <xf numFmtId="0" fontId="2" fillId="0" borderId="0" xfId="0" applyFont="1" applyAlignment="1">
      <alignment horizontal="center" wrapText="1"/>
    </xf>
    <xf numFmtId="0" fontId="2" fillId="0" borderId="0" xfId="6" applyFont="1" applyAlignment="1">
      <alignment horizontal="center"/>
    </xf>
    <xf numFmtId="0" fontId="2" fillId="0" borderId="3" xfId="6" applyFont="1" applyBorder="1" applyAlignment="1">
      <alignment wrapText="1"/>
    </xf>
    <xf numFmtId="0" fontId="2" fillId="0" borderId="3" xfId="6" applyFont="1" applyBorder="1" applyAlignment="1">
      <alignment horizontal="center"/>
    </xf>
    <xf numFmtId="0" fontId="3" fillId="0" borderId="3" xfId="5" applyBorder="1" applyAlignment="1">
      <alignment horizontal="center" wrapText="1"/>
    </xf>
    <xf numFmtId="0" fontId="2" fillId="0" borderId="0" xfId="0" applyFont="1" applyAlignment="1">
      <alignment horizontal="left" wrapText="1"/>
    </xf>
    <xf numFmtId="10" fontId="2" fillId="0" borderId="0" xfId="2" applyNumberFormat="1" applyFont="1" applyAlignment="1">
      <alignment horizontal="center" wrapText="1"/>
    </xf>
    <xf numFmtId="10" fontId="2" fillId="0" borderId="0" xfId="2" applyNumberFormat="1" applyFont="1" applyFill="1" applyAlignment="1">
      <alignment horizontal="center" wrapText="1"/>
    </xf>
    <xf numFmtId="0" fontId="2" fillId="0" borderId="3" xfId="0" applyFont="1" applyBorder="1" applyAlignment="1">
      <alignment horizontal="left" wrapText="1"/>
    </xf>
    <xf numFmtId="10" fontId="2" fillId="0" borderId="3" xfId="2" applyNumberFormat="1" applyFont="1" applyFill="1" applyBorder="1" applyAlignment="1">
      <alignment horizontal="center" wrapText="1"/>
    </xf>
    <xf numFmtId="0" fontId="7" fillId="0" borderId="0" xfId="0" applyFont="1" applyAlignment="1">
      <alignment horizontal="left" wrapText="1"/>
    </xf>
    <xf numFmtId="0" fontId="6" fillId="0" borderId="0" xfId="0" applyFont="1" applyAlignment="1">
      <alignment horizontal="center"/>
    </xf>
    <xf numFmtId="10" fontId="7" fillId="0" borderId="0" xfId="2" applyNumberFormat="1" applyFont="1" applyFill="1" applyAlignment="1">
      <alignment horizontal="center" wrapText="1"/>
    </xf>
    <xf numFmtId="10" fontId="7" fillId="0" borderId="0" xfId="0" applyNumberFormat="1" applyFont="1" applyAlignment="1">
      <alignment horizontal="center" wrapText="1"/>
    </xf>
    <xf numFmtId="10" fontId="2" fillId="0" borderId="0" xfId="0" applyNumberFormat="1" applyFont="1" applyAlignment="1">
      <alignment horizontal="center" wrapText="1"/>
    </xf>
    <xf numFmtId="0" fontId="8" fillId="0" borderId="0" xfId="0" applyFont="1" applyAlignment="1">
      <alignment horizontal="left" wrapText="1"/>
    </xf>
    <xf numFmtId="0" fontId="9" fillId="0" borderId="0" xfId="5" applyFont="1" applyAlignment="1">
      <alignment horizontal="center" wrapText="1"/>
    </xf>
    <xf numFmtId="0" fontId="7" fillId="0" borderId="0" xfId="0" applyFont="1" applyAlignment="1">
      <alignment horizontal="center" wrapText="1"/>
    </xf>
    <xf numFmtId="10" fontId="0" fillId="0" borderId="3" xfId="2" applyNumberFormat="1" applyFont="1" applyBorder="1" applyAlignment="1">
      <alignment horizontal="center"/>
    </xf>
    <xf numFmtId="10" fontId="6" fillId="0" borderId="0" xfId="2" applyNumberFormat="1" applyFont="1" applyFill="1" applyBorder="1" applyAlignment="1">
      <alignment horizontal="center"/>
    </xf>
    <xf numFmtId="0" fontId="2" fillId="0" borderId="3" xfId="6" applyFont="1" applyBorder="1" applyAlignment="1">
      <alignment horizontal="center" wrapText="1"/>
    </xf>
    <xf numFmtId="0" fontId="2" fillId="0" borderId="3" xfId="0" applyFont="1" applyBorder="1" applyAlignment="1">
      <alignment horizontal="center" wrapText="1"/>
    </xf>
    <xf numFmtId="0" fontId="10" fillId="0" borderId="0" xfId="0" applyFont="1" applyAlignment="1">
      <alignment horizontal="center"/>
    </xf>
    <xf numFmtId="0" fontId="11" fillId="0" borderId="0" xfId="0" applyFont="1" applyAlignment="1">
      <alignment horizontal="center" wrapText="1"/>
    </xf>
    <xf numFmtId="9" fontId="10" fillId="0" borderId="0" xfId="0" applyNumberFormat="1" applyFont="1" applyAlignment="1">
      <alignment horizontal="center"/>
    </xf>
    <xf numFmtId="0" fontId="11" fillId="0" borderId="0" xfId="6" applyFont="1" applyAlignment="1">
      <alignment horizontal="center" wrapText="1"/>
    </xf>
    <xf numFmtId="0" fontId="10" fillId="0" borderId="0" xfId="0" applyFont="1"/>
    <xf numFmtId="9" fontId="3" fillId="0" borderId="0" xfId="0" applyNumberFormat="1" applyFont="1" applyAlignment="1">
      <alignment horizontal="center"/>
    </xf>
    <xf numFmtId="0" fontId="3" fillId="0" borderId="0" xfId="0" applyFont="1" applyAlignment="1">
      <alignment horizontal="left"/>
    </xf>
    <xf numFmtId="0" fontId="12" fillId="0" borderId="0" xfId="0" applyFont="1" applyAlignment="1">
      <alignment vertical="top"/>
    </xf>
    <xf numFmtId="0" fontId="13" fillId="0" borderId="0" xfId="0" applyFont="1" applyAlignment="1">
      <alignment vertical="top"/>
    </xf>
    <xf numFmtId="0" fontId="14" fillId="0" borderId="3" xfId="0" applyFont="1" applyBorder="1" applyAlignment="1">
      <alignment horizontal="center" vertical="top"/>
    </xf>
    <xf numFmtId="0" fontId="13" fillId="0" borderId="0" xfId="0" applyFont="1" applyAlignment="1">
      <alignment horizontal="center" vertical="top"/>
    </xf>
    <xf numFmtId="0" fontId="13" fillId="0" borderId="0" xfId="0" applyFont="1" applyAlignment="1">
      <alignment vertical="top" wrapText="1"/>
    </xf>
    <xf numFmtId="0" fontId="13" fillId="0" borderId="0" xfId="0" applyFont="1" applyAlignment="1">
      <alignment horizontal="center" vertical="top" wrapText="1"/>
    </xf>
    <xf numFmtId="165" fontId="13" fillId="0" borderId="0" xfId="7" applyNumberFormat="1" applyFont="1" applyFill="1" applyAlignment="1">
      <alignment vertical="top"/>
    </xf>
    <xf numFmtId="10" fontId="13" fillId="0" borderId="0" xfId="0" applyNumberFormat="1" applyFont="1" applyAlignment="1">
      <alignment vertical="top"/>
    </xf>
    <xf numFmtId="9" fontId="13" fillId="0" borderId="0" xfId="0" applyNumberFormat="1" applyFont="1" applyAlignment="1">
      <alignment vertical="top"/>
    </xf>
    <xf numFmtId="0" fontId="15" fillId="0" borderId="0" xfId="0" applyFont="1" applyAlignment="1">
      <alignment vertical="top"/>
    </xf>
    <xf numFmtId="165" fontId="13" fillId="0" borderId="0" xfId="0" applyNumberFormat="1" applyFont="1" applyAlignment="1">
      <alignment vertical="top"/>
    </xf>
    <xf numFmtId="166" fontId="13" fillId="0" borderId="0" xfId="0" applyNumberFormat="1" applyFont="1" applyAlignment="1">
      <alignment vertical="top"/>
    </xf>
    <xf numFmtId="0" fontId="13" fillId="0" borderId="0" xfId="0" applyFont="1" applyAlignment="1">
      <alignment horizontal="left" vertical="top"/>
    </xf>
    <xf numFmtId="0" fontId="13" fillId="0" borderId="0" xfId="0" applyFont="1" applyAlignment="1">
      <alignment horizontal="centerContinuous" vertical="top"/>
    </xf>
    <xf numFmtId="0" fontId="2" fillId="0" borderId="0" xfId="0" applyFont="1" applyAlignment="1">
      <alignment horizontal="center"/>
    </xf>
    <xf numFmtId="0" fontId="2" fillId="0" borderId="2" xfId="0" applyFont="1" applyBorder="1" applyAlignment="1">
      <alignment horizontal="center"/>
    </xf>
    <xf numFmtId="167" fontId="13" fillId="0" borderId="0" xfId="2" applyNumberFormat="1" applyFont="1" applyFill="1" applyAlignment="1">
      <alignment vertical="top"/>
    </xf>
    <xf numFmtId="0" fontId="6" fillId="0" borderId="3" xfId="0" applyFont="1" applyBorder="1" applyAlignment="1">
      <alignment horizontal="center" wrapText="1"/>
    </xf>
    <xf numFmtId="0" fontId="10" fillId="0" borderId="3" xfId="0" applyFont="1" applyBorder="1" applyAlignment="1">
      <alignment horizontal="center"/>
    </xf>
    <xf numFmtId="0" fontId="11" fillId="0" borderId="3" xfId="6" applyFont="1" applyBorder="1" applyAlignment="1">
      <alignment horizontal="center" wrapText="1"/>
    </xf>
    <xf numFmtId="167" fontId="13" fillId="0" borderId="0" xfId="0" applyNumberFormat="1" applyFont="1" applyAlignment="1">
      <alignment vertical="top"/>
    </xf>
    <xf numFmtId="0" fontId="0" fillId="2" borderId="0" xfId="0" applyFill="1"/>
    <xf numFmtId="0" fontId="0" fillId="2" borderId="0" xfId="0" applyFill="1" applyAlignment="1">
      <alignment horizontal="center"/>
    </xf>
    <xf numFmtId="0" fontId="16" fillId="2" borderId="0" xfId="0" applyFont="1" applyFill="1" applyAlignment="1">
      <alignment horizontal="center"/>
    </xf>
    <xf numFmtId="10" fontId="0" fillId="2" borderId="3" xfId="2" applyNumberFormat="1" applyFont="1" applyFill="1" applyBorder="1"/>
    <xf numFmtId="10" fontId="0" fillId="2" borderId="0" xfId="0" applyNumberFormat="1" applyFill="1"/>
    <xf numFmtId="10" fontId="0" fillId="2" borderId="3" xfId="0" applyNumberFormat="1" applyFill="1" applyBorder="1" applyAlignment="1">
      <alignment horizontal="center"/>
    </xf>
    <xf numFmtId="10" fontId="6" fillId="2" borderId="0" xfId="0" applyNumberFormat="1" applyFont="1" applyFill="1" applyAlignment="1">
      <alignment horizontal="center"/>
    </xf>
    <xf numFmtId="0" fontId="13" fillId="0" borderId="0" xfId="0" applyFont="1" applyAlignment="1">
      <alignment horizontal="left" vertical="top" wrapText="1"/>
    </xf>
    <xf numFmtId="0" fontId="14" fillId="0" borderId="0" xfId="0" quotePrefix="1" applyFont="1" applyAlignment="1">
      <alignment horizontal="center" vertical="top"/>
    </xf>
    <xf numFmtId="0" fontId="3" fillId="0" borderId="0" xfId="3" applyFont="1" applyAlignment="1">
      <alignment horizontal="left" vertical="top" wrapText="1"/>
    </xf>
    <xf numFmtId="0" fontId="0" fillId="0" borderId="0" xfId="0" applyAlignment="1">
      <alignment horizontal="center"/>
    </xf>
    <xf numFmtId="0" fontId="2" fillId="0" borderId="0" xfId="0" applyFont="1" applyAlignment="1">
      <alignment horizontal="center" wrapText="1"/>
    </xf>
    <xf numFmtId="0" fontId="2" fillId="0" borderId="0" xfId="0" applyFont="1" applyAlignment="1">
      <alignment horizontal="left" wrapText="1"/>
    </xf>
    <xf numFmtId="0" fontId="2" fillId="0" borderId="0" xfId="0" applyFont="1" applyAlignment="1">
      <alignment horizontal="left" vertical="top" wrapText="1"/>
    </xf>
    <xf numFmtId="0" fontId="10" fillId="0" borderId="0" xfId="0" applyFont="1" applyAlignment="1"/>
    <xf numFmtId="0" fontId="0" fillId="0" borderId="0" xfId="0" applyAlignment="1"/>
    <xf numFmtId="0" fontId="13" fillId="0" borderId="0" xfId="0" applyFont="1" applyAlignment="1">
      <alignment horizontal="right" vertical="top" wrapText="1"/>
    </xf>
    <xf numFmtId="0" fontId="0" fillId="0" borderId="0" xfId="0" applyAlignment="1">
      <alignment horizontal="right" vertical="top"/>
    </xf>
  </cellXfs>
  <cellStyles count="8">
    <cellStyle name="Comma" xfId="1" builtinId="3"/>
    <cellStyle name="Currency" xfId="7" builtinId="4"/>
    <cellStyle name="Normal" xfId="0" builtinId="0"/>
    <cellStyle name="Normal 12 50 2" xfId="6" xr:uid="{242047C6-C12D-47D7-B54C-2DC06A4B44E5}"/>
    <cellStyle name="Normal 195" xfId="3" xr:uid="{E1A4EF7F-7E1D-4B42-9823-B53A963FAB8A}"/>
    <cellStyle name="Normal 5 3 7" xfId="5" xr:uid="{AAA60A6E-E252-469B-81C7-5CFF10A7D91D}"/>
    <cellStyle name="Normal 6" xfId="4" xr:uid="{CB68E348-BD10-45C1-AAEC-0F2D0FFAD5B4}"/>
    <cellStyle name="Percent"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23844-2B8A-4BEF-9D51-4DC63D2ECD64}">
  <dimension ref="A1:I72"/>
  <sheetViews>
    <sheetView tabSelected="1" topLeftCell="D1" zoomScale="85" zoomScaleNormal="85" workbookViewId="0">
      <selection activeCell="K5" sqref="K5"/>
    </sheetView>
  </sheetViews>
  <sheetFormatPr defaultColWidth="9.08984375" defaultRowHeight="16" x14ac:dyDescent="0.35"/>
  <cols>
    <col min="1" max="1" width="15.6328125" style="84" customWidth="1"/>
    <col min="2" max="2" width="55.36328125" style="84" bestFit="1" customWidth="1"/>
    <col min="3" max="3" width="50.7265625" style="84" customWidth="1"/>
    <col min="4" max="4" width="11.36328125" style="84" bestFit="1" customWidth="1"/>
    <col min="5" max="9" width="12.36328125" style="84" bestFit="1" customWidth="1"/>
    <col min="10" max="16384" width="9.08984375" style="84"/>
  </cols>
  <sheetData>
    <row r="1" spans="1:9" x14ac:dyDescent="0.35">
      <c r="A1" s="83"/>
      <c r="H1" s="120" t="s">
        <v>364</v>
      </c>
      <c r="I1" s="121"/>
    </row>
    <row r="2" spans="1:9" x14ac:dyDescent="0.35">
      <c r="A2" s="96" t="s">
        <v>0</v>
      </c>
      <c r="B2" s="96"/>
      <c r="C2" s="96"/>
      <c r="D2" s="96"/>
      <c r="E2" s="96"/>
      <c r="F2" s="96"/>
      <c r="G2" s="96"/>
      <c r="H2" s="121"/>
      <c r="I2" s="121"/>
    </row>
    <row r="3" spans="1:9" ht="49.5" customHeight="1" x14ac:dyDescent="0.35">
      <c r="H3" s="121"/>
      <c r="I3" s="121"/>
    </row>
    <row r="4" spans="1:9" x14ac:dyDescent="0.35">
      <c r="A4" s="112" t="s">
        <v>1</v>
      </c>
      <c r="B4" s="112"/>
      <c r="C4" s="112"/>
      <c r="D4" s="112"/>
      <c r="E4" s="112"/>
      <c r="F4" s="112"/>
      <c r="G4" s="112"/>
      <c r="H4" s="112"/>
      <c r="I4" s="112"/>
    </row>
    <row r="5" spans="1:9" x14ac:dyDescent="0.35">
      <c r="A5" s="85" t="s">
        <v>2</v>
      </c>
      <c r="B5" s="85" t="s">
        <v>3</v>
      </c>
      <c r="C5" s="85" t="s">
        <v>4</v>
      </c>
      <c r="D5" s="85" t="s">
        <v>5</v>
      </c>
      <c r="E5" s="85">
        <v>2027</v>
      </c>
      <c r="F5" s="85">
        <v>2028</v>
      </c>
      <c r="G5" s="85">
        <v>2029</v>
      </c>
      <c r="H5" s="85">
        <v>2030</v>
      </c>
      <c r="I5" s="85">
        <v>2031</v>
      </c>
    </row>
    <row r="6" spans="1:9" x14ac:dyDescent="0.35">
      <c r="A6" s="86" t="s">
        <v>6</v>
      </c>
      <c r="B6" s="87" t="s">
        <v>7</v>
      </c>
      <c r="C6" s="88" t="s">
        <v>8</v>
      </c>
      <c r="D6" s="86" t="s">
        <v>9</v>
      </c>
      <c r="E6" s="89">
        <v>24929.8</v>
      </c>
      <c r="F6" s="89">
        <v>26015.4</v>
      </c>
      <c r="G6" s="89">
        <v>27079</v>
      </c>
      <c r="H6" s="89">
        <v>28338.6</v>
      </c>
      <c r="I6" s="89">
        <v>35595.300000000003</v>
      </c>
    </row>
    <row r="7" spans="1:9" x14ac:dyDescent="0.35">
      <c r="A7" s="86" t="s">
        <v>10</v>
      </c>
      <c r="B7" s="87" t="s">
        <v>11</v>
      </c>
      <c r="C7" s="88" t="s">
        <v>8</v>
      </c>
      <c r="D7" s="86" t="s">
        <v>12</v>
      </c>
      <c r="E7" s="90">
        <v>9.11E-2</v>
      </c>
      <c r="F7" s="90">
        <v>9.11E-2</v>
      </c>
      <c r="G7" s="90">
        <v>9.11E-2</v>
      </c>
      <c r="H7" s="90">
        <v>9.11E-2</v>
      </c>
      <c r="I7" s="90">
        <v>9.11E-2</v>
      </c>
    </row>
    <row r="8" spans="1:9" x14ac:dyDescent="0.35">
      <c r="A8" s="86" t="s">
        <v>13</v>
      </c>
      <c r="B8" s="87" t="s">
        <v>14</v>
      </c>
      <c r="C8" s="88" t="s">
        <v>15</v>
      </c>
      <c r="D8" s="86" t="s">
        <v>12</v>
      </c>
      <c r="E8" s="91">
        <v>0.45</v>
      </c>
      <c r="F8" s="91">
        <f>E8</f>
        <v>0.45</v>
      </c>
      <c r="G8" s="91">
        <f t="shared" ref="G8:I8" si="0">F8</f>
        <v>0.45</v>
      </c>
      <c r="H8" s="91">
        <f t="shared" si="0"/>
        <v>0.45</v>
      </c>
      <c r="I8" s="91">
        <f t="shared" si="0"/>
        <v>0.45</v>
      </c>
    </row>
    <row r="9" spans="1:9" x14ac:dyDescent="0.35">
      <c r="A9" s="86" t="s">
        <v>16</v>
      </c>
      <c r="B9" s="87" t="s">
        <v>17</v>
      </c>
      <c r="C9" s="88" t="s">
        <v>8</v>
      </c>
      <c r="D9" s="86" t="s">
        <v>12</v>
      </c>
      <c r="E9" s="90">
        <v>4.5999999999999999E-2</v>
      </c>
      <c r="F9" s="90">
        <v>4.7800000000000002E-2</v>
      </c>
      <c r="G9" s="90">
        <v>4.9000000000000002E-2</v>
      </c>
      <c r="H9" s="90">
        <v>4.9599999999999998E-2</v>
      </c>
      <c r="I9" s="90">
        <v>4.9799999999999997E-2</v>
      </c>
    </row>
    <row r="10" spans="1:9" x14ac:dyDescent="0.35">
      <c r="A10" s="86" t="s">
        <v>18</v>
      </c>
      <c r="B10" s="87" t="s">
        <v>19</v>
      </c>
      <c r="C10" s="86" t="str">
        <f>A6&amp;"*(1-"&amp;A8&amp;")"</f>
        <v>[a]*(1-[c])</v>
      </c>
      <c r="D10" s="86" t="s">
        <v>9</v>
      </c>
      <c r="E10" s="89">
        <f>E6*(1-E8)</f>
        <v>13711.390000000001</v>
      </c>
      <c r="F10" s="89">
        <f>F6*(1-F8)</f>
        <v>14308.470000000001</v>
      </c>
      <c r="G10" s="89">
        <f>G6*(1-G8)</f>
        <v>14893.45</v>
      </c>
      <c r="H10" s="89">
        <f>H6*(1-H8)</f>
        <v>15586.23</v>
      </c>
      <c r="I10" s="89">
        <f>I6*(1-I8)</f>
        <v>19577.415000000005</v>
      </c>
    </row>
    <row r="11" spans="1:9" x14ac:dyDescent="0.35">
      <c r="A11" s="86" t="s">
        <v>20</v>
      </c>
      <c r="B11" s="87" t="s">
        <v>21</v>
      </c>
      <c r="C11" s="86" t="s">
        <v>22</v>
      </c>
      <c r="D11" s="86" t="s">
        <v>12</v>
      </c>
      <c r="E11" s="91">
        <v>0.25</v>
      </c>
      <c r="F11" s="91">
        <v>0.25</v>
      </c>
      <c r="G11" s="91">
        <v>0.25</v>
      </c>
      <c r="H11" s="91">
        <v>0.25</v>
      </c>
      <c r="I11" s="91">
        <v>0.25</v>
      </c>
    </row>
    <row r="12" spans="1:9" x14ac:dyDescent="0.35">
      <c r="A12" s="86" t="s">
        <v>23</v>
      </c>
      <c r="B12" s="87" t="s">
        <v>24</v>
      </c>
      <c r="C12" s="88" t="str">
        <f>A6&amp;"*"&amp;A7&amp;"*"&amp;A8</f>
        <v>[a]*[b]*[c]</v>
      </c>
      <c r="D12" s="86" t="s">
        <v>9</v>
      </c>
      <c r="E12" s="89">
        <f>E6*E7*E8</f>
        <v>1021.997151</v>
      </c>
      <c r="F12" s="89">
        <f>F6*F7*F8</f>
        <v>1066.5013230000002</v>
      </c>
      <c r="G12" s="89">
        <f>G6*G7*G8</f>
        <v>1110.103605</v>
      </c>
      <c r="H12" s="89">
        <f>H6*H7*H8</f>
        <v>1161.7409070000001</v>
      </c>
      <c r="I12" s="89">
        <f>I6*I7*I8</f>
        <v>1459.2293235000002</v>
      </c>
    </row>
    <row r="13" spans="1:9" x14ac:dyDescent="0.35">
      <c r="A13" s="86" t="s">
        <v>25</v>
      </c>
      <c r="B13" s="87" t="s">
        <v>26</v>
      </c>
      <c r="C13" s="88" t="str">
        <f>A6&amp;"*(1-"&amp;A7&amp;")*"&amp;A9</f>
        <v>[a]*(1-[b])*[d]</v>
      </c>
      <c r="D13" s="86" t="s">
        <v>9</v>
      </c>
      <c r="E13" s="89">
        <f>E6*(1-E8)*E9</f>
        <v>630.72394000000008</v>
      </c>
      <c r="F13" s="89">
        <f>F6*(1-F8)*F9</f>
        <v>683.94486600000005</v>
      </c>
      <c r="G13" s="89">
        <f>G6*(1-G8)*G9</f>
        <v>729.7790500000001</v>
      </c>
      <c r="H13" s="89">
        <f>H6*(1-H8)*H9</f>
        <v>773.07700799999998</v>
      </c>
      <c r="I13" s="89">
        <f>I6*(1-I8)*I9</f>
        <v>974.95526700000016</v>
      </c>
    </row>
    <row r="14" spans="1:9" x14ac:dyDescent="0.35">
      <c r="A14" s="86" t="s">
        <v>27</v>
      </c>
      <c r="B14" s="87" t="s">
        <v>28</v>
      </c>
      <c r="C14" s="88" t="s">
        <v>29</v>
      </c>
      <c r="D14" s="86" t="s">
        <v>9</v>
      </c>
      <c r="E14" s="89">
        <v>13.859527643192337</v>
      </c>
      <c r="F14" s="89">
        <v>52.996475887894583</v>
      </c>
      <c r="G14" s="89">
        <v>72.271443094031412</v>
      </c>
      <c r="H14" s="89">
        <v>88.12562115453153</v>
      </c>
      <c r="I14" s="89">
        <v>97.895898663212677</v>
      </c>
    </row>
    <row r="15" spans="1:9" x14ac:dyDescent="0.35">
      <c r="A15" s="86" t="s">
        <v>30</v>
      </c>
      <c r="B15" s="87" t="s">
        <v>31</v>
      </c>
      <c r="C15" s="88" t="s">
        <v>32</v>
      </c>
      <c r="D15" s="86" t="s">
        <v>9</v>
      </c>
      <c r="E15" s="89">
        <v>975.2</v>
      </c>
      <c r="F15" s="89">
        <v>1033.4000000000001</v>
      </c>
      <c r="G15" s="89">
        <v>1076.5</v>
      </c>
      <c r="H15" s="89">
        <v>1111.2</v>
      </c>
      <c r="I15" s="89">
        <v>1332.1</v>
      </c>
    </row>
    <row r="16" spans="1:9" x14ac:dyDescent="0.35">
      <c r="A16" s="86" t="s">
        <v>33</v>
      </c>
      <c r="B16" s="87" t="s">
        <v>34</v>
      </c>
      <c r="C16" s="88" t="s">
        <v>35</v>
      </c>
      <c r="D16" s="86" t="s">
        <v>9</v>
      </c>
      <c r="E16" s="89">
        <v>4.7</v>
      </c>
      <c r="F16" s="89">
        <v>1.1000000000000001</v>
      </c>
      <c r="G16" s="89">
        <v>0</v>
      </c>
      <c r="H16" s="89">
        <v>0</v>
      </c>
      <c r="I16" s="89">
        <v>0</v>
      </c>
    </row>
    <row r="17" spans="1:9" x14ac:dyDescent="0.35">
      <c r="A17" s="86" t="s">
        <v>36</v>
      </c>
      <c r="B17" s="87" t="s">
        <v>37</v>
      </c>
      <c r="C17" s="88" t="str">
        <f>A12&amp;"+"&amp;A13&amp;"+"&amp;A14&amp;"+"&amp;A15&amp;"-"&amp;A16</f>
        <v>[g]+[h]+[i]+[j]-[k]</v>
      </c>
      <c r="D17" s="86" t="s">
        <v>9</v>
      </c>
      <c r="E17" s="89">
        <f>E12+E13+E14+E15-E16</f>
        <v>2637.0806186431928</v>
      </c>
      <c r="F17" s="89">
        <f t="shared" ref="F17:I17" si="1">F12+F13+F14+F15-F16</f>
        <v>2835.742664887895</v>
      </c>
      <c r="G17" s="89">
        <f t="shared" si="1"/>
        <v>2988.6540980940317</v>
      </c>
      <c r="H17" s="89">
        <f t="shared" si="1"/>
        <v>3134.1435361545318</v>
      </c>
      <c r="I17" s="89">
        <f t="shared" si="1"/>
        <v>3864.1804891632132</v>
      </c>
    </row>
    <row r="18" spans="1:9" x14ac:dyDescent="0.35">
      <c r="A18" s="86" t="s">
        <v>38</v>
      </c>
      <c r="B18" s="87" t="s">
        <v>39</v>
      </c>
      <c r="C18" s="88" t="str">
        <f>A17&amp;"-"&amp;A13&amp;"-"&amp;A14</f>
        <v>[l]-[h]-[i]</v>
      </c>
      <c r="D18" s="86" t="s">
        <v>9</v>
      </c>
      <c r="E18" s="89">
        <f>E17-E13-E14</f>
        <v>1992.4971510000005</v>
      </c>
      <c r="F18" s="89">
        <f t="shared" ref="F18:I18" si="2">F17-F13-F14</f>
        <v>2098.8013230000001</v>
      </c>
      <c r="G18" s="89">
        <f t="shared" si="2"/>
        <v>2186.6036050000002</v>
      </c>
      <c r="H18" s="89">
        <f t="shared" si="2"/>
        <v>2272.9409070000002</v>
      </c>
      <c r="I18" s="89">
        <f t="shared" si="2"/>
        <v>2791.3293235000001</v>
      </c>
    </row>
    <row r="19" spans="1:9" x14ac:dyDescent="0.35">
      <c r="A19" s="86" t="s">
        <v>40</v>
      </c>
      <c r="B19" s="87" t="s">
        <v>41</v>
      </c>
      <c r="C19" s="88" t="s">
        <v>29</v>
      </c>
      <c r="D19" s="86" t="s">
        <v>9</v>
      </c>
      <c r="E19" s="89">
        <v>270.8</v>
      </c>
      <c r="F19" s="89">
        <v>270.39999999999998</v>
      </c>
      <c r="G19" s="89">
        <v>278.8</v>
      </c>
      <c r="H19" s="89">
        <v>284.60000000000002</v>
      </c>
      <c r="I19" s="89">
        <v>296.7</v>
      </c>
    </row>
    <row r="20" spans="1:9" x14ac:dyDescent="0.35">
      <c r="A20" s="86" t="s">
        <v>42</v>
      </c>
      <c r="B20" s="87" t="s">
        <v>43</v>
      </c>
      <c r="C20" s="88" t="s">
        <v>29</v>
      </c>
      <c r="D20" s="86" t="s">
        <v>9</v>
      </c>
      <c r="E20" s="89">
        <v>261</v>
      </c>
      <c r="F20" s="89">
        <v>269.8</v>
      </c>
      <c r="G20" s="89">
        <v>285.39999999999998</v>
      </c>
      <c r="H20" s="89">
        <v>294.60000000000002</v>
      </c>
      <c r="I20" s="89">
        <v>305.3</v>
      </c>
    </row>
    <row r="21" spans="1:9" x14ac:dyDescent="0.35">
      <c r="A21" s="86" t="s">
        <v>44</v>
      </c>
      <c r="B21" s="87" t="s">
        <v>45</v>
      </c>
      <c r="C21" s="88" t="s">
        <v>29</v>
      </c>
      <c r="D21" s="86" t="s">
        <v>9</v>
      </c>
      <c r="E21" s="89">
        <v>30.4</v>
      </c>
      <c r="F21" s="89">
        <v>47.2</v>
      </c>
      <c r="G21" s="89">
        <v>58.9</v>
      </c>
      <c r="H21" s="89">
        <v>72.900000000000006</v>
      </c>
      <c r="I21" s="89">
        <v>79.099999999999994</v>
      </c>
    </row>
    <row r="22" spans="1:9" x14ac:dyDescent="0.35">
      <c r="A22" s="86" t="s">
        <v>46</v>
      </c>
      <c r="B22" s="87" t="s">
        <v>47</v>
      </c>
      <c r="C22" s="88" t="s">
        <v>29</v>
      </c>
      <c r="D22" s="86" t="s">
        <v>9</v>
      </c>
      <c r="E22" s="89">
        <v>498.2</v>
      </c>
      <c r="F22" s="89">
        <v>420.1</v>
      </c>
      <c r="G22" s="89">
        <v>347.2</v>
      </c>
      <c r="H22" s="89">
        <v>326.7</v>
      </c>
      <c r="I22" s="89">
        <v>342</v>
      </c>
    </row>
    <row r="23" spans="1:9" x14ac:dyDescent="0.35">
      <c r="A23" s="86" t="s">
        <v>48</v>
      </c>
      <c r="B23" s="87" t="s">
        <v>49</v>
      </c>
      <c r="C23" s="88" t="s">
        <v>29</v>
      </c>
      <c r="D23" s="86" t="s">
        <v>9</v>
      </c>
      <c r="E23" s="89">
        <v>637.4</v>
      </c>
      <c r="F23" s="89">
        <v>539.1</v>
      </c>
      <c r="G23" s="89">
        <v>437.9</v>
      </c>
      <c r="H23" s="89">
        <v>443.3</v>
      </c>
      <c r="I23" s="89">
        <v>472.1</v>
      </c>
    </row>
    <row r="24" spans="1:9" x14ac:dyDescent="0.35">
      <c r="A24" s="86" t="s">
        <v>50</v>
      </c>
      <c r="B24" s="87" t="s">
        <v>51</v>
      </c>
      <c r="C24" s="88" t="s">
        <v>29</v>
      </c>
      <c r="D24" s="86" t="s">
        <v>9</v>
      </c>
      <c r="E24" s="89">
        <v>0</v>
      </c>
      <c r="F24" s="89">
        <v>0</v>
      </c>
      <c r="G24" s="89">
        <v>0</v>
      </c>
      <c r="H24" s="89">
        <v>0</v>
      </c>
      <c r="I24" s="89">
        <v>0</v>
      </c>
    </row>
    <row r="25" spans="1:9" x14ac:dyDescent="0.35">
      <c r="A25" s="86" t="s">
        <v>52</v>
      </c>
      <c r="B25" s="87" t="s">
        <v>53</v>
      </c>
      <c r="C25" s="88" t="str">
        <f>A17&amp;"-"&amp;A13&amp;"-"&amp;A14&amp;"+"&amp;A19&amp;"-"&amp;A20&amp;"+"&amp;A21&amp;"+"&amp;A22&amp;"-"&amp;A23&amp;"-"&amp;A24</f>
        <v>[l]-[h]-[i]+[n]-[o]+[p]+[q]-[r]-[s]</v>
      </c>
      <c r="D25" s="86" t="s">
        <v>9</v>
      </c>
      <c r="E25" s="89">
        <f>E17-E13-E14+E19-E20+E21+E22-E23-E24</f>
        <v>1893.4971510000005</v>
      </c>
      <c r="F25" s="89">
        <f t="shared" ref="F25:I25" si="3">F17-F13-F14+F19-F20+F21+F22-F23-F24</f>
        <v>2027.6013229999999</v>
      </c>
      <c r="G25" s="89">
        <f t="shared" si="3"/>
        <v>2148.2036050000002</v>
      </c>
      <c r="H25" s="89">
        <f t="shared" si="3"/>
        <v>2219.2409069999999</v>
      </c>
      <c r="I25" s="89">
        <f t="shared" si="3"/>
        <v>2731.7293234999997</v>
      </c>
    </row>
    <row r="26" spans="1:9" x14ac:dyDescent="0.35">
      <c r="A26" s="86" t="s">
        <v>54</v>
      </c>
      <c r="B26" s="87" t="s">
        <v>55</v>
      </c>
      <c r="C26" s="88" t="s">
        <v>56</v>
      </c>
      <c r="D26" s="86" t="s">
        <v>9</v>
      </c>
      <c r="E26" s="89">
        <v>3235.3990000000003</v>
      </c>
      <c r="F26" s="89">
        <v>3361.88</v>
      </c>
      <c r="G26" s="89">
        <v>3485.2559999999999</v>
      </c>
      <c r="H26" s="89">
        <v>3618.6659999999997</v>
      </c>
      <c r="I26" s="89">
        <v>3757.3779999999997</v>
      </c>
    </row>
    <row r="27" spans="1:9" x14ac:dyDescent="0.35">
      <c r="A27" s="86" t="s">
        <v>57</v>
      </c>
      <c r="B27" s="87" t="s">
        <v>58</v>
      </c>
      <c r="C27" s="88" t="s">
        <v>56</v>
      </c>
      <c r="D27" s="86" t="s">
        <v>9</v>
      </c>
      <c r="E27" s="89">
        <v>386.88200000000001</v>
      </c>
      <c r="F27" s="89">
        <v>348.86400000000003</v>
      </c>
      <c r="G27" s="89">
        <v>299.52</v>
      </c>
      <c r="H27" s="89">
        <v>251.07900000000001</v>
      </c>
      <c r="I27" s="89">
        <v>204.55699999999996</v>
      </c>
    </row>
    <row r="28" spans="1:9" x14ac:dyDescent="0.35">
      <c r="A28" s="86" t="s">
        <v>59</v>
      </c>
      <c r="B28" s="87" t="s">
        <v>60</v>
      </c>
      <c r="C28" s="88" t="s">
        <v>61</v>
      </c>
      <c r="D28" s="86" t="s">
        <v>12</v>
      </c>
      <c r="E28" s="103">
        <v>0.86799999999999999</v>
      </c>
      <c r="F28" s="103">
        <v>0.86399999999999999</v>
      </c>
      <c r="G28" s="103">
        <v>0.86899999999999999</v>
      </c>
      <c r="H28" s="103">
        <v>0.872</v>
      </c>
      <c r="I28" s="103">
        <v>0.872</v>
      </c>
    </row>
    <row r="30" spans="1:9" x14ac:dyDescent="0.35">
      <c r="B30" s="92" t="s">
        <v>62</v>
      </c>
    </row>
    <row r="31" spans="1:9" x14ac:dyDescent="0.35">
      <c r="B31" s="84" t="s">
        <v>63</v>
      </c>
      <c r="C31" s="86" t="str">
        <f>A17&amp;" / {"&amp;A10&amp;" + ("&amp;A26&amp;" +"&amp;A27&amp;") x (1 -"&amp;A11&amp;") x"&amp;A28&amp;"}"</f>
        <v>[l] / {[e] + ([u] +[v]) x (1 -[f]) x[w]}</v>
      </c>
      <c r="E31" s="99">
        <f>E18/(E10+(E26+E27)*(1-E11)*E28)</f>
        <v>0.12399251871670418</v>
      </c>
      <c r="F31" s="99">
        <f>F18/(F10+(F26+F27)*(1-F11)*F28)</f>
        <v>0.12557872855955654</v>
      </c>
      <c r="G31" s="99">
        <f>G18/(G10+(G26+G27)*(1-G11)*G28)</f>
        <v>0.12595513913976825</v>
      </c>
      <c r="H31" s="99">
        <f>H18/(H10+(H26+H27)*(1-H11)*H28)</f>
        <v>0.12545871189600291</v>
      </c>
      <c r="I31" s="99">
        <f>I18/(I10+(I26+I27)*(1-I11)*I28)</f>
        <v>0.12591410079708029</v>
      </c>
    </row>
    <row r="32" spans="1:9" x14ac:dyDescent="0.35">
      <c r="B32" s="84" t="s">
        <v>64</v>
      </c>
      <c r="C32" s="86" t="str">
        <f>A25&amp;" / ("&amp;A10&amp;" +"&amp;A26&amp;" x"&amp;A28&amp;")"</f>
        <v>[t] / ([e] +[u] x[w])</v>
      </c>
      <c r="E32" s="99">
        <f>E25/(E10+E27*E28)</f>
        <v>0.13479530931231662</v>
      </c>
      <c r="F32" s="99">
        <f>F25/(F10+F27*F28)</f>
        <v>0.13878280614907709</v>
      </c>
      <c r="G32" s="99">
        <f>G25/(G10+G27*G28)</f>
        <v>0.14176068840669706</v>
      </c>
      <c r="H32" s="99">
        <f>H25/(H10+H27*H28)</f>
        <v>0.14041233231365743</v>
      </c>
      <c r="I32" s="99">
        <f>I25/(I10+I27*I28)</f>
        <v>0.13827488056434312</v>
      </c>
    </row>
    <row r="33" spans="1:9" x14ac:dyDescent="0.35">
      <c r="E33" s="93"/>
      <c r="F33" s="93"/>
      <c r="G33" s="94"/>
    </row>
    <row r="34" spans="1:9" x14ac:dyDescent="0.35">
      <c r="A34" s="96" t="s">
        <v>0</v>
      </c>
      <c r="B34" s="96"/>
      <c r="C34" s="96"/>
      <c r="D34" s="96"/>
      <c r="E34" s="96"/>
      <c r="F34" s="96"/>
      <c r="G34" s="96"/>
      <c r="H34" s="96"/>
      <c r="I34" s="96"/>
    </row>
    <row r="35" spans="1:9" x14ac:dyDescent="0.35">
      <c r="E35" s="93"/>
      <c r="F35" s="93"/>
      <c r="G35" s="94"/>
    </row>
    <row r="36" spans="1:9" x14ac:dyDescent="0.35">
      <c r="A36" s="112" t="s">
        <v>65</v>
      </c>
      <c r="B36" s="112"/>
      <c r="C36" s="112"/>
      <c r="D36" s="112"/>
      <c r="E36" s="112"/>
      <c r="F36" s="112"/>
      <c r="G36" s="112"/>
      <c r="H36" s="112"/>
      <c r="I36" s="112"/>
    </row>
    <row r="37" spans="1:9" x14ac:dyDescent="0.35">
      <c r="A37" s="85" t="s">
        <v>2</v>
      </c>
      <c r="B37" s="85" t="s">
        <v>3</v>
      </c>
      <c r="C37" s="85" t="s">
        <v>4</v>
      </c>
      <c r="D37" s="85" t="s">
        <v>5</v>
      </c>
      <c r="E37" s="85">
        <v>2027</v>
      </c>
      <c r="F37" s="85">
        <v>2028</v>
      </c>
      <c r="G37" s="85">
        <v>2029</v>
      </c>
      <c r="H37" s="85">
        <v>2030</v>
      </c>
      <c r="I37" s="85">
        <v>2031</v>
      </c>
    </row>
    <row r="38" spans="1:9" x14ac:dyDescent="0.35">
      <c r="A38" s="86" t="s">
        <v>6</v>
      </c>
      <c r="B38" s="87" t="s">
        <v>7</v>
      </c>
      <c r="C38" s="88" t="s">
        <v>8</v>
      </c>
      <c r="D38" s="86" t="s">
        <v>9</v>
      </c>
      <c r="E38" s="89">
        <v>24929.8</v>
      </c>
      <c r="F38" s="89">
        <v>26015.4</v>
      </c>
      <c r="G38" s="89">
        <v>27079</v>
      </c>
      <c r="H38" s="89">
        <v>28338.6</v>
      </c>
      <c r="I38" s="89">
        <v>35595.300000000003</v>
      </c>
    </row>
    <row r="39" spans="1:9" x14ac:dyDescent="0.35">
      <c r="A39" s="86" t="s">
        <v>10</v>
      </c>
      <c r="B39" s="87" t="s">
        <v>11</v>
      </c>
      <c r="C39" s="88" t="s">
        <v>8</v>
      </c>
      <c r="D39" s="86" t="s">
        <v>12</v>
      </c>
      <c r="E39" s="90">
        <v>9.11E-2</v>
      </c>
      <c r="F39" s="90">
        <v>9.11E-2</v>
      </c>
      <c r="G39" s="90">
        <v>9.11E-2</v>
      </c>
      <c r="H39" s="90">
        <v>9.11E-2</v>
      </c>
      <c r="I39" s="90">
        <v>9.11E-2</v>
      </c>
    </row>
    <row r="40" spans="1:9" x14ac:dyDescent="0.35">
      <c r="A40" s="86" t="s">
        <v>13</v>
      </c>
      <c r="B40" s="87" t="s">
        <v>14</v>
      </c>
      <c r="C40" s="88" t="s">
        <v>15</v>
      </c>
      <c r="D40" s="86" t="s">
        <v>12</v>
      </c>
      <c r="E40" s="91">
        <v>0.52</v>
      </c>
      <c r="F40" s="91">
        <f>E40</f>
        <v>0.52</v>
      </c>
      <c r="G40" s="91">
        <f t="shared" ref="G40:I40" si="4">F40</f>
        <v>0.52</v>
      </c>
      <c r="H40" s="91">
        <f t="shared" si="4"/>
        <v>0.52</v>
      </c>
      <c r="I40" s="91">
        <f t="shared" si="4"/>
        <v>0.52</v>
      </c>
    </row>
    <row r="41" spans="1:9" x14ac:dyDescent="0.35">
      <c r="A41" s="86" t="s">
        <v>16</v>
      </c>
      <c r="B41" s="87" t="s">
        <v>17</v>
      </c>
      <c r="C41" s="88" t="s">
        <v>8</v>
      </c>
      <c r="D41" s="86" t="s">
        <v>12</v>
      </c>
      <c r="E41" s="90">
        <v>4.5999999999999999E-2</v>
      </c>
      <c r="F41" s="90">
        <v>4.7800000000000002E-2</v>
      </c>
      <c r="G41" s="90">
        <v>4.9000000000000002E-2</v>
      </c>
      <c r="H41" s="90">
        <v>4.9599999999999998E-2</v>
      </c>
      <c r="I41" s="90">
        <v>4.9799999999999997E-2</v>
      </c>
    </row>
    <row r="42" spans="1:9" x14ac:dyDescent="0.35">
      <c r="A42" s="86" t="s">
        <v>18</v>
      </c>
      <c r="B42" s="87" t="s">
        <v>19</v>
      </c>
      <c r="C42" s="86" t="str">
        <f>A38&amp;"*(1-"&amp;A40&amp;")"</f>
        <v>[a]*(1-[c])</v>
      </c>
      <c r="D42" s="86" t="s">
        <v>9</v>
      </c>
      <c r="E42" s="89">
        <f>E38*(1-E40)</f>
        <v>11966.304</v>
      </c>
      <c r="F42" s="89">
        <f>F38*(1-F40)</f>
        <v>12487.392</v>
      </c>
      <c r="G42" s="89">
        <f>G38*(1-G40)</f>
        <v>12997.92</v>
      </c>
      <c r="H42" s="89">
        <f>H38*(1-H40)</f>
        <v>13602.527999999998</v>
      </c>
      <c r="I42" s="89">
        <f>I38*(1-I40)</f>
        <v>17085.744000000002</v>
      </c>
    </row>
    <row r="43" spans="1:9" x14ac:dyDescent="0.35">
      <c r="A43" s="86" t="s">
        <v>20</v>
      </c>
      <c r="B43" s="87" t="s">
        <v>21</v>
      </c>
      <c r="C43" s="86" t="s">
        <v>22</v>
      </c>
      <c r="D43" s="86" t="s">
        <v>12</v>
      </c>
      <c r="E43" s="91">
        <v>0.25</v>
      </c>
      <c r="F43" s="91">
        <v>0.25</v>
      </c>
      <c r="G43" s="91">
        <v>0.25</v>
      </c>
      <c r="H43" s="91">
        <v>0.25</v>
      </c>
      <c r="I43" s="91">
        <v>0.25</v>
      </c>
    </row>
    <row r="44" spans="1:9" x14ac:dyDescent="0.35">
      <c r="A44" s="86" t="s">
        <v>23</v>
      </c>
      <c r="B44" s="87" t="s">
        <v>24</v>
      </c>
      <c r="C44" s="88" t="str">
        <f>A38&amp;"*"&amp;A39&amp;"*"&amp;A40</f>
        <v>[a]*[b]*[c]</v>
      </c>
      <c r="D44" s="86" t="s">
        <v>9</v>
      </c>
      <c r="E44" s="89">
        <f>E38*E39*E40</f>
        <v>1180.9744856000002</v>
      </c>
      <c r="F44" s="89">
        <f>F38*F39*F40</f>
        <v>1232.4015288000003</v>
      </c>
      <c r="G44" s="89">
        <f>G38*G39*G40</f>
        <v>1282.7863880000002</v>
      </c>
      <c r="H44" s="89">
        <f>H38*H39*H40</f>
        <v>1342.4561592</v>
      </c>
      <c r="I44" s="89">
        <f>I38*I39*I40</f>
        <v>1686.2205516000001</v>
      </c>
    </row>
    <row r="45" spans="1:9" x14ac:dyDescent="0.35">
      <c r="A45" s="86" t="s">
        <v>25</v>
      </c>
      <c r="B45" s="87" t="s">
        <v>26</v>
      </c>
      <c r="C45" s="88" t="str">
        <f>A38&amp;"*(1-"&amp;A39&amp;")*"&amp;A41</f>
        <v>[a]*(1-[b])*[d]</v>
      </c>
      <c r="D45" s="86" t="s">
        <v>9</v>
      </c>
      <c r="E45" s="89">
        <f>E38*(1-E40)*E41</f>
        <v>550.44998399999997</v>
      </c>
      <c r="F45" s="89">
        <f>F38*(1-F40)*F41</f>
        <v>596.89733760000001</v>
      </c>
      <c r="G45" s="89">
        <f>G38*(1-G40)*G41</f>
        <v>636.89808000000005</v>
      </c>
      <c r="H45" s="89">
        <f>H38*(1-H40)*H41</f>
        <v>674.68538879999994</v>
      </c>
      <c r="I45" s="89">
        <f>I38*(1-I40)*I41</f>
        <v>850.87005120000003</v>
      </c>
    </row>
    <row r="46" spans="1:9" x14ac:dyDescent="0.35">
      <c r="A46" s="86" t="s">
        <v>27</v>
      </c>
      <c r="B46" s="87" t="s">
        <v>28</v>
      </c>
      <c r="C46" s="88" t="s">
        <v>29</v>
      </c>
      <c r="D46" s="86" t="s">
        <v>9</v>
      </c>
      <c r="E46" s="89">
        <v>13.859527643192337</v>
      </c>
      <c r="F46" s="89">
        <v>52.996475887894583</v>
      </c>
      <c r="G46" s="89">
        <v>72.271443094031412</v>
      </c>
      <c r="H46" s="89">
        <v>88.12562115453153</v>
      </c>
      <c r="I46" s="89">
        <v>97.895898663212677</v>
      </c>
    </row>
    <row r="47" spans="1:9" x14ac:dyDescent="0.35">
      <c r="A47" s="86" t="s">
        <v>30</v>
      </c>
      <c r="B47" s="87" t="s">
        <v>31</v>
      </c>
      <c r="C47" s="88" t="s">
        <v>32</v>
      </c>
      <c r="D47" s="86" t="s">
        <v>9</v>
      </c>
      <c r="E47" s="89">
        <v>975.2</v>
      </c>
      <c r="F47" s="89">
        <v>1033.4000000000001</v>
      </c>
      <c r="G47" s="89">
        <v>1076.5</v>
      </c>
      <c r="H47" s="89">
        <v>1111.2</v>
      </c>
      <c r="I47" s="89">
        <v>1332.1</v>
      </c>
    </row>
    <row r="48" spans="1:9" x14ac:dyDescent="0.35">
      <c r="A48" s="86" t="s">
        <v>33</v>
      </c>
      <c r="B48" s="87" t="s">
        <v>34</v>
      </c>
      <c r="C48" s="88" t="s">
        <v>35</v>
      </c>
      <c r="D48" s="86" t="s">
        <v>9</v>
      </c>
      <c r="E48" s="89">
        <v>4.7</v>
      </c>
      <c r="F48" s="89">
        <v>1.1000000000000001</v>
      </c>
      <c r="G48" s="89">
        <v>0</v>
      </c>
      <c r="H48" s="89">
        <v>0</v>
      </c>
      <c r="I48" s="89">
        <v>0</v>
      </c>
    </row>
    <row r="49" spans="1:9" x14ac:dyDescent="0.35">
      <c r="A49" s="86" t="s">
        <v>36</v>
      </c>
      <c r="B49" s="87" t="s">
        <v>37</v>
      </c>
      <c r="C49" s="88" t="str">
        <f>A44&amp;"+"&amp;A45&amp;"+"&amp;A46&amp;"+"&amp;A47&amp;"-"&amp;A48</f>
        <v>[g]+[h]+[i]+[j]-[k]</v>
      </c>
      <c r="D49" s="86" t="s">
        <v>9</v>
      </c>
      <c r="E49" s="89">
        <f>E44+E45+E46+E47-E48</f>
        <v>2715.783997243193</v>
      </c>
      <c r="F49" s="89">
        <f t="shared" ref="F49:I49" si="5">F44+F45+F46+F47-F48</f>
        <v>2914.5953422878952</v>
      </c>
      <c r="G49" s="89">
        <f t="shared" si="5"/>
        <v>3068.4559110940318</v>
      </c>
      <c r="H49" s="89">
        <f t="shared" si="5"/>
        <v>3216.4671691545318</v>
      </c>
      <c r="I49" s="89">
        <f t="shared" si="5"/>
        <v>3967.0865014632127</v>
      </c>
    </row>
    <row r="50" spans="1:9" x14ac:dyDescent="0.35">
      <c r="A50" s="86" t="s">
        <v>38</v>
      </c>
      <c r="B50" s="87" t="s">
        <v>39</v>
      </c>
      <c r="C50" s="88" t="str">
        <f>A49&amp;"-"&amp;A45&amp;"-"&amp;A46</f>
        <v>[l]-[h]-[i]</v>
      </c>
      <c r="D50" s="86" t="s">
        <v>9</v>
      </c>
      <c r="E50" s="89">
        <f>E49-E45-E46</f>
        <v>2151.4744856000007</v>
      </c>
      <c r="F50" s="89">
        <f t="shared" ref="F50:I50" si="6">F49-F45-F46</f>
        <v>2264.7015288000007</v>
      </c>
      <c r="G50" s="89">
        <f t="shared" si="6"/>
        <v>2359.2863880000004</v>
      </c>
      <c r="H50" s="89">
        <f t="shared" si="6"/>
        <v>2453.6561592000003</v>
      </c>
      <c r="I50" s="89">
        <f t="shared" si="6"/>
        <v>3018.3205515999998</v>
      </c>
    </row>
    <row r="51" spans="1:9" x14ac:dyDescent="0.35">
      <c r="A51" s="86" t="s">
        <v>40</v>
      </c>
      <c r="B51" s="87" t="s">
        <v>41</v>
      </c>
      <c r="C51" s="88" t="s">
        <v>29</v>
      </c>
      <c r="D51" s="86" t="s">
        <v>9</v>
      </c>
      <c r="E51" s="89">
        <v>270.8</v>
      </c>
      <c r="F51" s="89">
        <v>270.39999999999998</v>
      </c>
      <c r="G51" s="89">
        <v>278.8</v>
      </c>
      <c r="H51" s="89">
        <v>284.60000000000002</v>
      </c>
      <c r="I51" s="89">
        <v>296.7</v>
      </c>
    </row>
    <row r="52" spans="1:9" x14ac:dyDescent="0.35">
      <c r="A52" s="86" t="s">
        <v>42</v>
      </c>
      <c r="B52" s="87" t="s">
        <v>43</v>
      </c>
      <c r="C52" s="88" t="s">
        <v>29</v>
      </c>
      <c r="D52" s="86" t="s">
        <v>9</v>
      </c>
      <c r="E52" s="89">
        <v>261</v>
      </c>
      <c r="F52" s="89">
        <v>269.8</v>
      </c>
      <c r="G52" s="89">
        <v>285.39999999999998</v>
      </c>
      <c r="H52" s="89">
        <v>294.60000000000002</v>
      </c>
      <c r="I52" s="89">
        <v>305.3</v>
      </c>
    </row>
    <row r="53" spans="1:9" x14ac:dyDescent="0.35">
      <c r="A53" s="86" t="s">
        <v>44</v>
      </c>
      <c r="B53" s="87" t="s">
        <v>45</v>
      </c>
      <c r="C53" s="88" t="s">
        <v>29</v>
      </c>
      <c r="D53" s="86" t="s">
        <v>9</v>
      </c>
      <c r="E53" s="89">
        <v>30.4</v>
      </c>
      <c r="F53" s="89">
        <v>47.2</v>
      </c>
      <c r="G53" s="89">
        <v>58.9</v>
      </c>
      <c r="H53" s="89">
        <v>72.900000000000006</v>
      </c>
      <c r="I53" s="89">
        <v>79.099999999999994</v>
      </c>
    </row>
    <row r="54" spans="1:9" x14ac:dyDescent="0.35">
      <c r="A54" s="86" t="s">
        <v>46</v>
      </c>
      <c r="B54" s="87" t="s">
        <v>47</v>
      </c>
      <c r="C54" s="88" t="s">
        <v>29</v>
      </c>
      <c r="D54" s="86" t="s">
        <v>9</v>
      </c>
      <c r="E54" s="89">
        <v>498.2</v>
      </c>
      <c r="F54" s="89">
        <v>420.1</v>
      </c>
      <c r="G54" s="89">
        <v>347.2</v>
      </c>
      <c r="H54" s="89">
        <v>326.7</v>
      </c>
      <c r="I54" s="89">
        <v>342</v>
      </c>
    </row>
    <row r="55" spans="1:9" x14ac:dyDescent="0.35">
      <c r="A55" s="86" t="s">
        <v>48</v>
      </c>
      <c r="B55" s="87" t="s">
        <v>49</v>
      </c>
      <c r="C55" s="88" t="s">
        <v>29</v>
      </c>
      <c r="D55" s="86" t="s">
        <v>9</v>
      </c>
      <c r="E55" s="89">
        <v>637.4</v>
      </c>
      <c r="F55" s="89">
        <v>539.1</v>
      </c>
      <c r="G55" s="89">
        <v>437.9</v>
      </c>
      <c r="H55" s="89">
        <v>443.3</v>
      </c>
      <c r="I55" s="89">
        <v>472.1</v>
      </c>
    </row>
    <row r="56" spans="1:9" x14ac:dyDescent="0.35">
      <c r="A56" s="86" t="s">
        <v>50</v>
      </c>
      <c r="B56" s="87" t="s">
        <v>51</v>
      </c>
      <c r="C56" s="88" t="s">
        <v>29</v>
      </c>
      <c r="D56" s="86" t="s">
        <v>9</v>
      </c>
      <c r="E56" s="89">
        <v>0</v>
      </c>
      <c r="F56" s="89">
        <v>0</v>
      </c>
      <c r="G56" s="89">
        <v>0</v>
      </c>
      <c r="H56" s="89">
        <v>0</v>
      </c>
      <c r="I56" s="89">
        <v>0</v>
      </c>
    </row>
    <row r="57" spans="1:9" x14ac:dyDescent="0.35">
      <c r="A57" s="86" t="s">
        <v>52</v>
      </c>
      <c r="B57" s="87" t="s">
        <v>53</v>
      </c>
      <c r="C57" s="88" t="str">
        <f>A49&amp;"-"&amp;A45&amp;"-"&amp;A46&amp;"+"&amp;A51&amp;"-"&amp;A52&amp;"+"&amp;A53&amp;"+"&amp;A54&amp;"-"&amp;A55&amp;"-"&amp;A56</f>
        <v>[l]-[h]-[i]+[n]-[o]+[p]+[q]-[r]-[s]</v>
      </c>
      <c r="D57" s="86" t="s">
        <v>9</v>
      </c>
      <c r="E57" s="89">
        <f>E49-E45-E46+E51-E52+E53+E54-E55-E56</f>
        <v>2052.4744856000007</v>
      </c>
      <c r="F57" s="89">
        <f t="shared" ref="F57:I57" si="7">F49-F45-F46+F51-F52+F53+F54-F55-F56</f>
        <v>2193.5015288000004</v>
      </c>
      <c r="G57" s="89">
        <f t="shared" si="7"/>
        <v>2320.8863880000004</v>
      </c>
      <c r="H57" s="89">
        <f t="shared" si="7"/>
        <v>2399.9561592</v>
      </c>
      <c r="I57" s="89">
        <f t="shared" si="7"/>
        <v>2958.7205515999995</v>
      </c>
    </row>
    <row r="58" spans="1:9" x14ac:dyDescent="0.35">
      <c r="A58" s="86" t="s">
        <v>54</v>
      </c>
      <c r="B58" s="87" t="s">
        <v>55</v>
      </c>
      <c r="C58" s="88" t="s">
        <v>56</v>
      </c>
      <c r="D58" s="86" t="s">
        <v>9</v>
      </c>
      <c r="E58" s="89">
        <v>3235.3990000000003</v>
      </c>
      <c r="F58" s="89">
        <v>3361.88</v>
      </c>
      <c r="G58" s="89">
        <v>3485.2559999999999</v>
      </c>
      <c r="H58" s="89">
        <v>3618.6659999999997</v>
      </c>
      <c r="I58" s="89">
        <v>3757.3779999999997</v>
      </c>
    </row>
    <row r="59" spans="1:9" x14ac:dyDescent="0.35">
      <c r="A59" s="86" t="s">
        <v>57</v>
      </c>
      <c r="B59" s="87" t="s">
        <v>58</v>
      </c>
      <c r="C59" s="88" t="s">
        <v>56</v>
      </c>
      <c r="D59" s="86" t="s">
        <v>9</v>
      </c>
      <c r="E59" s="89">
        <v>386.88200000000001</v>
      </c>
      <c r="F59" s="89">
        <v>348.86400000000003</v>
      </c>
      <c r="G59" s="89">
        <v>299.52</v>
      </c>
      <c r="H59" s="89">
        <v>251.07900000000001</v>
      </c>
      <c r="I59" s="89">
        <v>204.55699999999996</v>
      </c>
    </row>
    <row r="60" spans="1:9" x14ac:dyDescent="0.35">
      <c r="A60" s="86" t="s">
        <v>59</v>
      </c>
      <c r="B60" s="87" t="s">
        <v>60</v>
      </c>
      <c r="C60" s="88" t="s">
        <v>61</v>
      </c>
      <c r="D60" s="86" t="s">
        <v>12</v>
      </c>
      <c r="E60" s="103">
        <v>0.86799999999999999</v>
      </c>
      <c r="F60" s="103">
        <v>0.86399999999999999</v>
      </c>
      <c r="G60" s="103">
        <v>0.86899999999999999</v>
      </c>
      <c r="H60" s="103">
        <v>0.872</v>
      </c>
      <c r="I60" s="103">
        <v>0.872</v>
      </c>
    </row>
    <row r="62" spans="1:9" x14ac:dyDescent="0.35">
      <c r="B62" s="92" t="s">
        <v>62</v>
      </c>
    </row>
    <row r="63" spans="1:9" x14ac:dyDescent="0.35">
      <c r="B63" s="84" t="s">
        <v>63</v>
      </c>
      <c r="C63" s="86" t="str">
        <f>A49&amp;" / {"&amp;A42&amp;" + ("&amp;A58&amp;" +"&amp;A59&amp;") x (1 -"&amp;A43&amp;") x"&amp;A60&amp;"}"</f>
        <v>[l] / {[e] + ([u] +[v]) x (1 -[f]) x[w]}</v>
      </c>
      <c r="E63" s="99">
        <f>E50/(E42+(E58+E59)*(1-E43)*E60)</f>
        <v>0.15019638827427725</v>
      </c>
      <c r="F63" s="99">
        <f t="shared" ref="F63:I63" si="8">F50/(F42+(F58+F59)*(1-F43)*F60)</f>
        <v>0.15207551082735976</v>
      </c>
      <c r="G63" s="99">
        <f t="shared" si="8"/>
        <v>0.15255998228472553</v>
      </c>
      <c r="H63" s="99">
        <f t="shared" si="8"/>
        <v>0.15208605112978205</v>
      </c>
      <c r="I63" s="99">
        <f t="shared" si="8"/>
        <v>0.15339450317663633</v>
      </c>
    </row>
    <row r="64" spans="1:9" x14ac:dyDescent="0.35">
      <c r="B64" s="84" t="s">
        <v>64</v>
      </c>
      <c r="C64" s="86" t="str">
        <f>A57&amp;" / ("&amp;A42&amp;" +"&amp;A59&amp;" x"&amp;A60&amp;")"</f>
        <v>[t] / ([e] +[v] x[w])</v>
      </c>
      <c r="E64" s="99">
        <f>E57/(E42+E59*E60)</f>
        <v>0.16683912122610009</v>
      </c>
      <c r="F64" s="99">
        <f t="shared" ref="F64:I64" si="9">F57/(F42+F59*F60)</f>
        <v>0.1715172438817566</v>
      </c>
      <c r="G64" s="99">
        <f t="shared" si="9"/>
        <v>0.17505286417822566</v>
      </c>
      <c r="H64" s="99">
        <f t="shared" si="9"/>
        <v>0.17363973240815794</v>
      </c>
      <c r="I64" s="99">
        <f t="shared" si="9"/>
        <v>0.17137977175135222</v>
      </c>
    </row>
    <row r="66" spans="1:9" x14ac:dyDescent="0.35">
      <c r="A66" s="95" t="s">
        <v>66</v>
      </c>
    </row>
    <row r="67" spans="1:9" ht="32.25" customHeight="1" x14ac:dyDescent="0.35">
      <c r="A67" s="86" t="s">
        <v>67</v>
      </c>
      <c r="B67" s="111" t="s">
        <v>68</v>
      </c>
      <c r="C67" s="111"/>
      <c r="D67" s="111"/>
      <c r="E67" s="111"/>
      <c r="F67" s="111"/>
      <c r="G67" s="111"/>
      <c r="H67" s="111"/>
      <c r="I67" s="111"/>
    </row>
    <row r="68" spans="1:9" ht="33" customHeight="1" x14ac:dyDescent="0.35">
      <c r="A68" s="86" t="s">
        <v>25</v>
      </c>
      <c r="B68" s="111" t="s">
        <v>69</v>
      </c>
      <c r="C68" s="111"/>
      <c r="D68" s="111"/>
      <c r="E68" s="111"/>
      <c r="F68" s="111"/>
      <c r="G68" s="111"/>
      <c r="H68" s="111"/>
      <c r="I68" s="111"/>
    </row>
    <row r="69" spans="1:9" ht="31.5" customHeight="1" x14ac:dyDescent="0.35">
      <c r="A69" s="86" t="s">
        <v>33</v>
      </c>
      <c r="B69" s="111" t="s">
        <v>70</v>
      </c>
      <c r="C69" s="111"/>
      <c r="D69" s="111"/>
      <c r="E69" s="111"/>
      <c r="F69" s="111"/>
      <c r="G69" s="111"/>
      <c r="H69" s="111"/>
      <c r="I69" s="111"/>
    </row>
    <row r="70" spans="1:9" x14ac:dyDescent="0.35">
      <c r="A70" s="86" t="s">
        <v>71</v>
      </c>
      <c r="B70" s="84" t="s">
        <v>72</v>
      </c>
    </row>
    <row r="71" spans="1:9" x14ac:dyDescent="0.35">
      <c r="A71" s="86" t="s">
        <v>73</v>
      </c>
      <c r="B71" s="84" t="s">
        <v>74</v>
      </c>
    </row>
    <row r="72" spans="1:9" ht="34.5" customHeight="1" x14ac:dyDescent="0.35">
      <c r="A72" s="86" t="s">
        <v>59</v>
      </c>
      <c r="B72" s="111" t="s">
        <v>75</v>
      </c>
      <c r="C72" s="111"/>
      <c r="D72" s="111"/>
      <c r="E72" s="111"/>
      <c r="F72" s="111"/>
      <c r="G72" s="111"/>
      <c r="H72" s="111"/>
      <c r="I72" s="111"/>
    </row>
  </sheetData>
  <mergeCells count="7">
    <mergeCell ref="H1:I3"/>
    <mergeCell ref="B72:I72"/>
    <mergeCell ref="A4:I4"/>
    <mergeCell ref="A36:I36"/>
    <mergeCell ref="B68:I68"/>
    <mergeCell ref="B69:I69"/>
    <mergeCell ref="B67:I67"/>
  </mergeCells>
  <pageMargins left="0.7" right="0.7" top="0.75" bottom="0.75" header="0.3" footer="0.3"/>
  <pageSetup scale="63" fitToHeight="2" orientation="landscape" useFirstPageNumber="1" r:id="rId1"/>
  <headerFooter>
    <oddHeader>&amp;LExhibit 1
Page &amp;P of 2</oddHeader>
  </headerFooter>
  <rowBreaks count="1" manualBreakCount="1">
    <brk id="3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N61"/>
  <sheetViews>
    <sheetView view="pageBreakPreview" zoomScale="60" zoomScaleNormal="85" workbookViewId="0">
      <selection activeCell="B3" sqref="B3"/>
    </sheetView>
  </sheetViews>
  <sheetFormatPr defaultColWidth="9.08984375" defaultRowHeight="12.5" x14ac:dyDescent="0.25"/>
  <cols>
    <col min="1" max="1" width="2.7265625" style="27" customWidth="1"/>
    <col min="2" max="2" width="32.7265625" style="2" customWidth="1"/>
    <col min="3" max="3" width="10.7265625" style="2" customWidth="1"/>
    <col min="4" max="4" width="12" style="3" customWidth="1"/>
    <col min="5" max="5" width="10.7265625" style="2" customWidth="1"/>
    <col min="6" max="6" width="10.7265625" style="3" customWidth="1"/>
    <col min="7" max="8" width="11.7265625" style="3" customWidth="1"/>
    <col min="9" max="9" width="11.7265625" style="2" customWidth="1"/>
    <col min="10" max="10" width="11.7265625" style="3" customWidth="1"/>
    <col min="11" max="11" width="11.7265625" style="2" customWidth="1"/>
    <col min="12" max="15" width="10.7265625" style="2" customWidth="1"/>
    <col min="16" max="16" width="2.6328125" style="27" customWidth="1"/>
    <col min="17" max="17" width="37.6328125" style="27" bestFit="1" customWidth="1"/>
    <col min="18" max="18" width="12" style="28" customWidth="1"/>
    <col min="19" max="19" width="10.7265625" style="28" customWidth="1"/>
    <col min="20" max="20" width="12" style="28" customWidth="1"/>
    <col min="21" max="22" width="9.08984375" style="28"/>
    <col min="23" max="23" width="9.08984375" style="28" customWidth="1"/>
    <col min="24" max="24" width="9.08984375" style="28"/>
    <col min="25" max="25" width="10.7265625" style="3" customWidth="1"/>
    <col min="26" max="26" width="2.6328125" style="27" customWidth="1"/>
    <col min="27" max="27" width="11" style="36" customWidth="1"/>
    <col min="28" max="28" width="11" style="3" customWidth="1"/>
    <col min="29" max="29" width="2.6328125" style="27" customWidth="1"/>
    <col min="30" max="30" width="10.26953125" style="36" customWidth="1"/>
    <col min="31" max="31" width="10.26953125" style="3" customWidth="1"/>
    <col min="32" max="32" width="9.08984375" style="27"/>
    <col min="33" max="33" width="33.08984375" style="37" bestFit="1" customWidth="1"/>
    <col min="34" max="34" width="9.08984375" style="97"/>
    <col min="35" max="35" width="2.6328125" style="27" customWidth="1"/>
    <col min="36" max="36" width="29.36328125" style="37" bestFit="1" customWidth="1"/>
    <col min="37" max="37" width="9.08984375" style="97"/>
    <col min="38" max="38" width="2.6328125" style="27" customWidth="1"/>
    <col min="39" max="39" width="33.08984375" style="37" bestFit="1" customWidth="1"/>
    <col min="40" max="40" width="9.08984375" style="97"/>
    <col min="41" max="16384" width="9.08984375" style="27"/>
  </cols>
  <sheetData>
    <row r="2" spans="2:40" s="9" customFormat="1" x14ac:dyDescent="0.25">
      <c r="B2" s="32" t="s">
        <v>76</v>
      </c>
      <c r="C2" s="1"/>
      <c r="D2" s="1"/>
      <c r="E2" s="1"/>
      <c r="F2" s="1"/>
      <c r="G2" s="1"/>
      <c r="H2" s="1"/>
      <c r="I2" s="1"/>
      <c r="J2" s="1"/>
      <c r="K2" s="1"/>
      <c r="L2" s="1"/>
      <c r="M2" s="1"/>
      <c r="N2" s="1"/>
      <c r="O2" s="1"/>
      <c r="Q2" s="31" t="s">
        <v>77</v>
      </c>
      <c r="R2" s="31"/>
      <c r="S2" s="26"/>
      <c r="T2" s="26"/>
      <c r="U2" s="26"/>
      <c r="V2" s="26"/>
      <c r="W2" s="26"/>
      <c r="X2" s="26"/>
      <c r="Y2" s="1"/>
      <c r="AA2" s="33" t="s">
        <v>78</v>
      </c>
      <c r="AB2" s="1"/>
      <c r="AD2" s="33" t="s">
        <v>79</v>
      </c>
      <c r="AE2" s="1"/>
      <c r="AG2" s="26" t="s">
        <v>80</v>
      </c>
      <c r="AH2" s="26"/>
      <c r="AJ2" s="26" t="s">
        <v>81</v>
      </c>
      <c r="AK2" s="26"/>
      <c r="AM2" s="26" t="s">
        <v>82</v>
      </c>
      <c r="AN2" s="26"/>
    </row>
    <row r="3" spans="2:40" x14ac:dyDescent="0.25">
      <c r="Q3" s="9"/>
    </row>
    <row r="4" spans="2:40" s="9" customFormat="1" ht="13" thickBot="1" x14ac:dyDescent="0.3">
      <c r="B4" s="2"/>
      <c r="C4" s="2"/>
      <c r="D4" s="3" t="s">
        <v>83</v>
      </c>
      <c r="E4" s="3" t="s">
        <v>84</v>
      </c>
      <c r="F4" s="3" t="s">
        <v>85</v>
      </c>
      <c r="G4" s="3" t="s">
        <v>86</v>
      </c>
      <c r="H4" s="3" t="s">
        <v>87</v>
      </c>
      <c r="I4" s="3" t="s">
        <v>88</v>
      </c>
      <c r="J4" s="3" t="s">
        <v>89</v>
      </c>
      <c r="K4" s="3" t="s">
        <v>90</v>
      </c>
      <c r="L4" s="3" t="s">
        <v>91</v>
      </c>
      <c r="M4" s="3" t="s">
        <v>92</v>
      </c>
      <c r="N4" s="3" t="s">
        <v>93</v>
      </c>
      <c r="O4" s="4" t="s">
        <v>94</v>
      </c>
      <c r="R4" s="4"/>
      <c r="S4" s="4"/>
      <c r="T4" s="4"/>
      <c r="U4" s="81">
        <v>0.6</v>
      </c>
      <c r="V4" s="81">
        <v>0.6</v>
      </c>
      <c r="W4" s="81">
        <v>0.8</v>
      </c>
      <c r="X4" s="81">
        <v>0.8</v>
      </c>
      <c r="Y4" s="4" t="s">
        <v>95</v>
      </c>
      <c r="AA4" s="35">
        <v>0.05</v>
      </c>
      <c r="AB4" s="4" t="s">
        <v>96</v>
      </c>
      <c r="AD4" s="35">
        <v>0.05</v>
      </c>
      <c r="AE4" s="4" t="s">
        <v>97</v>
      </c>
      <c r="AG4" s="82"/>
      <c r="AH4" s="4"/>
      <c r="AJ4" s="82"/>
      <c r="AK4" s="4"/>
      <c r="AM4" s="82"/>
      <c r="AN4" s="4"/>
    </row>
    <row r="5" spans="2:40" ht="100" x14ac:dyDescent="0.25">
      <c r="B5" s="5" t="s">
        <v>98</v>
      </c>
      <c r="C5" s="6" t="s">
        <v>99</v>
      </c>
      <c r="D5" s="7" t="s">
        <v>100</v>
      </c>
      <c r="E5" s="7" t="s">
        <v>101</v>
      </c>
      <c r="F5" s="7" t="s">
        <v>102</v>
      </c>
      <c r="G5" s="7" t="s">
        <v>103</v>
      </c>
      <c r="H5" s="7" t="s">
        <v>104</v>
      </c>
      <c r="I5" s="7" t="s">
        <v>105</v>
      </c>
      <c r="J5" s="7" t="s">
        <v>106</v>
      </c>
      <c r="K5" s="7" t="s">
        <v>107</v>
      </c>
      <c r="L5" s="7" t="s">
        <v>108</v>
      </c>
      <c r="M5" s="7" t="s">
        <v>109</v>
      </c>
      <c r="N5" s="7" t="s">
        <v>110</v>
      </c>
      <c r="O5" s="7" t="s">
        <v>111</v>
      </c>
      <c r="Q5" s="5" t="s">
        <v>98</v>
      </c>
      <c r="R5" s="7" t="s">
        <v>100</v>
      </c>
      <c r="S5" s="7" t="s">
        <v>101</v>
      </c>
      <c r="T5" s="7" t="s">
        <v>107</v>
      </c>
      <c r="U5" s="7" t="s">
        <v>108</v>
      </c>
      <c r="V5" s="7" t="s">
        <v>109</v>
      </c>
      <c r="W5" s="7" t="s">
        <v>110</v>
      </c>
      <c r="X5" s="7" t="s">
        <v>111</v>
      </c>
      <c r="Y5" s="7" t="s">
        <v>112</v>
      </c>
      <c r="AA5" s="34" t="s">
        <v>113</v>
      </c>
      <c r="AB5" s="7" t="s">
        <v>114</v>
      </c>
      <c r="AD5" s="34" t="s">
        <v>115</v>
      </c>
      <c r="AE5" s="7" t="s">
        <v>116</v>
      </c>
      <c r="AG5" s="38" t="s">
        <v>98</v>
      </c>
      <c r="AH5" s="7" t="s">
        <v>99</v>
      </c>
      <c r="AJ5" s="38" t="s">
        <v>98</v>
      </c>
      <c r="AK5" s="7" t="s">
        <v>99</v>
      </c>
      <c r="AM5" s="38" t="s">
        <v>98</v>
      </c>
      <c r="AN5" s="7" t="s">
        <v>99</v>
      </c>
    </row>
    <row r="6" spans="2:40" x14ac:dyDescent="0.25">
      <c r="D6" s="8"/>
      <c r="E6" s="3"/>
      <c r="G6" s="8"/>
      <c r="H6" s="8"/>
      <c r="I6" s="8"/>
      <c r="J6" s="8"/>
      <c r="K6" s="8"/>
      <c r="L6" s="8"/>
      <c r="M6" s="8"/>
      <c r="N6" s="8"/>
      <c r="O6" s="8"/>
      <c r="Q6" s="2"/>
      <c r="R6" s="4"/>
      <c r="S6" s="4"/>
      <c r="T6" s="4"/>
      <c r="U6" s="4"/>
      <c r="V6" s="4"/>
      <c r="W6" s="4"/>
      <c r="X6" s="4"/>
      <c r="Y6" s="8"/>
      <c r="AA6" s="35"/>
      <c r="AB6" s="8"/>
      <c r="AD6" s="35"/>
      <c r="AE6" s="8"/>
    </row>
    <row r="7" spans="2:40" x14ac:dyDescent="0.25">
      <c r="B7" s="9" t="s">
        <v>117</v>
      </c>
      <c r="C7" s="10" t="s">
        <v>118</v>
      </c>
      <c r="D7" s="3" t="s">
        <v>119</v>
      </c>
      <c r="E7" s="3" t="s">
        <v>120</v>
      </c>
      <c r="F7" s="11">
        <v>1678.7368099999999</v>
      </c>
      <c r="G7" s="12">
        <v>125.69999999999999</v>
      </c>
      <c r="H7" s="12">
        <v>0</v>
      </c>
      <c r="I7" s="13">
        <f>IFERROR(G7/F7, 0)</f>
        <v>7.487772904675867E-2</v>
      </c>
      <c r="J7" s="13">
        <f>IFERROR(H7/F7, 0)</f>
        <v>0</v>
      </c>
      <c r="K7" s="3" t="str">
        <f>IF((I7+J7)&gt;5%,"Yes","No")</f>
        <v>Yes</v>
      </c>
      <c r="L7" s="14">
        <v>0.75760438187152113</v>
      </c>
      <c r="M7" s="14">
        <v>1</v>
      </c>
      <c r="N7" s="14">
        <v>0.97760204454268251</v>
      </c>
      <c r="O7" s="14">
        <v>0.98420015014885165</v>
      </c>
      <c r="Q7" s="9" t="s">
        <v>117</v>
      </c>
      <c r="R7" s="4">
        <v>1</v>
      </c>
      <c r="S7" s="4">
        <f t="shared" ref="S7:S50" si="0">IF(E7="Yes", 1, 0)</f>
        <v>1</v>
      </c>
      <c r="T7" s="4">
        <f t="shared" ref="T7:T50" si="1">IF(K7="Yes", 1, 0)</f>
        <v>1</v>
      </c>
      <c r="U7" s="4">
        <f t="shared" ref="U7:U38" si="2">IF(AND(ISNUMBER(L7), L7&gt;U$4), 1, 0)</f>
        <v>1</v>
      </c>
      <c r="V7" s="4">
        <f t="shared" ref="V7:V38" si="3">IF(AND(ISNUMBER(M7), M7&gt;V$4), 1, 0)</f>
        <v>1</v>
      </c>
      <c r="W7" s="4">
        <f t="shared" ref="W7:W38" si="4">IF(AND(ISNUMBER(N7), N7&gt;W$4), 1, 0)</f>
        <v>1</v>
      </c>
      <c r="X7" s="4">
        <f t="shared" ref="X7:X38" si="5">IF(AND(ISNUMBER(O7), O7&gt;X$4), 1, 0)</f>
        <v>1</v>
      </c>
      <c r="Y7" s="3" t="str">
        <f t="shared" ref="Y7:Y42" si="6">IF(SUM(R7:X7)=7, "Yes", "No")</f>
        <v>Yes</v>
      </c>
      <c r="AA7" s="35">
        <f>I7</f>
        <v>7.487772904675867E-2</v>
      </c>
      <c r="AB7" s="3" t="str">
        <f>IF(AND(Y7="Yes", AA7&gt;AA$4), "Yes", "No")</f>
        <v>Yes</v>
      </c>
      <c r="AD7" s="35">
        <f>J7</f>
        <v>0</v>
      </c>
      <c r="AE7" s="3" t="str">
        <f>IF(AND(Y7="Yes", AD7&gt;AD$4), "Yes", "No")</f>
        <v>No</v>
      </c>
      <c r="AG7" s="37" t="str" cm="1">
        <f t="array" ref="AG7:AH24">_xlfn._xlws.FILTER(B7:C50, Y7:Y50="Yes")</f>
        <v>ALLETE, Inc.</v>
      </c>
      <c r="AH7" s="97" t="str">
        <v>ALE</v>
      </c>
      <c r="AJ7" s="37" t="str" cm="1">
        <f t="array" ref="AJ7:AK11">_xlfn._xlws.FILTER(B7:C50, AB7:AB50="Yes")</f>
        <v>ALLETE, Inc.</v>
      </c>
      <c r="AK7" s="97" t="str">
        <v>ALE</v>
      </c>
      <c r="AM7" s="37" t="str" cm="1">
        <f t="array" ref="AM7:AN18">_xlfn._xlws.FILTER(B7:C50, AE7:AE50="Yes")</f>
        <v>Ameren Corporation</v>
      </c>
      <c r="AN7" s="97" t="str">
        <v>AEE</v>
      </c>
    </row>
    <row r="8" spans="2:40" x14ac:dyDescent="0.25">
      <c r="B8" s="9" t="s">
        <v>121</v>
      </c>
      <c r="C8" s="10" t="s">
        <v>122</v>
      </c>
      <c r="D8" s="3" t="s">
        <v>123</v>
      </c>
      <c r="E8" s="3" t="s">
        <v>120</v>
      </c>
      <c r="F8" s="11">
        <v>8930.8203599999997</v>
      </c>
      <c r="G8" s="12">
        <v>56.370000000000005</v>
      </c>
      <c r="H8" s="12">
        <v>0</v>
      </c>
      <c r="I8" s="13">
        <f t="shared" ref="I8:I50" si="7">IFERROR(G8/F8, 0)</f>
        <v>6.3118501691596003E-3</v>
      </c>
      <c r="J8" s="13">
        <f t="shared" ref="J8:J50" si="8">IFERROR(H8/F8, 0)</f>
        <v>0</v>
      </c>
      <c r="K8" s="3" t="str">
        <f t="shared" ref="K8:K50" si="9">IF((I8+J8)&gt;5%,"Yes","No")</f>
        <v>No</v>
      </c>
      <c r="L8" s="14">
        <v>0.97764231456503614</v>
      </c>
      <c r="M8" s="14">
        <v>0.97764231456503603</v>
      </c>
      <c r="N8" s="14">
        <v>0.84940073939338145</v>
      </c>
      <c r="O8" s="14">
        <v>0.84940073939338145</v>
      </c>
      <c r="Q8" s="9" t="s">
        <v>121</v>
      </c>
      <c r="R8" s="4">
        <v>1</v>
      </c>
      <c r="S8" s="4">
        <f t="shared" si="0"/>
        <v>1</v>
      </c>
      <c r="T8" s="4">
        <f t="shared" si="1"/>
        <v>0</v>
      </c>
      <c r="U8" s="4">
        <f t="shared" si="2"/>
        <v>1</v>
      </c>
      <c r="V8" s="4">
        <f t="shared" si="3"/>
        <v>1</v>
      </c>
      <c r="W8" s="4">
        <f t="shared" si="4"/>
        <v>1</v>
      </c>
      <c r="X8" s="4">
        <f t="shared" si="5"/>
        <v>1</v>
      </c>
      <c r="Y8" s="3" t="str">
        <f t="shared" si="6"/>
        <v>No</v>
      </c>
      <c r="AA8" s="35">
        <f t="shared" ref="AA8:AA50" si="10">I8</f>
        <v>6.3118501691596003E-3</v>
      </c>
      <c r="AB8" s="3" t="str">
        <f t="shared" ref="AB8:AB50" si="11">IF(AND(Y8="Yes", AA8&gt;AA$4), "Yes", "No")</f>
        <v>No</v>
      </c>
      <c r="AD8" s="35">
        <f t="shared" ref="AD8:AD50" si="12">J8</f>
        <v>0</v>
      </c>
      <c r="AE8" s="3" t="str">
        <f t="shared" ref="AE8:AE50" si="13">IF(AND(Y8="Yes", AD8&gt;AD$4), "Yes", "No")</f>
        <v>No</v>
      </c>
      <c r="AG8" s="37" t="str">
        <v>Ameren Corporation</v>
      </c>
      <c r="AH8" s="97" t="str">
        <v>AEE</v>
      </c>
      <c r="AJ8" s="37" t="str">
        <v>Edison International</v>
      </c>
      <c r="AK8" s="97" t="str">
        <v>EIX</v>
      </c>
      <c r="AM8" s="37" t="str">
        <v>American Electric Power Company, Inc.</v>
      </c>
      <c r="AN8" s="97" t="str">
        <v>AEP</v>
      </c>
    </row>
    <row r="9" spans="2:40" x14ac:dyDescent="0.25">
      <c r="B9" s="9" t="s">
        <v>124</v>
      </c>
      <c r="C9" s="10" t="s">
        <v>125</v>
      </c>
      <c r="D9" s="3" t="s">
        <v>123</v>
      </c>
      <c r="E9" s="3" t="s">
        <v>120</v>
      </c>
      <c r="F9" s="11">
        <v>10031.799999999999</v>
      </c>
      <c r="G9" s="12">
        <v>384</v>
      </c>
      <c r="H9" s="12">
        <v>1236</v>
      </c>
      <c r="I9" s="13">
        <f t="shared" si="7"/>
        <v>3.8278275085228977E-2</v>
      </c>
      <c r="J9" s="13">
        <f t="shared" si="8"/>
        <v>0.12320819793058076</v>
      </c>
      <c r="K9" s="3" t="str">
        <f t="shared" si="9"/>
        <v>Yes</v>
      </c>
      <c r="L9" s="14">
        <v>1</v>
      </c>
      <c r="M9" s="14">
        <v>1</v>
      </c>
      <c r="N9" s="14">
        <v>0.85072502825298679</v>
      </c>
      <c r="O9" s="14">
        <v>0.8441912974565603</v>
      </c>
      <c r="Q9" s="9" t="s">
        <v>124</v>
      </c>
      <c r="R9" s="4">
        <v>1</v>
      </c>
      <c r="S9" s="4">
        <f t="shared" si="0"/>
        <v>1</v>
      </c>
      <c r="T9" s="4">
        <f t="shared" si="1"/>
        <v>1</v>
      </c>
      <c r="U9" s="4">
        <f t="shared" si="2"/>
        <v>1</v>
      </c>
      <c r="V9" s="4">
        <f t="shared" si="3"/>
        <v>1</v>
      </c>
      <c r="W9" s="4">
        <f t="shared" si="4"/>
        <v>1</v>
      </c>
      <c r="X9" s="4">
        <f t="shared" si="5"/>
        <v>1</v>
      </c>
      <c r="Y9" s="3" t="str">
        <f t="shared" si="6"/>
        <v>Yes</v>
      </c>
      <c r="AA9" s="35">
        <f t="shared" si="10"/>
        <v>3.8278275085228977E-2</v>
      </c>
      <c r="AB9" s="3" t="str">
        <f t="shared" si="11"/>
        <v>No</v>
      </c>
      <c r="AD9" s="35">
        <f t="shared" si="12"/>
        <v>0.12320819793058076</v>
      </c>
      <c r="AE9" s="3" t="str">
        <f t="shared" si="13"/>
        <v>Yes</v>
      </c>
      <c r="AG9" s="37" t="str">
        <v>American Electric Power Company, Inc.</v>
      </c>
      <c r="AH9" s="97" t="str">
        <v>AEP</v>
      </c>
      <c r="AJ9" s="37" t="str">
        <v>IDACORP, Inc.</v>
      </c>
      <c r="AK9" s="97" t="str">
        <v>IDA</v>
      </c>
      <c r="AM9" s="37" t="str">
        <v>Dominion Resources, Inc.</v>
      </c>
      <c r="AN9" s="97" t="str">
        <v>D</v>
      </c>
    </row>
    <row r="10" spans="2:40" x14ac:dyDescent="0.25">
      <c r="B10" s="9" t="s">
        <v>126</v>
      </c>
      <c r="C10" s="10" t="s">
        <v>127</v>
      </c>
      <c r="D10" s="3" t="s">
        <v>123</v>
      </c>
      <c r="E10" s="3" t="s">
        <v>120</v>
      </c>
      <c r="F10" s="11">
        <v>24288.359829999994</v>
      </c>
      <c r="G10" s="12">
        <v>627</v>
      </c>
      <c r="H10" s="12">
        <v>2278</v>
      </c>
      <c r="I10" s="13">
        <f t="shared" si="7"/>
        <v>2.5814834941038509E-2</v>
      </c>
      <c r="J10" s="13">
        <f t="shared" si="8"/>
        <v>9.3789783087218068E-2</v>
      </c>
      <c r="K10" s="3" t="str">
        <f t="shared" si="9"/>
        <v>Yes</v>
      </c>
      <c r="L10" s="14">
        <v>0.9773883172031459</v>
      </c>
      <c r="M10" s="14">
        <v>0.97338593524954609</v>
      </c>
      <c r="N10" s="14">
        <v>1</v>
      </c>
      <c r="O10" s="14">
        <v>1</v>
      </c>
      <c r="Q10" s="9" t="s">
        <v>126</v>
      </c>
      <c r="R10" s="4">
        <v>1</v>
      </c>
      <c r="S10" s="4">
        <f t="shared" si="0"/>
        <v>1</v>
      </c>
      <c r="T10" s="4">
        <f t="shared" si="1"/>
        <v>1</v>
      </c>
      <c r="U10" s="4">
        <f t="shared" si="2"/>
        <v>1</v>
      </c>
      <c r="V10" s="4">
        <f t="shared" si="3"/>
        <v>1</v>
      </c>
      <c r="W10" s="4">
        <f t="shared" si="4"/>
        <v>1</v>
      </c>
      <c r="X10" s="4">
        <f t="shared" si="5"/>
        <v>1</v>
      </c>
      <c r="Y10" s="3" t="str">
        <f t="shared" si="6"/>
        <v>Yes</v>
      </c>
      <c r="AA10" s="35">
        <f t="shared" si="10"/>
        <v>2.5814834941038509E-2</v>
      </c>
      <c r="AB10" s="3" t="str">
        <f t="shared" si="11"/>
        <v>No</v>
      </c>
      <c r="AD10" s="35">
        <f t="shared" si="12"/>
        <v>9.3789783087218068E-2</v>
      </c>
      <c r="AE10" s="3" t="str">
        <f t="shared" si="13"/>
        <v>Yes</v>
      </c>
      <c r="AG10" s="37" t="str">
        <v>Dominion Resources, Inc.</v>
      </c>
      <c r="AH10" s="97" t="str">
        <v>D</v>
      </c>
      <c r="AJ10" s="37" t="str">
        <v>Portland General Electric Company</v>
      </c>
      <c r="AK10" s="97" t="str">
        <v>POR</v>
      </c>
      <c r="AM10" s="37" t="str">
        <v>Duke Energy Corporation</v>
      </c>
      <c r="AN10" s="97" t="str">
        <v>DUK</v>
      </c>
    </row>
    <row r="11" spans="2:40" ht="13" thickBot="1" x14ac:dyDescent="0.3">
      <c r="B11" s="9" t="s">
        <v>128</v>
      </c>
      <c r="C11" s="10" t="s">
        <v>129</v>
      </c>
      <c r="D11" s="3" t="s">
        <v>119</v>
      </c>
      <c r="E11" s="3" t="s">
        <v>120</v>
      </c>
      <c r="F11" s="11">
        <v>2143.1999999999998</v>
      </c>
      <c r="G11" s="12">
        <v>1155.5000000000002</v>
      </c>
      <c r="H11" s="12">
        <v>0</v>
      </c>
      <c r="I11" s="13">
        <f t="shared" si="7"/>
        <v>0.53914706980216509</v>
      </c>
      <c r="J11" s="13">
        <f t="shared" si="8"/>
        <v>0</v>
      </c>
      <c r="K11" s="3" t="str">
        <f t="shared" si="9"/>
        <v>Yes</v>
      </c>
      <c r="L11" s="14">
        <v>0.99972180995968107</v>
      </c>
      <c r="M11" s="14">
        <v>0.94993412384716736</v>
      </c>
      <c r="N11" s="14">
        <v>0.67885202962390412</v>
      </c>
      <c r="O11" s="14">
        <v>0.7440421416189954</v>
      </c>
      <c r="Q11" s="9" t="s">
        <v>128</v>
      </c>
      <c r="R11" s="4">
        <v>1</v>
      </c>
      <c r="S11" s="4">
        <f t="shared" si="0"/>
        <v>1</v>
      </c>
      <c r="T11" s="4">
        <f t="shared" si="1"/>
        <v>1</v>
      </c>
      <c r="U11" s="4">
        <f t="shared" si="2"/>
        <v>1</v>
      </c>
      <c r="V11" s="4">
        <f t="shared" si="3"/>
        <v>1</v>
      </c>
      <c r="W11" s="4">
        <f t="shared" si="4"/>
        <v>0</v>
      </c>
      <c r="X11" s="4">
        <f t="shared" si="5"/>
        <v>0</v>
      </c>
      <c r="Y11" s="3" t="str">
        <f t="shared" si="6"/>
        <v>No</v>
      </c>
      <c r="AA11" s="35">
        <f t="shared" si="10"/>
        <v>0.53914706980216509</v>
      </c>
      <c r="AB11" s="3" t="str">
        <f t="shared" si="11"/>
        <v>No</v>
      </c>
      <c r="AD11" s="35">
        <f t="shared" si="12"/>
        <v>0</v>
      </c>
      <c r="AE11" s="3" t="str">
        <f t="shared" si="13"/>
        <v>No</v>
      </c>
      <c r="AG11" s="37" t="str">
        <v>Duke Energy Corporation</v>
      </c>
      <c r="AH11" s="97" t="str">
        <v>DUK</v>
      </c>
      <c r="AJ11" s="40" t="str">
        <v>Southern Company</v>
      </c>
      <c r="AK11" s="98" t="str">
        <v>SO</v>
      </c>
      <c r="AM11" s="37" t="str">
        <v>Edison International</v>
      </c>
      <c r="AN11" s="97" t="str">
        <v>EIX</v>
      </c>
    </row>
    <row r="12" spans="2:40" x14ac:dyDescent="0.25">
      <c r="B12" s="9" t="s">
        <v>130</v>
      </c>
      <c r="C12" s="10" t="s">
        <v>131</v>
      </c>
      <c r="D12" s="3" t="s">
        <v>123</v>
      </c>
      <c r="E12" s="3" t="s">
        <v>120</v>
      </c>
      <c r="F12" s="11">
        <v>725.84999999999991</v>
      </c>
      <c r="G12" s="12">
        <v>0</v>
      </c>
      <c r="H12" s="12">
        <v>0</v>
      </c>
      <c r="I12" s="13">
        <f t="shared" si="7"/>
        <v>0</v>
      </c>
      <c r="J12" s="13">
        <f t="shared" si="8"/>
        <v>0</v>
      </c>
      <c r="K12" s="3" t="str">
        <f t="shared" si="9"/>
        <v>No</v>
      </c>
      <c r="L12" s="14">
        <v>1</v>
      </c>
      <c r="M12" s="14">
        <v>1</v>
      </c>
      <c r="N12" s="14">
        <v>0.37563768603515779</v>
      </c>
      <c r="O12" s="14">
        <v>0.48345008535244083</v>
      </c>
      <c r="Q12" s="9" t="s">
        <v>130</v>
      </c>
      <c r="R12" s="4">
        <v>1</v>
      </c>
      <c r="S12" s="4">
        <f t="shared" si="0"/>
        <v>1</v>
      </c>
      <c r="T12" s="4">
        <f t="shared" si="1"/>
        <v>0</v>
      </c>
      <c r="U12" s="4">
        <f t="shared" si="2"/>
        <v>1</v>
      </c>
      <c r="V12" s="4">
        <f t="shared" si="3"/>
        <v>1</v>
      </c>
      <c r="W12" s="4">
        <f t="shared" si="4"/>
        <v>0</v>
      </c>
      <c r="X12" s="4">
        <f t="shared" si="5"/>
        <v>0</v>
      </c>
      <c r="Y12" s="3" t="str">
        <f t="shared" si="6"/>
        <v>No</v>
      </c>
      <c r="AA12" s="35">
        <f t="shared" si="10"/>
        <v>0</v>
      </c>
      <c r="AB12" s="3" t="str">
        <f t="shared" si="11"/>
        <v>No</v>
      </c>
      <c r="AD12" s="35">
        <f t="shared" si="12"/>
        <v>0</v>
      </c>
      <c r="AE12" s="3" t="str">
        <f t="shared" si="13"/>
        <v>No</v>
      </c>
      <c r="AG12" s="37" t="str">
        <v>Edison International</v>
      </c>
      <c r="AH12" s="97" t="str">
        <v>EIX</v>
      </c>
      <c r="AM12" s="37" t="str">
        <v>Entergy Corporation</v>
      </c>
      <c r="AN12" s="97" t="str">
        <v>ETR</v>
      </c>
    </row>
    <row r="13" spans="2:40" x14ac:dyDescent="0.25">
      <c r="B13" s="9" t="s">
        <v>132</v>
      </c>
      <c r="C13" s="10" t="s">
        <v>133</v>
      </c>
      <c r="D13" s="3" t="s">
        <v>123</v>
      </c>
      <c r="E13" s="3" t="s">
        <v>120</v>
      </c>
      <c r="F13" s="11">
        <v>780.34269999999992</v>
      </c>
      <c r="G13" s="12">
        <v>0</v>
      </c>
      <c r="H13" s="12">
        <v>0</v>
      </c>
      <c r="I13" s="13">
        <f t="shared" si="7"/>
        <v>0</v>
      </c>
      <c r="J13" s="13">
        <f t="shared" si="8"/>
        <v>0</v>
      </c>
      <c r="K13" s="3" t="str">
        <f t="shared" si="9"/>
        <v>No</v>
      </c>
      <c r="L13" s="14">
        <v>0.98519856627845337</v>
      </c>
      <c r="M13" s="14">
        <v>1</v>
      </c>
      <c r="N13" s="14">
        <v>0.49534511966086603</v>
      </c>
      <c r="O13" s="14">
        <v>0.59524250098976383</v>
      </c>
      <c r="Q13" s="9" t="s">
        <v>132</v>
      </c>
      <c r="R13" s="4">
        <v>1</v>
      </c>
      <c r="S13" s="4">
        <f t="shared" si="0"/>
        <v>1</v>
      </c>
      <c r="T13" s="4">
        <f t="shared" si="1"/>
        <v>0</v>
      </c>
      <c r="U13" s="4">
        <f t="shared" si="2"/>
        <v>1</v>
      </c>
      <c r="V13" s="4">
        <f t="shared" si="3"/>
        <v>1</v>
      </c>
      <c r="W13" s="4">
        <f t="shared" si="4"/>
        <v>0</v>
      </c>
      <c r="X13" s="4">
        <f t="shared" si="5"/>
        <v>0</v>
      </c>
      <c r="Y13" s="3" t="str">
        <f t="shared" si="6"/>
        <v>No</v>
      </c>
      <c r="AA13" s="35">
        <f t="shared" si="10"/>
        <v>0</v>
      </c>
      <c r="AB13" s="3" t="str">
        <f t="shared" si="11"/>
        <v>No</v>
      </c>
      <c r="AD13" s="35">
        <f t="shared" si="12"/>
        <v>0</v>
      </c>
      <c r="AE13" s="3" t="str">
        <f t="shared" si="13"/>
        <v>No</v>
      </c>
      <c r="AG13" s="37" t="str">
        <v>Entergy Corporation</v>
      </c>
      <c r="AH13" s="97" t="str">
        <v>ETR</v>
      </c>
      <c r="AM13" s="37" t="str">
        <v xml:space="preserve">Evergy, Inc. </v>
      </c>
      <c r="AN13" s="97" t="str">
        <v>EVRG</v>
      </c>
    </row>
    <row r="14" spans="2:40" x14ac:dyDescent="0.25">
      <c r="B14" s="9" t="s">
        <v>134</v>
      </c>
      <c r="C14" s="10" t="s">
        <v>135</v>
      </c>
      <c r="D14" s="3" t="s">
        <v>123</v>
      </c>
      <c r="E14" s="3" t="s">
        <v>120</v>
      </c>
      <c r="F14" s="11">
        <v>7307.9594680000009</v>
      </c>
      <c r="G14" s="12">
        <v>128.1</v>
      </c>
      <c r="H14" s="12">
        <v>0</v>
      </c>
      <c r="I14" s="13">
        <f t="shared" si="7"/>
        <v>1.7528832851485099E-2</v>
      </c>
      <c r="J14" s="13">
        <f t="shared" si="8"/>
        <v>0</v>
      </c>
      <c r="K14" s="3" t="str">
        <f t="shared" si="9"/>
        <v>No</v>
      </c>
      <c r="L14" s="14">
        <v>0.95546027969151048</v>
      </c>
      <c r="M14" s="14">
        <v>1</v>
      </c>
      <c r="N14" s="14">
        <v>0.67669591446840649</v>
      </c>
      <c r="O14" s="14">
        <v>0.63149922281528015</v>
      </c>
      <c r="Q14" s="9" t="s">
        <v>134</v>
      </c>
      <c r="R14" s="4">
        <v>1</v>
      </c>
      <c r="S14" s="4">
        <f t="shared" si="0"/>
        <v>1</v>
      </c>
      <c r="T14" s="4">
        <f t="shared" si="1"/>
        <v>0</v>
      </c>
      <c r="U14" s="4">
        <f t="shared" si="2"/>
        <v>1</v>
      </c>
      <c r="V14" s="4">
        <f t="shared" si="3"/>
        <v>1</v>
      </c>
      <c r="W14" s="4">
        <f t="shared" si="4"/>
        <v>0</v>
      </c>
      <c r="X14" s="4">
        <f t="shared" si="5"/>
        <v>0</v>
      </c>
      <c r="Y14" s="3" t="str">
        <f t="shared" si="6"/>
        <v>No</v>
      </c>
      <c r="AA14" s="35">
        <f t="shared" si="10"/>
        <v>1.7528832851485099E-2</v>
      </c>
      <c r="AB14" s="3" t="str">
        <f t="shared" si="11"/>
        <v>No</v>
      </c>
      <c r="AD14" s="35">
        <f t="shared" si="12"/>
        <v>0</v>
      </c>
      <c r="AE14" s="3" t="str">
        <f t="shared" si="13"/>
        <v>No</v>
      </c>
      <c r="AG14" s="37" t="str">
        <v xml:space="preserve">Evergy, Inc. </v>
      </c>
      <c r="AH14" s="97" t="str">
        <v>EVRG</v>
      </c>
      <c r="AM14" s="37" t="str">
        <v>NextEra Energy, Inc.</v>
      </c>
      <c r="AN14" s="97" t="str">
        <v>NEE</v>
      </c>
    </row>
    <row r="15" spans="2:40" x14ac:dyDescent="0.25">
      <c r="B15" s="9" t="s">
        <v>136</v>
      </c>
      <c r="C15" s="10" t="s">
        <v>137</v>
      </c>
      <c r="D15" s="3" t="s">
        <v>138</v>
      </c>
      <c r="E15" s="3" t="s">
        <v>120</v>
      </c>
      <c r="F15" s="11">
        <v>798.3</v>
      </c>
      <c r="G15" s="12">
        <v>0</v>
      </c>
      <c r="H15" s="12">
        <v>0</v>
      </c>
      <c r="I15" s="13">
        <f t="shared" si="7"/>
        <v>0</v>
      </c>
      <c r="J15" s="13">
        <f t="shared" si="8"/>
        <v>0</v>
      </c>
      <c r="K15" s="3" t="str">
        <f t="shared" si="9"/>
        <v>No</v>
      </c>
      <c r="L15" s="14">
        <v>0.96896296822410177</v>
      </c>
      <c r="M15" s="14">
        <v>0.86269857251639659</v>
      </c>
      <c r="N15" s="14">
        <v>0.7457946922120966</v>
      </c>
      <c r="O15" s="14">
        <v>0.70792463251356363</v>
      </c>
      <c r="Q15" s="9" t="s">
        <v>136</v>
      </c>
      <c r="R15" s="4">
        <v>1</v>
      </c>
      <c r="S15" s="4">
        <f t="shared" si="0"/>
        <v>1</v>
      </c>
      <c r="T15" s="4">
        <f t="shared" si="1"/>
        <v>0</v>
      </c>
      <c r="U15" s="4">
        <f t="shared" si="2"/>
        <v>1</v>
      </c>
      <c r="V15" s="4">
        <f t="shared" si="3"/>
        <v>1</v>
      </c>
      <c r="W15" s="4">
        <f t="shared" si="4"/>
        <v>0</v>
      </c>
      <c r="X15" s="4">
        <f t="shared" si="5"/>
        <v>0</v>
      </c>
      <c r="Y15" s="3" t="str">
        <f t="shared" si="6"/>
        <v>No</v>
      </c>
      <c r="AA15" s="35">
        <f t="shared" si="10"/>
        <v>0</v>
      </c>
      <c r="AB15" s="3" t="str">
        <f t="shared" si="11"/>
        <v>No</v>
      </c>
      <c r="AD15" s="35">
        <f t="shared" si="12"/>
        <v>0</v>
      </c>
      <c r="AE15" s="3" t="str">
        <f t="shared" si="13"/>
        <v>No</v>
      </c>
      <c r="AG15" s="37" t="str">
        <v>IDACORP, Inc.</v>
      </c>
      <c r="AH15" s="97" t="str">
        <v>IDA</v>
      </c>
      <c r="AM15" s="37" t="str">
        <v>Pinnacle West Capital Corporation</v>
      </c>
      <c r="AN15" s="97" t="str">
        <v>PNW</v>
      </c>
    </row>
    <row r="16" spans="2:40" x14ac:dyDescent="0.25">
      <c r="B16" s="9" t="s">
        <v>139</v>
      </c>
      <c r="C16" s="10" t="s">
        <v>140</v>
      </c>
      <c r="D16" s="3" t="s">
        <v>123</v>
      </c>
      <c r="E16" s="3" t="s">
        <v>120</v>
      </c>
      <c r="F16" s="11">
        <v>25742.815100000007</v>
      </c>
      <c r="G16" s="12">
        <v>549.1</v>
      </c>
      <c r="H16" s="12">
        <v>4147.4050999999999</v>
      </c>
      <c r="I16" s="13">
        <f t="shared" si="7"/>
        <v>2.1330223515453828E-2</v>
      </c>
      <c r="J16" s="13">
        <f t="shared" si="8"/>
        <v>0.16110922926995652</v>
      </c>
      <c r="K16" s="3" t="str">
        <f t="shared" si="9"/>
        <v>Yes</v>
      </c>
      <c r="L16" s="14">
        <v>0.92224686657048716</v>
      </c>
      <c r="M16" s="14">
        <v>0.94362210610266706</v>
      </c>
      <c r="N16" s="14">
        <v>1</v>
      </c>
      <c r="O16" s="14">
        <v>1</v>
      </c>
      <c r="Q16" s="9" t="s">
        <v>139</v>
      </c>
      <c r="R16" s="4">
        <v>1</v>
      </c>
      <c r="S16" s="4">
        <f t="shared" si="0"/>
        <v>1</v>
      </c>
      <c r="T16" s="4">
        <f t="shared" si="1"/>
        <v>1</v>
      </c>
      <c r="U16" s="4">
        <f t="shared" si="2"/>
        <v>1</v>
      </c>
      <c r="V16" s="4">
        <f t="shared" si="3"/>
        <v>1</v>
      </c>
      <c r="W16" s="4">
        <f t="shared" si="4"/>
        <v>1</v>
      </c>
      <c r="X16" s="4">
        <f t="shared" si="5"/>
        <v>1</v>
      </c>
      <c r="Y16" s="3" t="str">
        <f t="shared" si="6"/>
        <v>Yes</v>
      </c>
      <c r="AA16" s="35">
        <f t="shared" si="10"/>
        <v>2.1330223515453828E-2</v>
      </c>
      <c r="AB16" s="3" t="str">
        <f t="shared" si="11"/>
        <v>No</v>
      </c>
      <c r="AD16" s="35">
        <f t="shared" si="12"/>
        <v>0.16110922926995652</v>
      </c>
      <c r="AE16" s="3" t="str">
        <f t="shared" si="13"/>
        <v>Yes</v>
      </c>
      <c r="AG16" s="37" t="str">
        <v>NextEra Energy, Inc.</v>
      </c>
      <c r="AH16" s="97" t="str">
        <v>NEE</v>
      </c>
      <c r="AM16" s="37" t="str">
        <v>TXNM Energy, Inc.</v>
      </c>
      <c r="AN16" s="97" t="str">
        <v>TXNM</v>
      </c>
    </row>
    <row r="17" spans="2:40" x14ac:dyDescent="0.25">
      <c r="B17" s="9" t="s">
        <v>141</v>
      </c>
      <c r="C17" s="10" t="s">
        <v>142</v>
      </c>
      <c r="D17" s="3" t="s">
        <v>123</v>
      </c>
      <c r="E17" s="3" t="s">
        <v>120</v>
      </c>
      <c r="F17" s="11">
        <v>11675.391</v>
      </c>
      <c r="G17" s="12">
        <v>0</v>
      </c>
      <c r="H17" s="12">
        <v>1161</v>
      </c>
      <c r="I17" s="13">
        <f t="shared" si="7"/>
        <v>0</v>
      </c>
      <c r="J17" s="13">
        <f t="shared" si="8"/>
        <v>9.9439924538715668E-2</v>
      </c>
      <c r="K17" s="3" t="str">
        <f t="shared" si="9"/>
        <v>Yes</v>
      </c>
      <c r="L17" s="14">
        <v>0.55889777491573411</v>
      </c>
      <c r="M17" s="14">
        <v>0.88321301455689605</v>
      </c>
      <c r="N17" s="14">
        <v>0.77197935483449065</v>
      </c>
      <c r="O17" s="14">
        <v>0.74403193619665842</v>
      </c>
      <c r="Q17" s="9" t="s">
        <v>141</v>
      </c>
      <c r="R17" s="4">
        <v>1</v>
      </c>
      <c r="S17" s="4">
        <f t="shared" si="0"/>
        <v>1</v>
      </c>
      <c r="T17" s="4">
        <f t="shared" si="1"/>
        <v>1</v>
      </c>
      <c r="U17" s="4">
        <f t="shared" si="2"/>
        <v>0</v>
      </c>
      <c r="V17" s="4">
        <f t="shared" si="3"/>
        <v>1</v>
      </c>
      <c r="W17" s="4">
        <f t="shared" si="4"/>
        <v>0</v>
      </c>
      <c r="X17" s="4">
        <f t="shared" si="5"/>
        <v>0</v>
      </c>
      <c r="Y17" s="3" t="str">
        <f t="shared" si="6"/>
        <v>No</v>
      </c>
      <c r="AA17" s="35">
        <f t="shared" si="10"/>
        <v>0</v>
      </c>
      <c r="AB17" s="3" t="str">
        <f t="shared" si="11"/>
        <v>No</v>
      </c>
      <c r="AD17" s="35">
        <f t="shared" si="12"/>
        <v>9.9439924538715668E-2</v>
      </c>
      <c r="AE17" s="3" t="str">
        <f t="shared" si="13"/>
        <v>No</v>
      </c>
      <c r="AG17" s="37" t="str">
        <v>Pinnacle West Capital Corporation</v>
      </c>
      <c r="AH17" s="97" t="str">
        <v>PNW</v>
      </c>
      <c r="AM17" s="37" t="str">
        <v>Southern Company</v>
      </c>
      <c r="AN17" s="97" t="str">
        <v>SO</v>
      </c>
    </row>
    <row r="18" spans="2:40" ht="13" thickBot="1" x14ac:dyDescent="0.3">
      <c r="B18" s="9" t="s">
        <v>143</v>
      </c>
      <c r="C18" s="10" t="s">
        <v>144</v>
      </c>
      <c r="D18" s="3" t="s">
        <v>123</v>
      </c>
      <c r="E18" s="3" t="s">
        <v>120</v>
      </c>
      <c r="F18" s="11">
        <v>53725.788860000015</v>
      </c>
      <c r="G18" s="12">
        <v>1338.9137000000001</v>
      </c>
      <c r="H18" s="12">
        <v>9195.4814299999998</v>
      </c>
      <c r="I18" s="13">
        <f t="shared" si="7"/>
        <v>2.4921247847825453E-2</v>
      </c>
      <c r="J18" s="13">
        <f t="shared" si="8"/>
        <v>0.17115581967464102</v>
      </c>
      <c r="K18" s="3" t="str">
        <f t="shared" si="9"/>
        <v>Yes</v>
      </c>
      <c r="L18" s="14">
        <v>1.0039526391115308</v>
      </c>
      <c r="M18" s="14">
        <v>1</v>
      </c>
      <c r="N18" s="14">
        <v>0.91518862599892314</v>
      </c>
      <c r="O18" s="14">
        <v>0.90042300258597063</v>
      </c>
      <c r="Q18" s="9" t="s">
        <v>143</v>
      </c>
      <c r="R18" s="4">
        <v>1</v>
      </c>
      <c r="S18" s="4">
        <f t="shared" si="0"/>
        <v>1</v>
      </c>
      <c r="T18" s="4">
        <f t="shared" si="1"/>
        <v>1</v>
      </c>
      <c r="U18" s="4">
        <f t="shared" si="2"/>
        <v>1</v>
      </c>
      <c r="V18" s="4">
        <f t="shared" si="3"/>
        <v>1</v>
      </c>
      <c r="W18" s="4">
        <f t="shared" si="4"/>
        <v>1</v>
      </c>
      <c r="X18" s="4">
        <f t="shared" si="5"/>
        <v>1</v>
      </c>
      <c r="Y18" s="3" t="str">
        <f t="shared" si="6"/>
        <v>Yes</v>
      </c>
      <c r="AA18" s="35">
        <f t="shared" si="10"/>
        <v>2.4921247847825453E-2</v>
      </c>
      <c r="AB18" s="3" t="str">
        <f t="shared" si="11"/>
        <v>No</v>
      </c>
      <c r="AD18" s="35">
        <f t="shared" si="12"/>
        <v>0.17115581967464102</v>
      </c>
      <c r="AE18" s="3" t="str">
        <f t="shared" si="13"/>
        <v>Yes</v>
      </c>
      <c r="AG18" s="37" t="str">
        <v>TXNM Energy, Inc.</v>
      </c>
      <c r="AH18" s="97" t="str">
        <v>TXNM</v>
      </c>
      <c r="AM18" s="40" t="str">
        <v>Xcel Energy Inc.</v>
      </c>
      <c r="AN18" s="98" t="str">
        <v>XEL</v>
      </c>
    </row>
    <row r="19" spans="2:40" x14ac:dyDescent="0.25">
      <c r="B19" s="9" t="s">
        <v>145</v>
      </c>
      <c r="C19" s="10" t="s">
        <v>146</v>
      </c>
      <c r="D19" s="3" t="s">
        <v>119</v>
      </c>
      <c r="E19" s="3" t="s">
        <v>120</v>
      </c>
      <c r="F19" s="11">
        <v>3571.5940000000005</v>
      </c>
      <c r="G19" s="12">
        <v>938.51999999999987</v>
      </c>
      <c r="H19" s="12">
        <v>632.47400000000005</v>
      </c>
      <c r="I19" s="13">
        <f t="shared" si="7"/>
        <v>0.26277342833479944</v>
      </c>
      <c r="J19" s="13">
        <f t="shared" si="8"/>
        <v>0.17708451744515194</v>
      </c>
      <c r="K19" s="3" t="str">
        <f t="shared" si="9"/>
        <v>Yes</v>
      </c>
      <c r="L19" s="14">
        <v>0.99680059636230556</v>
      </c>
      <c r="M19" s="14">
        <v>1</v>
      </c>
      <c r="N19" s="14">
        <v>1</v>
      </c>
      <c r="O19" s="14">
        <v>1</v>
      </c>
      <c r="Q19" s="9" t="s">
        <v>145</v>
      </c>
      <c r="R19" s="4">
        <v>1</v>
      </c>
      <c r="S19" s="4">
        <f t="shared" si="0"/>
        <v>1</v>
      </c>
      <c r="T19" s="4">
        <f t="shared" si="1"/>
        <v>1</v>
      </c>
      <c r="U19" s="4">
        <f t="shared" si="2"/>
        <v>1</v>
      </c>
      <c r="V19" s="4">
        <f t="shared" si="3"/>
        <v>1</v>
      </c>
      <c r="W19" s="4">
        <f t="shared" si="4"/>
        <v>1</v>
      </c>
      <c r="X19" s="4">
        <f t="shared" si="5"/>
        <v>1</v>
      </c>
      <c r="Y19" s="3" t="str">
        <f t="shared" si="6"/>
        <v>Yes</v>
      </c>
      <c r="AA19" s="35">
        <f t="shared" si="10"/>
        <v>0.26277342833479944</v>
      </c>
      <c r="AB19" s="3" t="str">
        <f t="shared" si="11"/>
        <v>Yes</v>
      </c>
      <c r="AD19" s="35">
        <f t="shared" si="12"/>
        <v>0.17708451744515194</v>
      </c>
      <c r="AE19" s="3" t="str">
        <f t="shared" si="13"/>
        <v>Yes</v>
      </c>
      <c r="AG19" s="37" t="str">
        <v>Portland General Electric Company</v>
      </c>
      <c r="AH19" s="97" t="str">
        <v>POR</v>
      </c>
    </row>
    <row r="20" spans="2:40" x14ac:dyDescent="0.25">
      <c r="B20" s="9" t="s">
        <v>147</v>
      </c>
      <c r="C20" s="10" t="s">
        <v>148</v>
      </c>
      <c r="D20" s="3" t="s">
        <v>123</v>
      </c>
      <c r="E20" s="3" t="s">
        <v>120</v>
      </c>
      <c r="F20" s="11">
        <v>26239.351151999996</v>
      </c>
      <c r="G20" s="12">
        <v>72.5</v>
      </c>
      <c r="H20" s="12">
        <v>4027.5</v>
      </c>
      <c r="I20" s="13">
        <f t="shared" si="7"/>
        <v>2.7630256396211977E-3</v>
      </c>
      <c r="J20" s="13">
        <f t="shared" si="8"/>
        <v>0.15349083811826722</v>
      </c>
      <c r="K20" s="3" t="str">
        <f t="shared" si="9"/>
        <v>Yes</v>
      </c>
      <c r="L20" s="14">
        <v>0.9861952770948581</v>
      </c>
      <c r="M20" s="14">
        <v>0.98651895904828679</v>
      </c>
      <c r="N20" s="14">
        <v>0.9846318049517121</v>
      </c>
      <c r="O20" s="14">
        <v>0.99140170860557453</v>
      </c>
      <c r="Q20" s="9" t="s">
        <v>147</v>
      </c>
      <c r="R20" s="4">
        <v>1</v>
      </c>
      <c r="S20" s="4">
        <f t="shared" si="0"/>
        <v>1</v>
      </c>
      <c r="T20" s="4">
        <f t="shared" si="1"/>
        <v>1</v>
      </c>
      <c r="U20" s="4">
        <f t="shared" si="2"/>
        <v>1</v>
      </c>
      <c r="V20" s="4">
        <f t="shared" si="3"/>
        <v>1</v>
      </c>
      <c r="W20" s="4">
        <f t="shared" si="4"/>
        <v>1</v>
      </c>
      <c r="X20" s="4">
        <f t="shared" si="5"/>
        <v>1</v>
      </c>
      <c r="Y20" s="3" t="str">
        <f t="shared" si="6"/>
        <v>Yes</v>
      </c>
      <c r="AA20" s="35">
        <f t="shared" si="10"/>
        <v>2.7630256396211977E-3</v>
      </c>
      <c r="AB20" s="3" t="str">
        <f t="shared" si="11"/>
        <v>No</v>
      </c>
      <c r="AD20" s="35">
        <f t="shared" si="12"/>
        <v>0.15349083811826722</v>
      </c>
      <c r="AE20" s="3" t="str">
        <f t="shared" si="13"/>
        <v>Yes</v>
      </c>
      <c r="AG20" s="37" t="str">
        <v>Southern Company</v>
      </c>
      <c r="AH20" s="97" t="str">
        <v>SO</v>
      </c>
    </row>
    <row r="21" spans="2:40" x14ac:dyDescent="0.25">
      <c r="B21" s="9" t="s">
        <v>149</v>
      </c>
      <c r="C21" s="10" t="s">
        <v>150</v>
      </c>
      <c r="D21" s="3" t="s">
        <v>123</v>
      </c>
      <c r="E21" s="3" t="s">
        <v>151</v>
      </c>
      <c r="F21" s="11">
        <v>61.800000000000004</v>
      </c>
      <c r="G21" s="12">
        <v>0</v>
      </c>
      <c r="H21" s="12">
        <v>0</v>
      </c>
      <c r="I21" s="13">
        <f t="shared" si="7"/>
        <v>0</v>
      </c>
      <c r="J21" s="13">
        <f t="shared" si="8"/>
        <v>0</v>
      </c>
      <c r="K21" s="3" t="str">
        <f t="shared" si="9"/>
        <v>No</v>
      </c>
      <c r="L21" s="14">
        <v>1</v>
      </c>
      <c r="M21" s="14">
        <v>0.94196901646079978</v>
      </c>
      <c r="N21" s="14">
        <v>0.82164122717745391</v>
      </c>
      <c r="O21" s="14">
        <v>0.84614067815053462</v>
      </c>
      <c r="Q21" s="9" t="s">
        <v>149</v>
      </c>
      <c r="R21" s="4">
        <v>1</v>
      </c>
      <c r="S21" s="4">
        <f t="shared" si="0"/>
        <v>0</v>
      </c>
      <c r="T21" s="4">
        <f t="shared" si="1"/>
        <v>0</v>
      </c>
      <c r="U21" s="4">
        <f t="shared" si="2"/>
        <v>1</v>
      </c>
      <c r="V21" s="4">
        <f t="shared" si="3"/>
        <v>1</v>
      </c>
      <c r="W21" s="4">
        <f t="shared" si="4"/>
        <v>1</v>
      </c>
      <c r="X21" s="4">
        <f t="shared" si="5"/>
        <v>1</v>
      </c>
      <c r="Y21" s="3" t="str">
        <f t="shared" si="6"/>
        <v>No</v>
      </c>
      <c r="AA21" s="35">
        <f t="shared" si="10"/>
        <v>0</v>
      </c>
      <c r="AB21" s="3" t="str">
        <f t="shared" si="11"/>
        <v>No</v>
      </c>
      <c r="AD21" s="35">
        <f t="shared" si="12"/>
        <v>0</v>
      </c>
      <c r="AE21" s="3" t="str">
        <f t="shared" si="13"/>
        <v>No</v>
      </c>
      <c r="AG21" s="37" t="str">
        <v>Xcel Energy Inc.</v>
      </c>
      <c r="AH21" s="97" t="str">
        <v>XEL</v>
      </c>
    </row>
    <row r="22" spans="2:40" x14ac:dyDescent="0.25">
      <c r="B22" s="9" t="s">
        <v>152</v>
      </c>
      <c r="C22" s="10" t="s">
        <v>153</v>
      </c>
      <c r="D22" s="3" t="s">
        <v>138</v>
      </c>
      <c r="E22" s="3" t="s">
        <v>151</v>
      </c>
      <c r="F22" s="11">
        <v>0</v>
      </c>
      <c r="G22" s="12">
        <v>0</v>
      </c>
      <c r="H22" s="12">
        <v>0</v>
      </c>
      <c r="I22" s="13">
        <f t="shared" si="7"/>
        <v>0</v>
      </c>
      <c r="J22" s="13">
        <f t="shared" si="8"/>
        <v>0</v>
      </c>
      <c r="K22" s="3" t="str">
        <f t="shared" si="9"/>
        <v>No</v>
      </c>
      <c r="L22" s="14">
        <v>1</v>
      </c>
      <c r="M22" s="14">
        <v>0.99760747086516943</v>
      </c>
      <c r="N22" s="14">
        <v>0.91109415918984415</v>
      </c>
      <c r="O22" s="14">
        <v>0.89776056728167086</v>
      </c>
      <c r="Q22" s="9" t="s">
        <v>152</v>
      </c>
      <c r="R22" s="4">
        <v>1</v>
      </c>
      <c r="S22" s="4">
        <f t="shared" si="0"/>
        <v>0</v>
      </c>
      <c r="T22" s="4">
        <f t="shared" si="1"/>
        <v>0</v>
      </c>
      <c r="U22" s="4">
        <f t="shared" si="2"/>
        <v>1</v>
      </c>
      <c r="V22" s="4">
        <f t="shared" si="3"/>
        <v>1</v>
      </c>
      <c r="W22" s="4">
        <f t="shared" si="4"/>
        <v>1</v>
      </c>
      <c r="X22" s="4">
        <f t="shared" si="5"/>
        <v>1</v>
      </c>
      <c r="Y22" s="3" t="str">
        <f t="shared" si="6"/>
        <v>No</v>
      </c>
      <c r="AA22" s="35">
        <f t="shared" si="10"/>
        <v>0</v>
      </c>
      <c r="AB22" s="3" t="str">
        <f t="shared" si="11"/>
        <v>No</v>
      </c>
      <c r="AD22" s="35">
        <f t="shared" si="12"/>
        <v>0</v>
      </c>
      <c r="AE22" s="3" t="str">
        <f t="shared" si="13"/>
        <v>No</v>
      </c>
      <c r="AG22" s="37" t="str">
        <v>Algonquin Power &amp; Utilities Corporation</v>
      </c>
      <c r="AH22" s="97" t="str">
        <v>AQN</v>
      </c>
    </row>
    <row r="23" spans="2:40" x14ac:dyDescent="0.25">
      <c r="B23" s="9" t="s">
        <v>154</v>
      </c>
      <c r="C23" s="10" t="s">
        <v>155</v>
      </c>
      <c r="D23" s="3" t="s">
        <v>119</v>
      </c>
      <c r="E23" s="3" t="s">
        <v>120</v>
      </c>
      <c r="F23" s="11">
        <v>3183.0115000000001</v>
      </c>
      <c r="G23" s="12">
        <v>0</v>
      </c>
      <c r="H23" s="12">
        <v>0</v>
      </c>
      <c r="I23" s="13">
        <f t="shared" si="7"/>
        <v>0</v>
      </c>
      <c r="J23" s="13">
        <f t="shared" si="8"/>
        <v>0</v>
      </c>
      <c r="K23" s="3" t="str">
        <f t="shared" si="9"/>
        <v>No</v>
      </c>
      <c r="L23" s="14">
        <v>0.99971509971509975</v>
      </c>
      <c r="M23" s="14">
        <v>1</v>
      </c>
      <c r="N23" s="14">
        <v>1</v>
      </c>
      <c r="O23" s="14">
        <v>1</v>
      </c>
      <c r="Q23" s="9" t="s">
        <v>154</v>
      </c>
      <c r="R23" s="4">
        <v>1</v>
      </c>
      <c r="S23" s="4">
        <f t="shared" si="0"/>
        <v>1</v>
      </c>
      <c r="T23" s="4">
        <f t="shared" si="1"/>
        <v>0</v>
      </c>
      <c r="U23" s="4">
        <f t="shared" si="2"/>
        <v>1</v>
      </c>
      <c r="V23" s="4">
        <f t="shared" si="3"/>
        <v>1</v>
      </c>
      <c r="W23" s="4">
        <f t="shared" si="4"/>
        <v>1</v>
      </c>
      <c r="X23" s="4">
        <f t="shared" si="5"/>
        <v>1</v>
      </c>
      <c r="Y23" s="3" t="str">
        <f t="shared" si="6"/>
        <v>No</v>
      </c>
      <c r="AA23" s="35">
        <f t="shared" si="10"/>
        <v>0</v>
      </c>
      <c r="AB23" s="3" t="str">
        <f t="shared" si="11"/>
        <v>No</v>
      </c>
      <c r="AD23" s="35">
        <f t="shared" si="12"/>
        <v>0</v>
      </c>
      <c r="AE23" s="3" t="str">
        <f t="shared" si="13"/>
        <v>No</v>
      </c>
      <c r="AG23" s="37" t="str">
        <v>Emera Inc.</v>
      </c>
      <c r="AH23" s="97" t="str">
        <v>EMA</v>
      </c>
    </row>
    <row r="24" spans="2:40" ht="13" thickBot="1" x14ac:dyDescent="0.3">
      <c r="B24" s="9" t="s">
        <v>156</v>
      </c>
      <c r="C24" s="10" t="s">
        <v>157</v>
      </c>
      <c r="D24" s="3" t="s">
        <v>123</v>
      </c>
      <c r="E24" s="3" t="s">
        <v>120</v>
      </c>
      <c r="F24" s="11">
        <v>11863.38141</v>
      </c>
      <c r="G24" s="12">
        <v>5.3</v>
      </c>
      <c r="H24" s="12">
        <v>1179.7</v>
      </c>
      <c r="I24" s="13">
        <f t="shared" si="7"/>
        <v>4.4675289589294254E-4</v>
      </c>
      <c r="J24" s="13">
        <f t="shared" si="8"/>
        <v>9.9440451185831003E-2</v>
      </c>
      <c r="K24" s="3" t="str">
        <f t="shared" si="9"/>
        <v>Yes</v>
      </c>
      <c r="L24" s="14">
        <v>1</v>
      </c>
      <c r="M24" s="14">
        <v>1</v>
      </c>
      <c r="N24" s="14">
        <v>1</v>
      </c>
      <c r="O24" s="14">
        <v>1</v>
      </c>
      <c r="Q24" s="9" t="s">
        <v>156</v>
      </c>
      <c r="R24" s="4">
        <v>1</v>
      </c>
      <c r="S24" s="4">
        <f t="shared" si="0"/>
        <v>1</v>
      </c>
      <c r="T24" s="4">
        <f t="shared" si="1"/>
        <v>1</v>
      </c>
      <c r="U24" s="4">
        <f t="shared" si="2"/>
        <v>1</v>
      </c>
      <c r="V24" s="4">
        <f t="shared" si="3"/>
        <v>1</v>
      </c>
      <c r="W24" s="4">
        <f t="shared" si="4"/>
        <v>1</v>
      </c>
      <c r="X24" s="4">
        <f t="shared" si="5"/>
        <v>1</v>
      </c>
      <c r="Y24" s="3" t="str">
        <f t="shared" si="6"/>
        <v>Yes</v>
      </c>
      <c r="AA24" s="35">
        <f t="shared" si="10"/>
        <v>4.4675289589294254E-4</v>
      </c>
      <c r="AB24" s="3" t="str">
        <f t="shared" si="11"/>
        <v>No</v>
      </c>
      <c r="AD24" s="35">
        <f t="shared" si="12"/>
        <v>9.9440451185831003E-2</v>
      </c>
      <c r="AE24" s="3" t="str">
        <f t="shared" si="13"/>
        <v>Yes</v>
      </c>
      <c r="AG24" s="40" t="str">
        <v>Fortis Inc.</v>
      </c>
      <c r="AH24" s="98" t="str">
        <v>FTS</v>
      </c>
    </row>
    <row r="25" spans="2:40" x14ac:dyDescent="0.25">
      <c r="B25" s="9" t="s">
        <v>158</v>
      </c>
      <c r="C25" s="10" t="s">
        <v>159</v>
      </c>
      <c r="D25" s="3" t="s">
        <v>160</v>
      </c>
      <c r="E25" s="3" t="s">
        <v>120</v>
      </c>
      <c r="F25" s="11">
        <v>1687.9</v>
      </c>
      <c r="G25" s="12">
        <v>4.0999999999999996</v>
      </c>
      <c r="H25" s="12">
        <v>0</v>
      </c>
      <c r="I25" s="13">
        <f t="shared" si="7"/>
        <v>2.4290538539012969E-3</v>
      </c>
      <c r="J25" s="13">
        <f t="shared" si="8"/>
        <v>0</v>
      </c>
      <c r="K25" s="3" t="str">
        <f t="shared" si="9"/>
        <v>No</v>
      </c>
      <c r="L25" s="14">
        <v>0.99591595881795736</v>
      </c>
      <c r="M25" s="14">
        <v>0.94439640019686422</v>
      </c>
      <c r="N25" s="14">
        <v>1</v>
      </c>
      <c r="O25" s="14">
        <v>1</v>
      </c>
      <c r="Q25" s="9" t="s">
        <v>158</v>
      </c>
      <c r="R25" s="4">
        <v>0</v>
      </c>
      <c r="S25" s="4">
        <f t="shared" si="0"/>
        <v>1</v>
      </c>
      <c r="T25" s="4">
        <f t="shared" si="1"/>
        <v>0</v>
      </c>
      <c r="U25" s="4">
        <f t="shared" si="2"/>
        <v>1</v>
      </c>
      <c r="V25" s="4">
        <f t="shared" si="3"/>
        <v>1</v>
      </c>
      <c r="W25" s="4">
        <f t="shared" si="4"/>
        <v>1</v>
      </c>
      <c r="X25" s="4">
        <f t="shared" si="5"/>
        <v>1</v>
      </c>
      <c r="Y25" s="3" t="str">
        <f t="shared" si="6"/>
        <v>No</v>
      </c>
      <c r="AA25" s="35">
        <f t="shared" si="10"/>
        <v>2.4290538539012969E-3</v>
      </c>
      <c r="AB25" s="3" t="str">
        <f t="shared" si="11"/>
        <v>No</v>
      </c>
      <c r="AD25" s="35">
        <f t="shared" si="12"/>
        <v>0</v>
      </c>
      <c r="AE25" s="3" t="str">
        <f t="shared" si="13"/>
        <v>No</v>
      </c>
    </row>
    <row r="26" spans="2:40" x14ac:dyDescent="0.25">
      <c r="B26" s="9" t="s">
        <v>161</v>
      </c>
      <c r="C26" s="10" t="s">
        <v>162</v>
      </c>
      <c r="D26" s="3" t="s">
        <v>119</v>
      </c>
      <c r="E26" s="3" t="s">
        <v>120</v>
      </c>
      <c r="F26" s="11">
        <v>3922.76</v>
      </c>
      <c r="G26" s="12">
        <v>1937.3</v>
      </c>
      <c r="H26" s="12">
        <v>0</v>
      </c>
      <c r="I26" s="13">
        <f t="shared" si="7"/>
        <v>0.49386146488696731</v>
      </c>
      <c r="J26" s="13">
        <f t="shared" si="8"/>
        <v>0</v>
      </c>
      <c r="K26" s="3" t="str">
        <f t="shared" si="9"/>
        <v>Yes</v>
      </c>
      <c r="L26" s="14">
        <v>0.99808100545914236</v>
      </c>
      <c r="M26" s="14">
        <v>0.99988764195384905</v>
      </c>
      <c r="N26" s="14">
        <v>1</v>
      </c>
      <c r="O26" s="14">
        <v>1</v>
      </c>
      <c r="Q26" s="9" t="s">
        <v>161</v>
      </c>
      <c r="R26" s="4">
        <v>1</v>
      </c>
      <c r="S26" s="4">
        <f t="shared" si="0"/>
        <v>1</v>
      </c>
      <c r="T26" s="4">
        <f t="shared" si="1"/>
        <v>1</v>
      </c>
      <c r="U26" s="4">
        <f t="shared" si="2"/>
        <v>1</v>
      </c>
      <c r="V26" s="4">
        <f t="shared" si="3"/>
        <v>1</v>
      </c>
      <c r="W26" s="4">
        <f t="shared" si="4"/>
        <v>1</v>
      </c>
      <c r="X26" s="4">
        <f t="shared" si="5"/>
        <v>1</v>
      </c>
      <c r="Y26" s="3" t="str">
        <f t="shared" si="6"/>
        <v>Yes</v>
      </c>
      <c r="AA26" s="35">
        <f t="shared" si="10"/>
        <v>0.49386146488696731</v>
      </c>
      <c r="AB26" s="3" t="str">
        <f t="shared" si="11"/>
        <v>Yes</v>
      </c>
      <c r="AD26" s="35">
        <f t="shared" si="12"/>
        <v>0</v>
      </c>
      <c r="AE26" s="3" t="str">
        <f t="shared" si="13"/>
        <v>No</v>
      </c>
    </row>
    <row r="27" spans="2:40" x14ac:dyDescent="0.25">
      <c r="B27" s="9" t="s">
        <v>163</v>
      </c>
      <c r="C27" s="10" t="s">
        <v>164</v>
      </c>
      <c r="D27" s="3" t="s">
        <v>165</v>
      </c>
      <c r="E27" s="3" t="s">
        <v>120</v>
      </c>
      <c r="F27" s="11">
        <v>1220.8289199999999</v>
      </c>
      <c r="G27" s="12">
        <v>0</v>
      </c>
      <c r="H27" s="12">
        <v>0</v>
      </c>
      <c r="I27" s="13">
        <f t="shared" si="7"/>
        <v>0</v>
      </c>
      <c r="J27" s="13">
        <f t="shared" si="8"/>
        <v>0</v>
      </c>
      <c r="K27" s="3" t="str">
        <f t="shared" si="9"/>
        <v>No</v>
      </c>
      <c r="L27" s="14">
        <v>0.99901283725174983</v>
      </c>
      <c r="M27" s="14">
        <v>0.78886787516188861</v>
      </c>
      <c r="N27" s="14">
        <v>0.69919321379385435</v>
      </c>
      <c r="O27" s="14">
        <v>0.7850838285460906</v>
      </c>
      <c r="Q27" s="9" t="s">
        <v>163</v>
      </c>
      <c r="R27" s="4">
        <v>1</v>
      </c>
      <c r="S27" s="4">
        <f t="shared" si="0"/>
        <v>1</v>
      </c>
      <c r="T27" s="4">
        <f t="shared" si="1"/>
        <v>0</v>
      </c>
      <c r="U27" s="4">
        <f t="shared" si="2"/>
        <v>1</v>
      </c>
      <c r="V27" s="4">
        <f t="shared" si="3"/>
        <v>1</v>
      </c>
      <c r="W27" s="4">
        <f t="shared" si="4"/>
        <v>0</v>
      </c>
      <c r="X27" s="4">
        <f t="shared" si="5"/>
        <v>0</v>
      </c>
      <c r="Y27" s="3" t="str">
        <f t="shared" si="6"/>
        <v>No</v>
      </c>
      <c r="AA27" s="35">
        <f t="shared" si="10"/>
        <v>0</v>
      </c>
      <c r="AB27" s="3" t="str">
        <f t="shared" si="11"/>
        <v>No</v>
      </c>
      <c r="AD27" s="35">
        <f t="shared" si="12"/>
        <v>0</v>
      </c>
      <c r="AE27" s="3" t="str">
        <f t="shared" si="13"/>
        <v>No</v>
      </c>
    </row>
    <row r="28" spans="2:40" x14ac:dyDescent="0.25">
      <c r="B28" s="9" t="s">
        <v>166</v>
      </c>
      <c r="C28" s="10" t="s">
        <v>167</v>
      </c>
      <c r="D28" s="3" t="s">
        <v>138</v>
      </c>
      <c r="E28" s="3" t="s">
        <v>120</v>
      </c>
      <c r="F28" s="11">
        <v>39804.731970999994</v>
      </c>
      <c r="G28" s="12">
        <v>0</v>
      </c>
      <c r="H28" s="12">
        <v>3589.9191000000001</v>
      </c>
      <c r="I28" s="13">
        <f t="shared" si="7"/>
        <v>0</v>
      </c>
      <c r="J28" s="13">
        <f t="shared" si="8"/>
        <v>9.0188249543181442E-2</v>
      </c>
      <c r="K28" s="3" t="str">
        <f t="shared" si="9"/>
        <v>Yes</v>
      </c>
      <c r="L28" s="14">
        <v>0.73021409597163756</v>
      </c>
      <c r="M28" s="14">
        <v>0.85216492999592808</v>
      </c>
      <c r="N28" s="14">
        <v>1</v>
      </c>
      <c r="O28" s="14">
        <v>1</v>
      </c>
      <c r="Q28" s="9" t="s">
        <v>166</v>
      </c>
      <c r="R28" s="4">
        <v>1</v>
      </c>
      <c r="S28" s="4">
        <f t="shared" si="0"/>
        <v>1</v>
      </c>
      <c r="T28" s="4">
        <f t="shared" si="1"/>
        <v>1</v>
      </c>
      <c r="U28" s="4">
        <f t="shared" si="2"/>
        <v>1</v>
      </c>
      <c r="V28" s="4">
        <f t="shared" si="3"/>
        <v>1</v>
      </c>
      <c r="W28" s="4">
        <f t="shared" si="4"/>
        <v>1</v>
      </c>
      <c r="X28" s="4">
        <f t="shared" si="5"/>
        <v>1</v>
      </c>
      <c r="Y28" s="3" t="str">
        <f t="shared" si="6"/>
        <v>Yes</v>
      </c>
      <c r="AA28" s="35">
        <f t="shared" si="10"/>
        <v>0</v>
      </c>
      <c r="AB28" s="3" t="str">
        <f t="shared" si="11"/>
        <v>No</v>
      </c>
      <c r="AD28" s="35">
        <f t="shared" si="12"/>
        <v>9.0188249543181442E-2</v>
      </c>
      <c r="AE28" s="3" t="str">
        <f t="shared" si="13"/>
        <v>Yes</v>
      </c>
    </row>
    <row r="29" spans="2:40" x14ac:dyDescent="0.25">
      <c r="B29" s="9" t="s">
        <v>168</v>
      </c>
      <c r="C29" s="10" t="s">
        <v>169</v>
      </c>
      <c r="D29" s="3" t="s">
        <v>119</v>
      </c>
      <c r="E29" s="3" t="s">
        <v>120</v>
      </c>
      <c r="F29" s="11">
        <v>1527.9972</v>
      </c>
      <c r="G29" s="12">
        <v>470.70000000000005</v>
      </c>
      <c r="H29" s="12">
        <v>0</v>
      </c>
      <c r="I29" s="13">
        <f t="shared" si="7"/>
        <v>0.3080503027099788</v>
      </c>
      <c r="J29" s="13">
        <f t="shared" si="8"/>
        <v>0</v>
      </c>
      <c r="K29" s="3" t="str">
        <f t="shared" si="9"/>
        <v>Yes</v>
      </c>
      <c r="L29" s="14">
        <v>1</v>
      </c>
      <c r="M29" s="14">
        <v>0.99959838689099312</v>
      </c>
      <c r="N29" s="14">
        <v>0.76448575564581811</v>
      </c>
      <c r="O29" s="14">
        <v>0.85994544996355726</v>
      </c>
      <c r="Q29" s="9" t="s">
        <v>168</v>
      </c>
      <c r="R29" s="4">
        <v>1</v>
      </c>
      <c r="S29" s="4">
        <f t="shared" si="0"/>
        <v>1</v>
      </c>
      <c r="T29" s="4">
        <f t="shared" si="1"/>
        <v>1</v>
      </c>
      <c r="U29" s="4">
        <f t="shared" si="2"/>
        <v>1</v>
      </c>
      <c r="V29" s="4">
        <f t="shared" si="3"/>
        <v>1</v>
      </c>
      <c r="W29" s="4">
        <f t="shared" si="4"/>
        <v>0</v>
      </c>
      <c r="X29" s="4">
        <f t="shared" si="5"/>
        <v>1</v>
      </c>
      <c r="Y29" s="3" t="str">
        <f t="shared" si="6"/>
        <v>No</v>
      </c>
      <c r="AA29" s="35">
        <f t="shared" si="10"/>
        <v>0.3080503027099788</v>
      </c>
      <c r="AB29" s="3" t="str">
        <f t="shared" si="11"/>
        <v>No</v>
      </c>
      <c r="AD29" s="35">
        <f t="shared" si="12"/>
        <v>0</v>
      </c>
      <c r="AE29" s="3" t="str">
        <f t="shared" si="13"/>
        <v>No</v>
      </c>
    </row>
    <row r="30" spans="2:40" x14ac:dyDescent="0.25">
      <c r="B30" s="9" t="s">
        <v>170</v>
      </c>
      <c r="C30" s="10" t="s">
        <v>171</v>
      </c>
      <c r="D30" s="3" t="s">
        <v>123</v>
      </c>
      <c r="E30" s="3" t="s">
        <v>120</v>
      </c>
      <c r="F30" s="11">
        <v>7283.7659999999996</v>
      </c>
      <c r="G30" s="12">
        <v>0</v>
      </c>
      <c r="H30" s="12">
        <v>0</v>
      </c>
      <c r="I30" s="13">
        <f t="shared" si="7"/>
        <v>0</v>
      </c>
      <c r="J30" s="13">
        <f t="shared" si="8"/>
        <v>0</v>
      </c>
      <c r="K30" s="3" t="str">
        <f t="shared" si="9"/>
        <v>No</v>
      </c>
      <c r="L30" s="14">
        <v>1</v>
      </c>
      <c r="M30" s="14">
        <v>1</v>
      </c>
      <c r="N30" s="14">
        <v>1</v>
      </c>
      <c r="O30" s="14">
        <v>1</v>
      </c>
      <c r="Q30" s="9" t="s">
        <v>170</v>
      </c>
      <c r="R30" s="4">
        <v>1</v>
      </c>
      <c r="S30" s="4">
        <f t="shared" si="0"/>
        <v>1</v>
      </c>
      <c r="T30" s="4">
        <f t="shared" si="1"/>
        <v>0</v>
      </c>
      <c r="U30" s="4">
        <f t="shared" si="2"/>
        <v>1</v>
      </c>
      <c r="V30" s="4">
        <f t="shared" si="3"/>
        <v>1</v>
      </c>
      <c r="W30" s="4">
        <f t="shared" si="4"/>
        <v>1</v>
      </c>
      <c r="X30" s="4">
        <f t="shared" si="5"/>
        <v>1</v>
      </c>
      <c r="Y30" s="3" t="str">
        <f t="shared" si="6"/>
        <v>No</v>
      </c>
      <c r="AA30" s="35">
        <f t="shared" si="10"/>
        <v>0</v>
      </c>
      <c r="AB30" s="3" t="str">
        <f t="shared" si="11"/>
        <v>No</v>
      </c>
      <c r="AD30" s="35">
        <f t="shared" si="12"/>
        <v>0</v>
      </c>
      <c r="AE30" s="3" t="str">
        <f t="shared" si="13"/>
        <v>No</v>
      </c>
    </row>
    <row r="31" spans="2:40" x14ac:dyDescent="0.25">
      <c r="B31" s="9" t="s">
        <v>172</v>
      </c>
      <c r="C31" s="10" t="s">
        <v>173</v>
      </c>
      <c r="D31" s="3" t="s">
        <v>119</v>
      </c>
      <c r="E31" s="3" t="s">
        <v>120</v>
      </c>
      <c r="F31" s="11">
        <v>1228.6384</v>
      </c>
      <c r="G31" s="12">
        <v>4.1400000000000006</v>
      </c>
      <c r="H31" s="12">
        <v>0</v>
      </c>
      <c r="I31" s="13">
        <f t="shared" si="7"/>
        <v>3.369583760364319E-3</v>
      </c>
      <c r="J31" s="13">
        <f t="shared" si="8"/>
        <v>0</v>
      </c>
      <c r="K31" s="3" t="str">
        <f t="shared" si="9"/>
        <v>No</v>
      </c>
      <c r="L31" s="14">
        <v>0.38742699989780593</v>
      </c>
      <c r="M31" s="14">
        <v>0.29029370234282575</v>
      </c>
      <c r="N31" s="14">
        <v>1</v>
      </c>
      <c r="O31" s="14">
        <v>1</v>
      </c>
      <c r="Q31" s="9" t="s">
        <v>172</v>
      </c>
      <c r="R31" s="4">
        <v>1</v>
      </c>
      <c r="S31" s="4">
        <f t="shared" si="0"/>
        <v>1</v>
      </c>
      <c r="T31" s="4">
        <f t="shared" si="1"/>
        <v>0</v>
      </c>
      <c r="U31" s="4">
        <f t="shared" si="2"/>
        <v>0</v>
      </c>
      <c r="V31" s="4">
        <f t="shared" si="3"/>
        <v>0</v>
      </c>
      <c r="W31" s="4">
        <f t="shared" si="4"/>
        <v>1</v>
      </c>
      <c r="X31" s="4">
        <f t="shared" si="5"/>
        <v>1</v>
      </c>
      <c r="Y31" s="3" t="str">
        <f t="shared" si="6"/>
        <v>No</v>
      </c>
      <c r="AA31" s="35">
        <f t="shared" si="10"/>
        <v>3.369583760364319E-3</v>
      </c>
      <c r="AB31" s="3" t="str">
        <f t="shared" si="11"/>
        <v>No</v>
      </c>
      <c r="AD31" s="35">
        <f t="shared" si="12"/>
        <v>0</v>
      </c>
      <c r="AE31" s="3" t="str">
        <f t="shared" si="13"/>
        <v>No</v>
      </c>
    </row>
    <row r="32" spans="2:40" x14ac:dyDescent="0.25">
      <c r="B32" s="9" t="s">
        <v>174</v>
      </c>
      <c r="C32" s="10" t="s">
        <v>175</v>
      </c>
      <c r="D32" s="3" t="s">
        <v>176</v>
      </c>
      <c r="E32" s="3" t="s">
        <v>120</v>
      </c>
      <c r="F32" s="11">
        <v>7657.0999999999985</v>
      </c>
      <c r="G32" s="12">
        <v>2544.0600000000004</v>
      </c>
      <c r="H32" s="12">
        <v>2240</v>
      </c>
      <c r="I32" s="13">
        <f t="shared" si="7"/>
        <v>0.33224850139086609</v>
      </c>
      <c r="J32" s="13">
        <f t="shared" si="8"/>
        <v>0.29253895077770964</v>
      </c>
      <c r="K32" s="3" t="str">
        <f t="shared" si="9"/>
        <v>Yes</v>
      </c>
      <c r="L32" s="14">
        <v>1</v>
      </c>
      <c r="M32" s="14">
        <v>1</v>
      </c>
      <c r="N32" s="14">
        <v>0.71244011241742233</v>
      </c>
      <c r="O32" s="14">
        <v>0.58093472178941463</v>
      </c>
      <c r="Q32" s="9" t="s">
        <v>174</v>
      </c>
      <c r="R32" s="4">
        <v>0</v>
      </c>
      <c r="S32" s="4">
        <f t="shared" si="0"/>
        <v>1</v>
      </c>
      <c r="T32" s="4">
        <f t="shared" si="1"/>
        <v>1</v>
      </c>
      <c r="U32" s="4">
        <f t="shared" si="2"/>
        <v>1</v>
      </c>
      <c r="V32" s="4">
        <f t="shared" si="3"/>
        <v>1</v>
      </c>
      <c r="W32" s="4">
        <f t="shared" si="4"/>
        <v>0</v>
      </c>
      <c r="X32" s="4">
        <f t="shared" si="5"/>
        <v>0</v>
      </c>
      <c r="Y32" s="3" t="str">
        <f t="shared" si="6"/>
        <v>No</v>
      </c>
      <c r="AA32" s="35">
        <f t="shared" si="10"/>
        <v>0.33224850139086609</v>
      </c>
      <c r="AB32" s="3" t="str">
        <f t="shared" si="11"/>
        <v>No</v>
      </c>
      <c r="AD32" s="35">
        <f t="shared" si="12"/>
        <v>0.29253895077770964</v>
      </c>
      <c r="AE32" s="3" t="str">
        <f t="shared" si="13"/>
        <v>No</v>
      </c>
    </row>
    <row r="33" spans="2:31" x14ac:dyDescent="0.25">
      <c r="B33" s="9" t="s">
        <v>177</v>
      </c>
      <c r="C33" s="10" t="s">
        <v>178</v>
      </c>
      <c r="D33" s="3" t="s">
        <v>123</v>
      </c>
      <c r="E33" s="3" t="s">
        <v>120</v>
      </c>
      <c r="F33" s="11">
        <v>6370.9916000000003</v>
      </c>
      <c r="G33" s="12">
        <v>0</v>
      </c>
      <c r="H33" s="12">
        <v>1164.873</v>
      </c>
      <c r="I33" s="13">
        <f t="shared" si="7"/>
        <v>0</v>
      </c>
      <c r="J33" s="13">
        <f t="shared" si="8"/>
        <v>0.18284014061484558</v>
      </c>
      <c r="K33" s="3" t="str">
        <f t="shared" si="9"/>
        <v>Yes</v>
      </c>
      <c r="L33" s="14">
        <v>1</v>
      </c>
      <c r="M33" s="14">
        <v>1</v>
      </c>
      <c r="N33" s="14">
        <v>1</v>
      </c>
      <c r="O33" s="14">
        <v>1</v>
      </c>
      <c r="Q33" s="9" t="s">
        <v>177</v>
      </c>
      <c r="R33" s="4">
        <v>1</v>
      </c>
      <c r="S33" s="4">
        <f t="shared" si="0"/>
        <v>1</v>
      </c>
      <c r="T33" s="4">
        <f t="shared" si="1"/>
        <v>1</v>
      </c>
      <c r="U33" s="4">
        <f t="shared" si="2"/>
        <v>1</v>
      </c>
      <c r="V33" s="4">
        <f t="shared" si="3"/>
        <v>1</v>
      </c>
      <c r="W33" s="4">
        <f t="shared" si="4"/>
        <v>1</v>
      </c>
      <c r="X33" s="4">
        <f t="shared" si="5"/>
        <v>1</v>
      </c>
      <c r="Y33" s="3" t="str">
        <f t="shared" si="6"/>
        <v>Yes</v>
      </c>
      <c r="AA33" s="35">
        <f t="shared" si="10"/>
        <v>0</v>
      </c>
      <c r="AB33" s="3" t="str">
        <f t="shared" si="11"/>
        <v>No</v>
      </c>
      <c r="AD33" s="35">
        <f t="shared" si="12"/>
        <v>0.18284014061484558</v>
      </c>
      <c r="AE33" s="3" t="str">
        <f t="shared" si="13"/>
        <v>Yes</v>
      </c>
    </row>
    <row r="34" spans="2:31" x14ac:dyDescent="0.25">
      <c r="B34" s="9" t="s">
        <v>179</v>
      </c>
      <c r="C34" s="10" t="s">
        <v>180</v>
      </c>
      <c r="D34" s="3" t="s">
        <v>119</v>
      </c>
      <c r="E34" s="3" t="s">
        <v>120</v>
      </c>
      <c r="F34" s="11">
        <v>1606.1330699999999</v>
      </c>
      <c r="G34" s="12">
        <v>0</v>
      </c>
      <c r="H34" s="12">
        <v>302.58677</v>
      </c>
      <c r="I34" s="13">
        <f t="shared" si="7"/>
        <v>0</v>
      </c>
      <c r="J34" s="13">
        <f t="shared" si="8"/>
        <v>0.18839458302169199</v>
      </c>
      <c r="K34" s="3" t="str">
        <f t="shared" si="9"/>
        <v>Yes</v>
      </c>
      <c r="L34" s="14">
        <v>1</v>
      </c>
      <c r="M34" s="14">
        <v>1</v>
      </c>
      <c r="N34" s="14">
        <v>1</v>
      </c>
      <c r="O34" s="14">
        <v>1</v>
      </c>
      <c r="Q34" s="9" t="s">
        <v>179</v>
      </c>
      <c r="R34" s="4">
        <v>1</v>
      </c>
      <c r="S34" s="4">
        <f t="shared" si="0"/>
        <v>1</v>
      </c>
      <c r="T34" s="4">
        <f t="shared" si="1"/>
        <v>1</v>
      </c>
      <c r="U34" s="4">
        <f t="shared" si="2"/>
        <v>1</v>
      </c>
      <c r="V34" s="4">
        <f t="shared" si="3"/>
        <v>1</v>
      </c>
      <c r="W34" s="4">
        <f t="shared" si="4"/>
        <v>1</v>
      </c>
      <c r="X34" s="4">
        <f t="shared" si="5"/>
        <v>1</v>
      </c>
      <c r="Y34" s="3" t="str">
        <f t="shared" si="6"/>
        <v>Yes</v>
      </c>
      <c r="AA34" s="35">
        <f t="shared" si="10"/>
        <v>0</v>
      </c>
      <c r="AB34" s="3" t="str">
        <f t="shared" si="11"/>
        <v>No</v>
      </c>
      <c r="AD34" s="35">
        <f t="shared" si="12"/>
        <v>0.18839458302169199</v>
      </c>
      <c r="AE34" s="3" t="str">
        <f t="shared" si="13"/>
        <v>Yes</v>
      </c>
    </row>
    <row r="35" spans="2:31" x14ac:dyDescent="0.25">
      <c r="B35" s="9" t="s">
        <v>181</v>
      </c>
      <c r="C35" s="10" t="s">
        <v>182</v>
      </c>
      <c r="D35" s="3" t="s">
        <v>123</v>
      </c>
      <c r="E35" s="3" t="s">
        <v>120</v>
      </c>
      <c r="F35" s="11">
        <v>3792.3061000000002</v>
      </c>
      <c r="G35" s="12">
        <v>435.35610000000003</v>
      </c>
      <c r="H35" s="12">
        <v>0</v>
      </c>
      <c r="I35" s="13">
        <f t="shared" si="7"/>
        <v>0.11479983116341795</v>
      </c>
      <c r="J35" s="13">
        <f t="shared" si="8"/>
        <v>0</v>
      </c>
      <c r="K35" s="3" t="str">
        <f t="shared" si="9"/>
        <v>Yes</v>
      </c>
      <c r="L35" s="14">
        <v>1</v>
      </c>
      <c r="M35" s="14">
        <v>1</v>
      </c>
      <c r="N35" s="14">
        <v>1</v>
      </c>
      <c r="O35" s="14">
        <v>1</v>
      </c>
      <c r="Q35" s="9" t="s">
        <v>181</v>
      </c>
      <c r="R35" s="4">
        <v>1</v>
      </c>
      <c r="S35" s="4">
        <f t="shared" si="0"/>
        <v>1</v>
      </c>
      <c r="T35" s="4">
        <f t="shared" si="1"/>
        <v>1</v>
      </c>
      <c r="U35" s="4">
        <f t="shared" si="2"/>
        <v>1</v>
      </c>
      <c r="V35" s="4">
        <f t="shared" si="3"/>
        <v>1</v>
      </c>
      <c r="W35" s="4">
        <f t="shared" si="4"/>
        <v>1</v>
      </c>
      <c r="X35" s="4">
        <f t="shared" si="5"/>
        <v>1</v>
      </c>
      <c r="Y35" s="3" t="str">
        <f t="shared" si="6"/>
        <v>Yes</v>
      </c>
      <c r="AA35" s="35">
        <f t="shared" si="10"/>
        <v>0.11479983116341795</v>
      </c>
      <c r="AB35" s="3" t="str">
        <f t="shared" si="11"/>
        <v>Yes</v>
      </c>
      <c r="AD35" s="35">
        <f t="shared" si="12"/>
        <v>0</v>
      </c>
      <c r="AE35" s="3" t="str">
        <f t="shared" si="13"/>
        <v>No</v>
      </c>
    </row>
    <row r="36" spans="2:31" x14ac:dyDescent="0.25">
      <c r="B36" s="9" t="s">
        <v>183</v>
      </c>
      <c r="C36" s="10" t="s">
        <v>184</v>
      </c>
      <c r="D36" s="3" t="s">
        <v>138</v>
      </c>
      <c r="E36" s="3" t="s">
        <v>120</v>
      </c>
      <c r="F36" s="11">
        <v>8075.2075700000005</v>
      </c>
      <c r="G36" s="12">
        <v>132.30000000000001</v>
      </c>
      <c r="H36" s="12">
        <v>0</v>
      </c>
      <c r="I36" s="13">
        <f t="shared" si="7"/>
        <v>1.6383479787133198E-2</v>
      </c>
      <c r="J36" s="13">
        <f t="shared" si="8"/>
        <v>0</v>
      </c>
      <c r="K36" s="3" t="str">
        <f t="shared" si="9"/>
        <v>No</v>
      </c>
      <c r="L36" s="14">
        <v>0.99898967882710143</v>
      </c>
      <c r="M36" s="14">
        <v>1</v>
      </c>
      <c r="N36" s="14">
        <v>0.94190919461632883</v>
      </c>
      <c r="O36" s="14">
        <v>0.94282720367504158</v>
      </c>
      <c r="Q36" s="9" t="s">
        <v>183</v>
      </c>
      <c r="R36" s="4">
        <v>1</v>
      </c>
      <c r="S36" s="4">
        <f t="shared" si="0"/>
        <v>1</v>
      </c>
      <c r="T36" s="4">
        <f t="shared" si="1"/>
        <v>0</v>
      </c>
      <c r="U36" s="4">
        <f t="shared" si="2"/>
        <v>1</v>
      </c>
      <c r="V36" s="4">
        <f t="shared" si="3"/>
        <v>1</v>
      </c>
      <c r="W36" s="4">
        <f t="shared" si="4"/>
        <v>1</v>
      </c>
      <c r="X36" s="4">
        <f t="shared" si="5"/>
        <v>1</v>
      </c>
      <c r="Y36" s="3" t="str">
        <f t="shared" si="6"/>
        <v>No</v>
      </c>
      <c r="AA36" s="35">
        <f t="shared" si="10"/>
        <v>1.6383479787133198E-2</v>
      </c>
      <c r="AB36" s="3" t="str">
        <f t="shared" si="11"/>
        <v>No</v>
      </c>
      <c r="AD36" s="35">
        <f t="shared" si="12"/>
        <v>0</v>
      </c>
      <c r="AE36" s="3" t="str">
        <f t="shared" si="13"/>
        <v>No</v>
      </c>
    </row>
    <row r="37" spans="2:31" x14ac:dyDescent="0.25">
      <c r="B37" s="9" t="s">
        <v>185</v>
      </c>
      <c r="C37" s="10" t="s">
        <v>186</v>
      </c>
      <c r="D37" s="3" t="s">
        <v>123</v>
      </c>
      <c r="E37" s="3" t="s">
        <v>120</v>
      </c>
      <c r="F37" s="11">
        <v>86.97999999999999</v>
      </c>
      <c r="G37" s="12">
        <v>0</v>
      </c>
      <c r="H37" s="12">
        <v>0</v>
      </c>
      <c r="I37" s="13">
        <f t="shared" si="7"/>
        <v>0</v>
      </c>
      <c r="J37" s="13">
        <f t="shared" si="8"/>
        <v>0</v>
      </c>
      <c r="K37" s="3" t="str">
        <f t="shared" si="9"/>
        <v>No</v>
      </c>
      <c r="L37" s="14">
        <v>0.77518023346504517</v>
      </c>
      <c r="M37" s="14">
        <v>0.83573697405642644</v>
      </c>
      <c r="N37" s="14">
        <v>0.72144096245992595</v>
      </c>
      <c r="O37" s="14">
        <v>0.78457195411485225</v>
      </c>
      <c r="Q37" s="9" t="s">
        <v>185</v>
      </c>
      <c r="R37" s="4">
        <v>1</v>
      </c>
      <c r="S37" s="4">
        <f t="shared" si="0"/>
        <v>1</v>
      </c>
      <c r="T37" s="4">
        <f t="shared" si="1"/>
        <v>0</v>
      </c>
      <c r="U37" s="4">
        <f t="shared" si="2"/>
        <v>1</v>
      </c>
      <c r="V37" s="4">
        <f t="shared" si="3"/>
        <v>1</v>
      </c>
      <c r="W37" s="4">
        <f t="shared" si="4"/>
        <v>0</v>
      </c>
      <c r="X37" s="4">
        <f t="shared" si="5"/>
        <v>0</v>
      </c>
      <c r="Y37" s="3" t="str">
        <f t="shared" si="6"/>
        <v>No</v>
      </c>
      <c r="AA37" s="35">
        <f t="shared" si="10"/>
        <v>0</v>
      </c>
      <c r="AB37" s="3" t="str">
        <f t="shared" si="11"/>
        <v>No</v>
      </c>
      <c r="AD37" s="35">
        <f t="shared" si="12"/>
        <v>0</v>
      </c>
      <c r="AE37" s="3" t="str">
        <f t="shared" si="13"/>
        <v>No</v>
      </c>
    </row>
    <row r="38" spans="2:31" x14ac:dyDescent="0.25">
      <c r="B38" s="9" t="s">
        <v>187</v>
      </c>
      <c r="C38" s="10" t="s">
        <v>188</v>
      </c>
      <c r="D38" s="3" t="s">
        <v>123</v>
      </c>
      <c r="E38" s="3" t="s">
        <v>120</v>
      </c>
      <c r="F38" s="11">
        <v>1689.7</v>
      </c>
      <c r="G38" s="12">
        <v>0</v>
      </c>
      <c r="H38" s="12">
        <v>0</v>
      </c>
      <c r="I38" s="13">
        <f t="shared" si="7"/>
        <v>0</v>
      </c>
      <c r="J38" s="13">
        <f t="shared" si="8"/>
        <v>0</v>
      </c>
      <c r="K38" s="3" t="str">
        <f t="shared" si="9"/>
        <v>No</v>
      </c>
      <c r="L38" s="14">
        <v>0.88319974878988416</v>
      </c>
      <c r="M38" s="14">
        <v>0.81467482743623043</v>
      </c>
      <c r="N38" s="14">
        <v>0.53609238456784325</v>
      </c>
      <c r="O38" s="14">
        <v>0.50801071026172206</v>
      </c>
      <c r="Q38" s="9" t="s">
        <v>187</v>
      </c>
      <c r="R38" s="4">
        <v>1</v>
      </c>
      <c r="S38" s="4">
        <f t="shared" si="0"/>
        <v>1</v>
      </c>
      <c r="T38" s="4">
        <f t="shared" si="1"/>
        <v>0</v>
      </c>
      <c r="U38" s="4">
        <f t="shared" si="2"/>
        <v>1</v>
      </c>
      <c r="V38" s="4">
        <f t="shared" si="3"/>
        <v>1</v>
      </c>
      <c r="W38" s="4">
        <f t="shared" si="4"/>
        <v>0</v>
      </c>
      <c r="X38" s="4">
        <f t="shared" si="5"/>
        <v>0</v>
      </c>
      <c r="Y38" s="3" t="str">
        <f t="shared" si="6"/>
        <v>No</v>
      </c>
      <c r="AA38" s="35">
        <f t="shared" si="10"/>
        <v>0</v>
      </c>
      <c r="AB38" s="3" t="str">
        <f t="shared" si="11"/>
        <v>No</v>
      </c>
      <c r="AD38" s="35">
        <f t="shared" si="12"/>
        <v>0</v>
      </c>
      <c r="AE38" s="3" t="str">
        <f t="shared" si="13"/>
        <v>No</v>
      </c>
    </row>
    <row r="39" spans="2:31" x14ac:dyDescent="0.25">
      <c r="B39" s="9" t="s">
        <v>189</v>
      </c>
      <c r="C39" s="10" t="s">
        <v>190</v>
      </c>
      <c r="D39" s="3" t="s">
        <v>138</v>
      </c>
      <c r="E39" s="3" t="s">
        <v>120</v>
      </c>
      <c r="F39" s="11">
        <v>33460.603680000015</v>
      </c>
      <c r="G39" s="12">
        <v>2410.8200000000006</v>
      </c>
      <c r="H39" s="12">
        <v>4742.4690000000001</v>
      </c>
      <c r="I39" s="13">
        <f t="shared" si="7"/>
        <v>7.2049507027901888E-2</v>
      </c>
      <c r="J39" s="13">
        <f t="shared" si="8"/>
        <v>0.14173291807148883</v>
      </c>
      <c r="K39" s="3" t="str">
        <f t="shared" si="9"/>
        <v>Yes</v>
      </c>
      <c r="L39" s="14">
        <v>0.9093587206866437</v>
      </c>
      <c r="M39" s="14">
        <v>0.95766527193083417</v>
      </c>
      <c r="N39" s="14">
        <v>0.79587686315617712</v>
      </c>
      <c r="O39" s="14">
        <v>0.84674556289475056</v>
      </c>
      <c r="Q39" s="9" t="s">
        <v>189</v>
      </c>
      <c r="R39" s="4">
        <v>1</v>
      </c>
      <c r="S39" s="4">
        <f t="shared" si="0"/>
        <v>1</v>
      </c>
      <c r="T39" s="4">
        <f t="shared" si="1"/>
        <v>1</v>
      </c>
      <c r="U39" s="4">
        <f t="shared" ref="U39:U50" si="14">IF(AND(ISNUMBER(L39), L39&gt;U$4), 1, 0)</f>
        <v>1</v>
      </c>
      <c r="V39" s="4">
        <f t="shared" ref="V39:V50" si="15">IF(AND(ISNUMBER(M39), M39&gt;V$4), 1, 0)</f>
        <v>1</v>
      </c>
      <c r="W39" s="29">
        <v>1</v>
      </c>
      <c r="X39" s="4">
        <f t="shared" ref="X39:X45" si="16">IF(AND(ISNUMBER(O39), O39&gt;X$4), 1, 0)</f>
        <v>1</v>
      </c>
      <c r="Y39" s="3" t="str">
        <f t="shared" si="6"/>
        <v>Yes</v>
      </c>
      <c r="AA39" s="35">
        <f t="shared" si="10"/>
        <v>7.2049507027901888E-2</v>
      </c>
      <c r="AB39" s="3" t="str">
        <f t="shared" si="11"/>
        <v>Yes</v>
      </c>
      <c r="AD39" s="35">
        <f t="shared" si="12"/>
        <v>0.14173291807148883</v>
      </c>
      <c r="AE39" s="3" t="str">
        <f t="shared" si="13"/>
        <v>Yes</v>
      </c>
    </row>
    <row r="40" spans="2:31" x14ac:dyDescent="0.25">
      <c r="B40" s="9" t="s">
        <v>191</v>
      </c>
      <c r="C40" s="10" t="s">
        <v>192</v>
      </c>
      <c r="D40" s="3" t="s">
        <v>123</v>
      </c>
      <c r="E40" s="3" t="s">
        <v>151</v>
      </c>
      <c r="F40" s="11">
        <v>1.3</v>
      </c>
      <c r="G40" s="12">
        <v>0</v>
      </c>
      <c r="H40" s="12">
        <v>0</v>
      </c>
      <c r="I40" s="13">
        <f t="shared" si="7"/>
        <v>0</v>
      </c>
      <c r="J40" s="13">
        <f t="shared" si="8"/>
        <v>0</v>
      </c>
      <c r="K40" s="3" t="str">
        <f t="shared" si="9"/>
        <v>No</v>
      </c>
      <c r="L40" s="14">
        <v>1</v>
      </c>
      <c r="M40" s="14">
        <v>1</v>
      </c>
      <c r="N40" s="14">
        <v>0.52697706801185429</v>
      </c>
      <c r="O40" s="14">
        <v>0.34032500341065769</v>
      </c>
      <c r="Q40" s="9" t="s">
        <v>191</v>
      </c>
      <c r="R40" s="4">
        <v>1</v>
      </c>
      <c r="S40" s="4">
        <f t="shared" si="0"/>
        <v>0</v>
      </c>
      <c r="T40" s="4">
        <f t="shared" si="1"/>
        <v>0</v>
      </c>
      <c r="U40" s="4">
        <f t="shared" si="14"/>
        <v>1</v>
      </c>
      <c r="V40" s="4">
        <f t="shared" si="15"/>
        <v>1</v>
      </c>
      <c r="W40" s="4">
        <f t="shared" ref="W40:W50" si="17">IF(AND(ISNUMBER(N40), N40&gt;W$4), 1, 0)</f>
        <v>0</v>
      </c>
      <c r="X40" s="4">
        <f t="shared" si="16"/>
        <v>0</v>
      </c>
      <c r="Y40" s="3" t="str">
        <f t="shared" si="6"/>
        <v>No</v>
      </c>
      <c r="AA40" s="35">
        <f t="shared" si="10"/>
        <v>0</v>
      </c>
      <c r="AB40" s="3" t="str">
        <f t="shared" si="11"/>
        <v>No</v>
      </c>
      <c r="AD40" s="35">
        <f t="shared" si="12"/>
        <v>0</v>
      </c>
      <c r="AE40" s="3" t="str">
        <f t="shared" si="13"/>
        <v>No</v>
      </c>
    </row>
    <row r="41" spans="2:31" x14ac:dyDescent="0.25">
      <c r="B41" s="9" t="s">
        <v>193</v>
      </c>
      <c r="C41" s="10" t="s">
        <v>194</v>
      </c>
      <c r="D41" s="3" t="s">
        <v>138</v>
      </c>
      <c r="E41" s="3" t="s">
        <v>120</v>
      </c>
      <c r="F41" s="11">
        <v>9320.5447440000007</v>
      </c>
      <c r="G41" s="12">
        <v>169.50000000000003</v>
      </c>
      <c r="H41" s="12">
        <v>0</v>
      </c>
      <c r="I41" s="13">
        <f t="shared" si="7"/>
        <v>1.8185632348271683E-2</v>
      </c>
      <c r="J41" s="13">
        <f t="shared" si="8"/>
        <v>0</v>
      </c>
      <c r="K41" s="3" t="str">
        <f t="shared" si="9"/>
        <v>No</v>
      </c>
      <c r="L41" s="14">
        <v>0.98002389221888153</v>
      </c>
      <c r="M41" s="14">
        <v>0.97557561777616308</v>
      </c>
      <c r="N41" s="14">
        <v>0.56262895436422478</v>
      </c>
      <c r="O41" s="14">
        <v>0.5730873128577173</v>
      </c>
      <c r="Q41" s="9" t="s">
        <v>193</v>
      </c>
      <c r="R41" s="4">
        <v>1</v>
      </c>
      <c r="S41" s="4">
        <f t="shared" si="0"/>
        <v>1</v>
      </c>
      <c r="T41" s="4">
        <f t="shared" si="1"/>
        <v>0</v>
      </c>
      <c r="U41" s="4">
        <f t="shared" si="14"/>
        <v>1</v>
      </c>
      <c r="V41" s="4">
        <f t="shared" si="15"/>
        <v>1</v>
      </c>
      <c r="W41" s="4">
        <f t="shared" si="17"/>
        <v>0</v>
      </c>
      <c r="X41" s="4">
        <f t="shared" si="16"/>
        <v>0</v>
      </c>
      <c r="Y41" s="3" t="str">
        <f t="shared" si="6"/>
        <v>No</v>
      </c>
      <c r="AA41" s="35">
        <f t="shared" si="10"/>
        <v>1.8185632348271683E-2</v>
      </c>
      <c r="AB41" s="3" t="str">
        <f t="shared" si="11"/>
        <v>No</v>
      </c>
      <c r="AD41" s="35">
        <f t="shared" si="12"/>
        <v>0</v>
      </c>
      <c r="AE41" s="3" t="str">
        <f t="shared" si="13"/>
        <v>No</v>
      </c>
    </row>
    <row r="42" spans="2:31" x14ac:dyDescent="0.25">
      <c r="B42" s="9" t="s">
        <v>195</v>
      </c>
      <c r="C42" s="10" t="s">
        <v>196</v>
      </c>
      <c r="D42" s="3" t="s">
        <v>123</v>
      </c>
      <c r="E42" s="10" t="s">
        <v>120</v>
      </c>
      <c r="F42" s="11">
        <v>21834.92348999999</v>
      </c>
      <c r="G42" s="12">
        <v>219.19999999999993</v>
      </c>
      <c r="H42" s="12">
        <v>1738</v>
      </c>
      <c r="I42" s="13">
        <f t="shared" si="7"/>
        <v>1.0038963502683655E-2</v>
      </c>
      <c r="J42" s="13">
        <f t="shared" si="8"/>
        <v>7.9597256239343966E-2</v>
      </c>
      <c r="K42" s="3" t="str">
        <f t="shared" si="9"/>
        <v>Yes</v>
      </c>
      <c r="L42" s="14">
        <v>0.99418439828461047</v>
      </c>
      <c r="M42" s="14">
        <v>1</v>
      </c>
      <c r="N42" s="14">
        <v>0.81380943522546068</v>
      </c>
      <c r="O42" s="14">
        <v>0.84500740088770065</v>
      </c>
      <c r="Q42" s="9" t="s">
        <v>195</v>
      </c>
      <c r="R42" s="4">
        <v>1</v>
      </c>
      <c r="S42" s="4">
        <f t="shared" si="0"/>
        <v>1</v>
      </c>
      <c r="T42" s="4">
        <f t="shared" si="1"/>
        <v>1</v>
      </c>
      <c r="U42" s="4">
        <f t="shared" si="14"/>
        <v>1</v>
      </c>
      <c r="V42" s="4">
        <f t="shared" si="15"/>
        <v>1</v>
      </c>
      <c r="W42" s="4">
        <f t="shared" si="17"/>
        <v>1</v>
      </c>
      <c r="X42" s="4">
        <f t="shared" si="16"/>
        <v>1</v>
      </c>
      <c r="Y42" s="3" t="str">
        <f t="shared" si="6"/>
        <v>Yes</v>
      </c>
      <c r="AA42" s="35">
        <f t="shared" si="10"/>
        <v>1.0038963502683655E-2</v>
      </c>
      <c r="AB42" s="3" t="str">
        <f t="shared" si="11"/>
        <v>No</v>
      </c>
      <c r="AD42" s="35">
        <f t="shared" si="12"/>
        <v>7.9597256239343966E-2</v>
      </c>
      <c r="AE42" s="3" t="str">
        <f t="shared" si="13"/>
        <v>Yes</v>
      </c>
    </row>
    <row r="43" spans="2:31" x14ac:dyDescent="0.25">
      <c r="B43" s="9" t="s">
        <v>197</v>
      </c>
      <c r="C43" s="10" t="s">
        <v>198</v>
      </c>
      <c r="D43" s="3" t="s">
        <v>119</v>
      </c>
      <c r="E43" s="10" t="s">
        <v>199</v>
      </c>
      <c r="F43" s="11">
        <v>1299.6880000000001</v>
      </c>
      <c r="G43" s="12">
        <v>16</v>
      </c>
      <c r="H43" s="12">
        <v>0</v>
      </c>
      <c r="I43" s="13">
        <f t="shared" si="7"/>
        <v>1.2310646862939412E-2</v>
      </c>
      <c r="J43" s="13">
        <f t="shared" si="8"/>
        <v>0</v>
      </c>
      <c r="K43" s="3" t="str">
        <f t="shared" si="9"/>
        <v>No</v>
      </c>
      <c r="L43" s="14">
        <v>0.98489536000690925</v>
      </c>
      <c r="M43" s="14">
        <v>0.99099512700473835</v>
      </c>
      <c r="N43" s="14">
        <v>0.56029240741085751</v>
      </c>
      <c r="O43" s="14">
        <v>0.54355560829108784</v>
      </c>
      <c r="Q43" s="9" t="s">
        <v>197</v>
      </c>
      <c r="R43" s="4">
        <v>1</v>
      </c>
      <c r="S43" s="4">
        <f t="shared" si="0"/>
        <v>0</v>
      </c>
      <c r="T43" s="4">
        <f t="shared" si="1"/>
        <v>0</v>
      </c>
      <c r="U43" s="4">
        <f t="shared" si="14"/>
        <v>1</v>
      </c>
      <c r="V43" s="4">
        <f t="shared" si="15"/>
        <v>1</v>
      </c>
      <c r="W43" s="4">
        <f t="shared" si="17"/>
        <v>0</v>
      </c>
      <c r="X43" s="4">
        <f t="shared" si="16"/>
        <v>0</v>
      </c>
      <c r="Y43" s="3" t="s">
        <v>120</v>
      </c>
      <c r="AA43" s="35">
        <f t="shared" si="10"/>
        <v>1.2310646862939412E-2</v>
      </c>
      <c r="AB43" s="3" t="str">
        <f t="shared" si="11"/>
        <v>No</v>
      </c>
      <c r="AD43" s="35">
        <f t="shared" si="12"/>
        <v>0</v>
      </c>
      <c r="AE43" s="3" t="str">
        <f t="shared" si="13"/>
        <v>No</v>
      </c>
    </row>
    <row r="44" spans="2:31" x14ac:dyDescent="0.25">
      <c r="B44" s="9" t="s">
        <v>200</v>
      </c>
      <c r="C44" s="10" t="s">
        <v>201</v>
      </c>
      <c r="D44" s="3" t="s">
        <v>202</v>
      </c>
      <c r="E44" s="10" t="s">
        <v>199</v>
      </c>
      <c r="F44" s="11">
        <v>10</v>
      </c>
      <c r="G44" s="12">
        <v>0</v>
      </c>
      <c r="H44" s="12">
        <v>0</v>
      </c>
      <c r="I44" s="13">
        <f t="shared" si="7"/>
        <v>0</v>
      </c>
      <c r="J44" s="13">
        <f t="shared" si="8"/>
        <v>0</v>
      </c>
      <c r="K44" s="3" t="str">
        <f t="shared" si="9"/>
        <v>No</v>
      </c>
      <c r="L44" s="14">
        <v>0.36063865576003123</v>
      </c>
      <c r="M44" s="14">
        <v>0.53566031710528783</v>
      </c>
      <c r="N44" s="14">
        <v>0</v>
      </c>
      <c r="O44" s="14">
        <v>0</v>
      </c>
      <c r="Q44" s="9" t="s">
        <v>200</v>
      </c>
      <c r="R44" s="4">
        <v>1</v>
      </c>
      <c r="S44" s="4">
        <f t="shared" si="0"/>
        <v>0</v>
      </c>
      <c r="T44" s="4">
        <f t="shared" si="1"/>
        <v>0</v>
      </c>
      <c r="U44" s="4">
        <f t="shared" si="14"/>
        <v>0</v>
      </c>
      <c r="V44" s="4">
        <f t="shared" si="15"/>
        <v>0</v>
      </c>
      <c r="W44" s="4">
        <f t="shared" si="17"/>
        <v>0</v>
      </c>
      <c r="X44" s="4">
        <f t="shared" si="16"/>
        <v>0</v>
      </c>
      <c r="Y44" s="3" t="str">
        <f>IF(SUM(R44:X44)=7, "Yes", "No")</f>
        <v>No</v>
      </c>
      <c r="AA44" s="35">
        <f t="shared" si="10"/>
        <v>0</v>
      </c>
      <c r="AB44" s="3" t="str">
        <f t="shared" si="11"/>
        <v>No</v>
      </c>
      <c r="AD44" s="35">
        <f t="shared" si="12"/>
        <v>0</v>
      </c>
      <c r="AE44" s="3" t="str">
        <f t="shared" si="13"/>
        <v>No</v>
      </c>
    </row>
    <row r="45" spans="2:31" x14ac:dyDescent="0.25">
      <c r="B45" s="9" t="s">
        <v>203</v>
      </c>
      <c r="C45" s="10" t="s">
        <v>204</v>
      </c>
      <c r="D45" s="3" t="s">
        <v>205</v>
      </c>
      <c r="E45" s="10" t="s">
        <v>151</v>
      </c>
      <c r="F45" s="11">
        <v>0</v>
      </c>
      <c r="G45" s="12">
        <v>0</v>
      </c>
      <c r="H45" s="12">
        <v>0</v>
      </c>
      <c r="I45" s="13">
        <f t="shared" si="7"/>
        <v>0</v>
      </c>
      <c r="J45" s="13">
        <f t="shared" si="8"/>
        <v>0</v>
      </c>
      <c r="K45" s="3" t="str">
        <f t="shared" si="9"/>
        <v>No</v>
      </c>
      <c r="L45" s="14">
        <v>0.85114414078134426</v>
      </c>
      <c r="M45" s="14">
        <v>0.86804648625415348</v>
      </c>
      <c r="N45" s="14">
        <v>0.50951638900232243</v>
      </c>
      <c r="O45" s="14">
        <v>0.57308204688478193</v>
      </c>
      <c r="Q45" s="9" t="s">
        <v>203</v>
      </c>
      <c r="R45" s="4">
        <v>0</v>
      </c>
      <c r="S45" s="4">
        <f t="shared" si="0"/>
        <v>0</v>
      </c>
      <c r="T45" s="4">
        <f t="shared" si="1"/>
        <v>0</v>
      </c>
      <c r="U45" s="4">
        <f t="shared" si="14"/>
        <v>1</v>
      </c>
      <c r="V45" s="4">
        <f t="shared" si="15"/>
        <v>1</v>
      </c>
      <c r="W45" s="4">
        <f t="shared" si="17"/>
        <v>0</v>
      </c>
      <c r="X45" s="4">
        <f t="shared" si="16"/>
        <v>0</v>
      </c>
      <c r="Y45" s="3" t="str">
        <f>IF(SUM(R45:X45)=7, "Yes", "No")</f>
        <v>No</v>
      </c>
      <c r="AA45" s="35">
        <f t="shared" si="10"/>
        <v>0</v>
      </c>
      <c r="AB45" s="3" t="str">
        <f t="shared" si="11"/>
        <v>No</v>
      </c>
      <c r="AD45" s="35">
        <f t="shared" si="12"/>
        <v>0</v>
      </c>
      <c r="AE45" s="3" t="str">
        <f t="shared" si="13"/>
        <v>No</v>
      </c>
    </row>
    <row r="46" spans="2:31" x14ac:dyDescent="0.25">
      <c r="B46" s="9" t="s">
        <v>206</v>
      </c>
      <c r="C46" s="10" t="s">
        <v>207</v>
      </c>
      <c r="D46" s="3" t="s">
        <v>119</v>
      </c>
      <c r="E46" s="10" t="s">
        <v>120</v>
      </c>
      <c r="F46" s="15">
        <v>8036.9</v>
      </c>
      <c r="G46" s="16">
        <v>0</v>
      </c>
      <c r="H46" s="16">
        <v>0</v>
      </c>
      <c r="I46" s="13">
        <f t="shared" si="7"/>
        <v>0</v>
      </c>
      <c r="J46" s="13">
        <f t="shared" si="8"/>
        <v>0</v>
      </c>
      <c r="K46" s="3" t="str">
        <f t="shared" si="9"/>
        <v>No</v>
      </c>
      <c r="L46" s="14">
        <v>0.96964745246704453</v>
      </c>
      <c r="M46" s="14">
        <v>0.9530611303183858</v>
      </c>
      <c r="N46" s="14">
        <v>0.76231482837024622</v>
      </c>
      <c r="O46" s="14">
        <v>0.7917572454407672</v>
      </c>
      <c r="Q46" s="9" t="s">
        <v>206</v>
      </c>
      <c r="R46" s="4">
        <v>1</v>
      </c>
      <c r="S46" s="4">
        <f t="shared" si="0"/>
        <v>1</v>
      </c>
      <c r="T46" s="4">
        <f t="shared" si="1"/>
        <v>0</v>
      </c>
      <c r="U46" s="4">
        <f t="shared" si="14"/>
        <v>1</v>
      </c>
      <c r="V46" s="4">
        <f t="shared" si="15"/>
        <v>1</v>
      </c>
      <c r="W46" s="4">
        <f t="shared" si="17"/>
        <v>0</v>
      </c>
      <c r="X46" s="4">
        <v>1</v>
      </c>
      <c r="Y46" s="3" t="s">
        <v>120</v>
      </c>
      <c r="AA46" s="35">
        <f t="shared" si="10"/>
        <v>0</v>
      </c>
      <c r="AB46" s="3" t="str">
        <f t="shared" si="11"/>
        <v>No</v>
      </c>
      <c r="AD46" s="35">
        <f t="shared" si="12"/>
        <v>0</v>
      </c>
      <c r="AE46" s="3" t="str">
        <f t="shared" si="13"/>
        <v>No</v>
      </c>
    </row>
    <row r="47" spans="2:31" x14ac:dyDescent="0.25">
      <c r="B47" s="9" t="s">
        <v>208</v>
      </c>
      <c r="C47" s="10" t="s">
        <v>209</v>
      </c>
      <c r="D47" s="3" t="s">
        <v>123</v>
      </c>
      <c r="E47" s="10" t="s">
        <v>151</v>
      </c>
      <c r="F47" s="15">
        <v>26.002268000000004</v>
      </c>
      <c r="G47" s="16">
        <v>0</v>
      </c>
      <c r="H47" s="16">
        <v>0</v>
      </c>
      <c r="I47" s="13">
        <f t="shared" si="7"/>
        <v>0</v>
      </c>
      <c r="J47" s="13">
        <f t="shared" si="8"/>
        <v>0</v>
      </c>
      <c r="K47" s="3" t="str">
        <f t="shared" si="9"/>
        <v>No</v>
      </c>
      <c r="L47" s="14">
        <v>0.95094557976949279</v>
      </c>
      <c r="M47" s="14">
        <v>0.97668841477588975</v>
      </c>
      <c r="N47" s="14">
        <v>0</v>
      </c>
      <c r="O47" s="14">
        <v>0</v>
      </c>
      <c r="Q47" s="9" t="s">
        <v>208</v>
      </c>
      <c r="R47" s="4">
        <v>1</v>
      </c>
      <c r="S47" s="4">
        <f t="shared" si="0"/>
        <v>0</v>
      </c>
      <c r="T47" s="4">
        <f t="shared" si="1"/>
        <v>0</v>
      </c>
      <c r="U47" s="4">
        <f t="shared" si="14"/>
        <v>1</v>
      </c>
      <c r="V47" s="4">
        <f t="shared" si="15"/>
        <v>1</v>
      </c>
      <c r="W47" s="4">
        <f t="shared" si="17"/>
        <v>0</v>
      </c>
      <c r="X47" s="4">
        <f>IF(AND(ISNUMBER(O47), O47&gt;X$4), 1, 0)</f>
        <v>0</v>
      </c>
      <c r="Y47" s="3" t="str">
        <f>IF(SUM(R47:X47)=7, "Yes", "No")</f>
        <v>No</v>
      </c>
      <c r="AA47" s="35">
        <f t="shared" si="10"/>
        <v>0</v>
      </c>
      <c r="AB47" s="3" t="str">
        <f t="shared" si="11"/>
        <v>No</v>
      </c>
      <c r="AD47" s="35">
        <f t="shared" si="12"/>
        <v>0</v>
      </c>
      <c r="AE47" s="3" t="str">
        <f t="shared" si="13"/>
        <v>No</v>
      </c>
    </row>
    <row r="48" spans="2:31" x14ac:dyDescent="0.25">
      <c r="B48" s="9" t="s">
        <v>210</v>
      </c>
      <c r="C48" s="10" t="s">
        <v>211</v>
      </c>
      <c r="D48" s="3" t="s">
        <v>138</v>
      </c>
      <c r="E48" s="10" t="s">
        <v>120</v>
      </c>
      <c r="F48" s="15">
        <v>3536.1422000000011</v>
      </c>
      <c r="G48" s="16">
        <v>22.4</v>
      </c>
      <c r="H48" s="16">
        <v>0</v>
      </c>
      <c r="I48" s="13">
        <f t="shared" si="7"/>
        <v>6.3345868839776841E-3</v>
      </c>
      <c r="J48" s="13">
        <f t="shared" si="8"/>
        <v>0</v>
      </c>
      <c r="K48" s="3" t="str">
        <f t="shared" si="9"/>
        <v>No</v>
      </c>
      <c r="L48" s="14">
        <v>0.99199708363899308</v>
      </c>
      <c r="M48" s="14">
        <v>0.99152489420318668</v>
      </c>
      <c r="N48" s="14">
        <v>0.83093100122146879</v>
      </c>
      <c r="O48" s="14">
        <v>0.8534464004204485</v>
      </c>
      <c r="Q48" s="9" t="s">
        <v>210</v>
      </c>
      <c r="R48" s="4">
        <v>1</v>
      </c>
      <c r="S48" s="4">
        <f t="shared" si="0"/>
        <v>1</v>
      </c>
      <c r="T48" s="4">
        <f t="shared" si="1"/>
        <v>0</v>
      </c>
      <c r="U48" s="4">
        <f t="shared" si="14"/>
        <v>1</v>
      </c>
      <c r="V48" s="4">
        <f t="shared" si="15"/>
        <v>1</v>
      </c>
      <c r="W48" s="4">
        <f t="shared" si="17"/>
        <v>1</v>
      </c>
      <c r="X48" s="4">
        <v>1</v>
      </c>
      <c r="Y48" s="3" t="s">
        <v>120</v>
      </c>
      <c r="AA48" s="35">
        <f t="shared" si="10"/>
        <v>6.3345868839776841E-3</v>
      </c>
      <c r="AB48" s="3" t="str">
        <f t="shared" si="11"/>
        <v>No</v>
      </c>
      <c r="AD48" s="35">
        <f t="shared" si="12"/>
        <v>0</v>
      </c>
      <c r="AE48" s="3" t="str">
        <f t="shared" si="13"/>
        <v>No</v>
      </c>
    </row>
    <row r="49" spans="2:40" x14ac:dyDescent="0.25">
      <c r="B49" s="9" t="s">
        <v>212</v>
      </c>
      <c r="C49" s="10" t="s">
        <v>213</v>
      </c>
      <c r="D49" s="3" t="s">
        <v>214</v>
      </c>
      <c r="E49" s="10" t="s">
        <v>199</v>
      </c>
      <c r="F49" s="15">
        <v>0</v>
      </c>
      <c r="G49" s="16">
        <v>0</v>
      </c>
      <c r="H49" s="16">
        <v>0</v>
      </c>
      <c r="I49" s="13">
        <f t="shared" si="7"/>
        <v>0</v>
      </c>
      <c r="J49" s="13">
        <f t="shared" si="8"/>
        <v>0</v>
      </c>
      <c r="K49" s="3" t="str">
        <f t="shared" si="9"/>
        <v>No</v>
      </c>
      <c r="L49" s="14">
        <v>0.99454630788267784</v>
      </c>
      <c r="M49" s="14">
        <v>1</v>
      </c>
      <c r="N49" s="14">
        <v>1</v>
      </c>
      <c r="O49" s="14">
        <v>1</v>
      </c>
      <c r="Q49" s="9" t="s">
        <v>212</v>
      </c>
      <c r="R49" s="4">
        <v>1</v>
      </c>
      <c r="S49" s="4">
        <f t="shared" si="0"/>
        <v>0</v>
      </c>
      <c r="T49" s="4">
        <f t="shared" si="1"/>
        <v>0</v>
      </c>
      <c r="U49" s="4">
        <f t="shared" si="14"/>
        <v>1</v>
      </c>
      <c r="V49" s="4">
        <f t="shared" si="15"/>
        <v>1</v>
      </c>
      <c r="W49" s="4">
        <f t="shared" si="17"/>
        <v>1</v>
      </c>
      <c r="X49" s="4">
        <f>IF(AND(ISNUMBER(O49), O49&gt;X$4), 1, 0)</f>
        <v>1</v>
      </c>
      <c r="Y49" s="3" t="str">
        <f>IF(SUM(R49:X49)=7, "Yes", "No")</f>
        <v>No</v>
      </c>
      <c r="AA49" s="35">
        <f t="shared" si="10"/>
        <v>0</v>
      </c>
      <c r="AB49" s="3" t="str">
        <f t="shared" si="11"/>
        <v>No</v>
      </c>
      <c r="AD49" s="35">
        <f t="shared" si="12"/>
        <v>0</v>
      </c>
      <c r="AE49" s="3" t="str">
        <f t="shared" si="13"/>
        <v>No</v>
      </c>
    </row>
    <row r="50" spans="2:40" ht="13" thickBot="1" x14ac:dyDescent="0.3">
      <c r="B50" s="17" t="s">
        <v>215</v>
      </c>
      <c r="C50" s="18" t="s">
        <v>216</v>
      </c>
      <c r="D50" s="19" t="s">
        <v>123</v>
      </c>
      <c r="E50" s="18" t="s">
        <v>151</v>
      </c>
      <c r="F50" s="20">
        <v>0</v>
      </c>
      <c r="G50" s="21">
        <v>0</v>
      </c>
      <c r="H50" s="21">
        <v>0</v>
      </c>
      <c r="I50" s="22">
        <f t="shared" si="7"/>
        <v>0</v>
      </c>
      <c r="J50" s="22">
        <f t="shared" si="8"/>
        <v>0</v>
      </c>
      <c r="K50" s="19" t="str">
        <f t="shared" si="9"/>
        <v>No</v>
      </c>
      <c r="L50" s="23">
        <v>0.81965980279723449</v>
      </c>
      <c r="M50" s="23">
        <v>0.72834243480452299</v>
      </c>
      <c r="N50" s="23">
        <v>0</v>
      </c>
      <c r="O50" s="23">
        <v>0</v>
      </c>
      <c r="Q50" s="17" t="s">
        <v>215</v>
      </c>
      <c r="R50" s="30">
        <v>1</v>
      </c>
      <c r="S50" s="30">
        <f t="shared" si="0"/>
        <v>0</v>
      </c>
      <c r="T50" s="30">
        <f t="shared" si="1"/>
        <v>0</v>
      </c>
      <c r="U50" s="30">
        <f t="shared" si="14"/>
        <v>1</v>
      </c>
      <c r="V50" s="30">
        <f t="shared" si="15"/>
        <v>1</v>
      </c>
      <c r="W50" s="30">
        <f t="shared" si="17"/>
        <v>0</v>
      </c>
      <c r="X50" s="30">
        <f>IF(AND(ISNUMBER(O50), O50&gt;X$4), 1, 0)</f>
        <v>0</v>
      </c>
      <c r="Y50" s="19" t="str">
        <f>IF(SUM(R50:X50)=7, "Yes", "No")</f>
        <v>No</v>
      </c>
      <c r="AA50" s="22">
        <f t="shared" si="10"/>
        <v>0</v>
      </c>
      <c r="AB50" s="19" t="str">
        <f t="shared" si="11"/>
        <v>No</v>
      </c>
      <c r="AD50" s="22">
        <f t="shared" si="12"/>
        <v>0</v>
      </c>
      <c r="AE50" s="19" t="str">
        <f t="shared" si="13"/>
        <v>No</v>
      </c>
    </row>
    <row r="51" spans="2:40" x14ac:dyDescent="0.25">
      <c r="Y51" s="3">
        <f>COUNTIF(Y7:Y50, "Yes")</f>
        <v>18</v>
      </c>
      <c r="AB51" s="3">
        <f>COUNTIF(AB7:AB50, "Yes")</f>
        <v>5</v>
      </c>
      <c r="AE51" s="3">
        <f>COUNTIF(AE7:AE50, "Yes")</f>
        <v>12</v>
      </c>
    </row>
    <row r="52" spans="2:40" s="2" customFormat="1" x14ac:dyDescent="0.25">
      <c r="B52" s="24" t="s">
        <v>66</v>
      </c>
      <c r="D52" s="3"/>
      <c r="F52" s="3"/>
      <c r="G52" s="3"/>
      <c r="H52" s="3"/>
      <c r="J52" s="3"/>
      <c r="R52" s="25"/>
      <c r="S52" s="25"/>
      <c r="T52" s="25"/>
      <c r="U52" s="25"/>
      <c r="V52" s="25"/>
      <c r="W52" s="25"/>
      <c r="X52" s="25"/>
      <c r="Y52" s="3"/>
      <c r="AA52" s="36"/>
      <c r="AB52" s="3"/>
      <c r="AD52" s="36"/>
      <c r="AE52" s="3"/>
      <c r="AG52" s="39"/>
      <c r="AH52" s="3"/>
      <c r="AJ52" s="39"/>
      <c r="AK52" s="3"/>
      <c r="AM52" s="39"/>
      <c r="AN52" s="3"/>
    </row>
    <row r="53" spans="2:40" s="2" customFormat="1" x14ac:dyDescent="0.25">
      <c r="B53" s="2" t="s">
        <v>217</v>
      </c>
      <c r="D53" s="3"/>
      <c r="F53" s="3"/>
      <c r="G53" s="3"/>
      <c r="H53" s="3"/>
      <c r="J53" s="3"/>
      <c r="R53" s="25"/>
      <c r="S53" s="25"/>
      <c r="T53" s="25"/>
      <c r="U53" s="25"/>
      <c r="V53" s="25"/>
      <c r="W53" s="25"/>
      <c r="X53" s="25"/>
      <c r="Y53" s="3"/>
      <c r="AA53" s="36"/>
      <c r="AB53" s="3"/>
      <c r="AD53" s="36"/>
      <c r="AE53" s="3"/>
      <c r="AG53" s="39"/>
      <c r="AH53" s="3"/>
      <c r="AJ53" s="39"/>
      <c r="AK53" s="3"/>
      <c r="AM53" s="39"/>
      <c r="AN53" s="3"/>
    </row>
    <row r="54" spans="2:40" s="2" customFormat="1" x14ac:dyDescent="0.25">
      <c r="B54" s="2" t="s">
        <v>218</v>
      </c>
      <c r="D54" s="3"/>
      <c r="F54" s="3"/>
      <c r="G54" s="3"/>
      <c r="H54" s="3"/>
      <c r="J54" s="3"/>
      <c r="R54" s="25"/>
      <c r="S54" s="25"/>
      <c r="T54" s="25"/>
      <c r="U54" s="25"/>
      <c r="V54" s="25"/>
      <c r="W54" s="25"/>
      <c r="X54" s="25"/>
      <c r="Y54" s="3"/>
      <c r="AA54" s="36"/>
      <c r="AB54" s="3"/>
      <c r="AD54" s="36"/>
      <c r="AE54" s="3"/>
      <c r="AG54" s="39"/>
      <c r="AH54" s="3"/>
      <c r="AJ54" s="39"/>
      <c r="AK54" s="3"/>
      <c r="AM54" s="39"/>
      <c r="AN54" s="3"/>
    </row>
    <row r="55" spans="2:40" s="2" customFormat="1" x14ac:dyDescent="0.25">
      <c r="B55" s="2" t="s">
        <v>219</v>
      </c>
      <c r="D55" s="3"/>
      <c r="F55" s="3"/>
      <c r="G55" s="3"/>
      <c r="H55" s="3"/>
      <c r="J55" s="3"/>
      <c r="R55" s="25"/>
      <c r="S55" s="25"/>
      <c r="T55" s="25"/>
      <c r="U55" s="25"/>
      <c r="V55" s="25"/>
      <c r="W55" s="25"/>
      <c r="X55" s="25"/>
      <c r="Y55" s="3"/>
      <c r="AA55" s="36"/>
      <c r="AB55" s="3"/>
      <c r="AD55" s="36"/>
      <c r="AE55" s="3"/>
      <c r="AG55" s="39"/>
      <c r="AH55" s="3"/>
      <c r="AJ55" s="39"/>
      <c r="AK55" s="3"/>
      <c r="AM55" s="39"/>
      <c r="AN55" s="3"/>
    </row>
    <row r="56" spans="2:40" s="2" customFormat="1" x14ac:dyDescent="0.25">
      <c r="B56" s="2" t="s">
        <v>220</v>
      </c>
      <c r="D56" s="3"/>
      <c r="F56" s="3"/>
      <c r="G56" s="3"/>
      <c r="H56" s="3"/>
      <c r="J56" s="3"/>
      <c r="R56" s="25"/>
      <c r="S56" s="25"/>
      <c r="T56" s="25"/>
      <c r="U56" s="25"/>
      <c r="V56" s="25"/>
      <c r="W56" s="25"/>
      <c r="X56" s="25"/>
      <c r="Y56" s="3"/>
      <c r="AA56" s="36"/>
      <c r="AB56" s="3"/>
      <c r="AD56" s="36"/>
      <c r="AE56" s="3"/>
      <c r="AG56" s="39"/>
      <c r="AH56" s="3"/>
      <c r="AJ56" s="39"/>
      <c r="AK56" s="3"/>
      <c r="AM56" s="39"/>
      <c r="AN56" s="3"/>
    </row>
    <row r="57" spans="2:40" s="2" customFormat="1" x14ac:dyDescent="0.25">
      <c r="B57" s="2" t="s">
        <v>221</v>
      </c>
      <c r="D57" s="3"/>
      <c r="F57" s="3"/>
      <c r="G57" s="3"/>
      <c r="H57" s="3"/>
      <c r="J57" s="3"/>
      <c r="R57" s="25"/>
      <c r="S57" s="25"/>
      <c r="T57" s="25"/>
      <c r="U57" s="25"/>
      <c r="V57" s="25"/>
      <c r="W57" s="25"/>
      <c r="X57" s="25"/>
      <c r="Y57" s="3"/>
      <c r="AA57" s="36"/>
      <c r="AB57" s="3"/>
      <c r="AD57" s="36"/>
      <c r="AE57" s="3"/>
      <c r="AG57" s="39"/>
      <c r="AH57" s="3"/>
      <c r="AJ57" s="39"/>
      <c r="AK57" s="3"/>
      <c r="AM57" s="39"/>
      <c r="AN57" s="3"/>
    </row>
    <row r="58" spans="2:40" s="2" customFormat="1" x14ac:dyDescent="0.25">
      <c r="B58" s="2" t="s">
        <v>222</v>
      </c>
      <c r="D58" s="3"/>
      <c r="F58" s="3"/>
      <c r="G58" s="3"/>
      <c r="H58" s="3"/>
      <c r="J58" s="3"/>
      <c r="R58" s="25"/>
      <c r="S58" s="25"/>
      <c r="T58" s="25"/>
      <c r="U58" s="25"/>
      <c r="V58" s="25"/>
      <c r="W58" s="25"/>
      <c r="X58" s="25"/>
      <c r="Y58" s="3"/>
      <c r="AA58" s="36"/>
      <c r="AB58" s="3"/>
      <c r="AD58" s="36"/>
      <c r="AE58" s="3"/>
      <c r="AG58" s="39"/>
      <c r="AH58" s="3"/>
      <c r="AJ58" s="39"/>
      <c r="AK58" s="3"/>
      <c r="AM58" s="39"/>
      <c r="AN58" s="3"/>
    </row>
    <row r="59" spans="2:40" s="2" customFormat="1" ht="27.75" customHeight="1" x14ac:dyDescent="0.25">
      <c r="B59" s="113" t="s">
        <v>223</v>
      </c>
      <c r="C59" s="113"/>
      <c r="D59" s="113"/>
      <c r="E59" s="113"/>
      <c r="F59" s="113"/>
      <c r="G59" s="113"/>
      <c r="H59" s="113"/>
      <c r="I59" s="113"/>
      <c r="J59" s="113"/>
      <c r="K59" s="113"/>
      <c r="L59" s="113"/>
      <c r="M59" s="113"/>
      <c r="N59" s="113"/>
      <c r="O59" s="113"/>
      <c r="R59" s="25"/>
      <c r="S59" s="25"/>
      <c r="T59" s="25"/>
      <c r="U59" s="25"/>
      <c r="V59" s="25"/>
      <c r="W59" s="25"/>
      <c r="X59" s="25"/>
      <c r="Y59" s="3"/>
      <c r="AA59" s="36"/>
      <c r="AB59" s="3"/>
      <c r="AD59" s="36"/>
      <c r="AE59" s="3"/>
      <c r="AG59" s="39"/>
      <c r="AH59" s="3"/>
      <c r="AJ59" s="39"/>
      <c r="AK59" s="3"/>
      <c r="AM59" s="39"/>
      <c r="AN59" s="3"/>
    </row>
    <row r="60" spans="2:40" x14ac:dyDescent="0.25">
      <c r="B60" s="2" t="s">
        <v>224</v>
      </c>
    </row>
    <row r="61" spans="2:40" x14ac:dyDescent="0.25">
      <c r="B61" s="2" t="s">
        <v>225</v>
      </c>
    </row>
  </sheetData>
  <mergeCells count="1">
    <mergeCell ref="B59:O59"/>
  </mergeCells>
  <printOptions horizontalCentered="1"/>
  <pageMargins left="0.7" right="0.7" top="0.75" bottom="0.75" header="0.3" footer="0.3"/>
  <pageSetup scale="55" orientation="landscape" useFirstPageNumber="1" r:id="rId1"/>
  <headerFooter>
    <oddHeader>&amp;LExhibit 2
Page &amp;P of 3</oddHeader>
  </headerFooter>
  <colBreaks count="1" manualBreakCount="1">
    <brk id="3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A7AA4-98AD-44E9-9A5A-BF00212006AA}">
  <sheetPr>
    <pageSetUpPr fitToPage="1"/>
  </sheetPr>
  <dimension ref="B1:Q37"/>
  <sheetViews>
    <sheetView zoomScale="85" zoomScaleNormal="85" workbookViewId="0">
      <selection activeCell="L2" sqref="L2:M3"/>
    </sheetView>
  </sheetViews>
  <sheetFormatPr defaultRowHeight="14.5" x14ac:dyDescent="0.35"/>
  <cols>
    <col min="1" max="1" width="2.7265625" customWidth="1"/>
    <col min="2" max="2" width="36.6328125" bestFit="1" customWidth="1"/>
    <col min="4" max="4" width="2.7265625" customWidth="1"/>
    <col min="10" max="10" width="2.7265625" customWidth="1"/>
    <col min="11" max="11" width="23.6328125" bestFit="1" customWidth="1"/>
    <col min="12" max="13" width="9.08984375" style="80"/>
  </cols>
  <sheetData>
    <row r="1" spans="2:17" x14ac:dyDescent="0.35">
      <c r="B1" s="104" t="s">
        <v>363</v>
      </c>
      <c r="C1" s="104"/>
      <c r="D1" s="104"/>
      <c r="E1" s="104"/>
      <c r="F1" s="104"/>
      <c r="G1" s="104"/>
      <c r="H1" s="104"/>
      <c r="I1" s="104"/>
      <c r="J1" s="104"/>
      <c r="K1" s="105"/>
      <c r="L1" s="106"/>
      <c r="M1" s="106"/>
      <c r="N1" s="104"/>
      <c r="O1" s="104"/>
      <c r="P1" s="104"/>
      <c r="Q1" s="104"/>
    </row>
    <row r="2" spans="2:17" x14ac:dyDescent="0.35">
      <c r="B2" s="114" t="s">
        <v>226</v>
      </c>
      <c r="C2" s="114"/>
      <c r="D2" s="114"/>
      <c r="E2" s="114"/>
      <c r="F2" s="114"/>
      <c r="G2" s="114"/>
      <c r="H2" s="114"/>
      <c r="I2" s="114"/>
      <c r="J2" s="114"/>
      <c r="K2" s="114"/>
      <c r="L2" s="118"/>
      <c r="M2" s="119"/>
    </row>
    <row r="3" spans="2:17" x14ac:dyDescent="0.35">
      <c r="K3" s="41"/>
      <c r="L3" s="119"/>
      <c r="M3" s="119"/>
    </row>
    <row r="4" spans="2:17" x14ac:dyDescent="0.35">
      <c r="E4" s="42" t="s">
        <v>227</v>
      </c>
      <c r="F4" s="42"/>
      <c r="G4" s="42"/>
      <c r="H4" s="42"/>
      <c r="I4" s="42"/>
      <c r="K4" s="41" t="s">
        <v>227</v>
      </c>
      <c r="L4" s="76"/>
      <c r="M4" s="76"/>
    </row>
    <row r="5" spans="2:17" x14ac:dyDescent="0.35">
      <c r="B5" s="43" t="s">
        <v>228</v>
      </c>
      <c r="C5" s="44" t="s">
        <v>99</v>
      </c>
      <c r="D5" s="44"/>
      <c r="E5" s="44">
        <v>2024</v>
      </c>
      <c r="F5" s="44">
        <v>2023</v>
      </c>
      <c r="G5" s="44">
        <v>2022</v>
      </c>
      <c r="H5" s="44">
        <v>2021</v>
      </c>
      <c r="I5" s="44">
        <v>2020</v>
      </c>
      <c r="J5" s="45"/>
      <c r="K5" s="44" t="s">
        <v>229</v>
      </c>
      <c r="L5" s="78" t="s">
        <v>230</v>
      </c>
      <c r="M5" s="78" t="s">
        <v>230</v>
      </c>
    </row>
    <row r="6" spans="2:17" x14ac:dyDescent="0.35">
      <c r="B6" t="s">
        <v>117</v>
      </c>
      <c r="C6" s="41" t="s">
        <v>118</v>
      </c>
      <c r="D6" s="41"/>
      <c r="E6" s="46">
        <v>0.62066436843680051</v>
      </c>
      <c r="F6" s="46">
        <v>0.62547760804320329</v>
      </c>
      <c r="G6" s="46">
        <v>0.59705078145355261</v>
      </c>
      <c r="H6" s="46">
        <v>0.56078509704549229</v>
      </c>
      <c r="I6" s="46">
        <v>0.58118540443618483</v>
      </c>
      <c r="K6" s="47">
        <f t="shared" ref="K6:K23" si="0">AVERAGE(E6:I6)</f>
        <v>0.59703265188304666</v>
      </c>
      <c r="L6" s="76" t="s">
        <v>231</v>
      </c>
      <c r="M6" s="76" t="s">
        <v>232</v>
      </c>
    </row>
    <row r="7" spans="2:17" x14ac:dyDescent="0.35">
      <c r="B7" t="s">
        <v>124</v>
      </c>
      <c r="C7" s="41" t="s">
        <v>125</v>
      </c>
      <c r="D7" s="41"/>
      <c r="E7" s="46">
        <v>0.53726683342335402</v>
      </c>
      <c r="F7" s="46">
        <v>0.54169748264630646</v>
      </c>
      <c r="G7" s="46">
        <v>0.53914492502689726</v>
      </c>
      <c r="H7" s="46">
        <v>0.5399596047575248</v>
      </c>
      <c r="I7" s="46">
        <v>0.53436008286521786</v>
      </c>
      <c r="K7" s="47">
        <f t="shared" si="0"/>
        <v>0.53848578574386008</v>
      </c>
      <c r="L7" s="76" t="s">
        <v>233</v>
      </c>
      <c r="M7" s="76" t="s">
        <v>231</v>
      </c>
    </row>
    <row r="8" spans="2:17" x14ac:dyDescent="0.35">
      <c r="B8" t="s">
        <v>126</v>
      </c>
      <c r="C8" s="41" t="s">
        <v>127</v>
      </c>
      <c r="D8" s="41"/>
      <c r="E8" s="46">
        <v>0.48577281582375892</v>
      </c>
      <c r="F8" s="46">
        <v>0.4845197166459026</v>
      </c>
      <c r="G8" s="46">
        <v>0.48558089258432874</v>
      </c>
      <c r="H8" s="46">
        <v>0.47759645753771063</v>
      </c>
      <c r="I8" s="46">
        <v>0.48153865613592706</v>
      </c>
      <c r="K8" s="47">
        <f t="shared" si="0"/>
        <v>0.48300170774552553</v>
      </c>
      <c r="L8" s="76" t="s">
        <v>233</v>
      </c>
      <c r="M8" s="76" t="s">
        <v>231</v>
      </c>
    </row>
    <row r="9" spans="2:17" x14ac:dyDescent="0.35">
      <c r="B9" t="s">
        <v>139</v>
      </c>
      <c r="C9" s="41" t="s">
        <v>140</v>
      </c>
      <c r="D9" s="41"/>
      <c r="E9" s="46">
        <v>0.53404611280753811</v>
      </c>
      <c r="F9" s="46">
        <v>0.55079539183740833</v>
      </c>
      <c r="G9" s="46">
        <v>0.52246501398719836</v>
      </c>
      <c r="H9" s="46">
        <v>0.5303722332090649</v>
      </c>
      <c r="I9" s="46">
        <v>0.53164086241895059</v>
      </c>
      <c r="K9" s="47">
        <f t="shared" si="0"/>
        <v>0.53386392285203199</v>
      </c>
      <c r="L9" s="76" t="s">
        <v>233</v>
      </c>
      <c r="M9" s="76" t="s">
        <v>231</v>
      </c>
    </row>
    <row r="10" spans="2:17" x14ac:dyDescent="0.35">
      <c r="B10" t="s">
        <v>143</v>
      </c>
      <c r="C10" s="41" t="s">
        <v>144</v>
      </c>
      <c r="D10" s="41"/>
      <c r="E10" s="46">
        <v>0.5308287695629833</v>
      </c>
      <c r="F10" s="46">
        <v>0.52867477757114656</v>
      </c>
      <c r="G10" s="46">
        <v>0.5303925249338739</v>
      </c>
      <c r="H10" s="46">
        <v>0.53388950211019082</v>
      </c>
      <c r="I10" s="46">
        <v>0.52951624062229374</v>
      </c>
      <c r="K10" s="47">
        <f t="shared" si="0"/>
        <v>0.53066036296009766</v>
      </c>
      <c r="L10" s="76" t="s">
        <v>233</v>
      </c>
      <c r="M10" s="76" t="s">
        <v>231</v>
      </c>
    </row>
    <row r="11" spans="2:17" x14ac:dyDescent="0.35">
      <c r="B11" t="s">
        <v>145</v>
      </c>
      <c r="C11" s="41" t="s">
        <v>146</v>
      </c>
      <c r="D11" s="41"/>
      <c r="E11" s="46">
        <v>0.43271901671125351</v>
      </c>
      <c r="F11" s="46">
        <v>0.44773438645436686</v>
      </c>
      <c r="G11" s="46">
        <v>0.4481746858597826</v>
      </c>
      <c r="H11" s="46">
        <v>0.48087844978559308</v>
      </c>
      <c r="I11" s="46">
        <v>0.5184914336841675</v>
      </c>
      <c r="K11" s="47">
        <f t="shared" si="0"/>
        <v>0.46559959449903265</v>
      </c>
      <c r="L11" s="76" t="s">
        <v>233</v>
      </c>
      <c r="M11" s="76" t="s">
        <v>232</v>
      </c>
    </row>
    <row r="12" spans="2:17" x14ac:dyDescent="0.35">
      <c r="B12" t="s">
        <v>147</v>
      </c>
      <c r="C12" s="41" t="s">
        <v>148</v>
      </c>
      <c r="D12" s="41"/>
      <c r="E12" s="46">
        <v>0.5134249607110396</v>
      </c>
      <c r="F12" s="46">
        <v>0.52007526008771943</v>
      </c>
      <c r="G12" s="46">
        <v>0.47703656547751816</v>
      </c>
      <c r="H12" s="46">
        <v>0.4553561018122716</v>
      </c>
      <c r="I12" s="46">
        <v>0.46378468276970025</v>
      </c>
      <c r="K12" s="47">
        <f t="shared" si="0"/>
        <v>0.48593551417164982</v>
      </c>
      <c r="L12" s="76" t="s">
        <v>233</v>
      </c>
      <c r="M12" s="76" t="s">
        <v>231</v>
      </c>
    </row>
    <row r="13" spans="2:17" x14ac:dyDescent="0.35">
      <c r="B13" t="s">
        <v>156</v>
      </c>
      <c r="C13" s="41" t="s">
        <v>157</v>
      </c>
      <c r="D13" s="41"/>
      <c r="E13" s="46">
        <v>0.59434689003993912</v>
      </c>
      <c r="F13" s="46">
        <v>0.58841989017143792</v>
      </c>
      <c r="G13" s="46">
        <v>0.60195340841662381</v>
      </c>
      <c r="H13" s="46">
        <v>0.6003722869766247</v>
      </c>
      <c r="I13" s="46">
        <v>0.58660068811022326</v>
      </c>
      <c r="K13" s="47">
        <f t="shared" si="0"/>
        <v>0.59433863274296983</v>
      </c>
      <c r="L13" s="76" t="s">
        <v>233</v>
      </c>
      <c r="M13" s="76" t="s">
        <v>231</v>
      </c>
    </row>
    <row r="14" spans="2:17" x14ac:dyDescent="0.35">
      <c r="B14" t="s">
        <v>161</v>
      </c>
      <c r="C14" s="41" t="s">
        <v>162</v>
      </c>
      <c r="D14" s="41"/>
      <c r="E14" s="46">
        <v>0.49945539155892471</v>
      </c>
      <c r="F14" s="46">
        <v>0.49415513842504272</v>
      </c>
      <c r="G14" s="46">
        <v>0.54368497590186959</v>
      </c>
      <c r="H14" s="46">
        <v>0.55003254257988998</v>
      </c>
      <c r="I14" s="46">
        <v>0.5396041073056661</v>
      </c>
      <c r="K14" s="47">
        <f t="shared" si="0"/>
        <v>0.52538643115427863</v>
      </c>
      <c r="L14" s="76" t="s">
        <v>231</v>
      </c>
      <c r="M14" s="76" t="s">
        <v>232</v>
      </c>
    </row>
    <row r="15" spans="2:17" x14ac:dyDescent="0.35">
      <c r="B15" t="s">
        <v>166</v>
      </c>
      <c r="C15" s="41" t="s">
        <v>167</v>
      </c>
      <c r="D15" s="41"/>
      <c r="E15" s="46">
        <v>0.59978026428122933</v>
      </c>
      <c r="F15" s="46">
        <v>0.58671645963879981</v>
      </c>
      <c r="G15" s="46">
        <v>0.63143087055530422</v>
      </c>
      <c r="H15" s="46">
        <v>0.62118203839705777</v>
      </c>
      <c r="I15" s="46">
        <v>0.60044945346475875</v>
      </c>
      <c r="K15" s="47">
        <f t="shared" si="0"/>
        <v>0.60791181726743004</v>
      </c>
      <c r="L15" s="76" t="s">
        <v>233</v>
      </c>
      <c r="M15" s="76" t="s">
        <v>231</v>
      </c>
    </row>
    <row r="16" spans="2:17" x14ac:dyDescent="0.35">
      <c r="B16" t="s">
        <v>177</v>
      </c>
      <c r="C16" s="41" t="s">
        <v>178</v>
      </c>
      <c r="D16" s="41"/>
      <c r="E16" s="46">
        <v>0.52218582766822763</v>
      </c>
      <c r="F16" s="46">
        <v>0.49555827629095334</v>
      </c>
      <c r="G16" s="46">
        <v>0.50251891940413473</v>
      </c>
      <c r="H16" s="46">
        <v>0.51117385554852357</v>
      </c>
      <c r="I16" s="46">
        <v>0.51354851428470094</v>
      </c>
      <c r="K16" s="47">
        <f t="shared" si="0"/>
        <v>0.50899707863930799</v>
      </c>
      <c r="L16" s="76" t="s">
        <v>233</v>
      </c>
      <c r="M16" s="76" t="s">
        <v>231</v>
      </c>
    </row>
    <row r="17" spans="2:13" x14ac:dyDescent="0.35">
      <c r="B17" t="s">
        <v>179</v>
      </c>
      <c r="C17" s="41" t="s">
        <v>180</v>
      </c>
      <c r="D17" s="41"/>
      <c r="E17" s="46">
        <v>0.50230417331646693</v>
      </c>
      <c r="F17" s="46">
        <v>0.50022539751712602</v>
      </c>
      <c r="G17" s="46">
        <v>0.49409501976395781</v>
      </c>
      <c r="H17" s="46">
        <v>0.50853824421159066</v>
      </c>
      <c r="I17" s="46">
        <v>0.50730824626091175</v>
      </c>
      <c r="K17" s="47">
        <f t="shared" si="0"/>
        <v>0.50249421621401058</v>
      </c>
      <c r="L17" s="76" t="s">
        <v>233</v>
      </c>
      <c r="M17" s="76" t="s">
        <v>231</v>
      </c>
    </row>
    <row r="18" spans="2:13" x14ac:dyDescent="0.35">
      <c r="B18" t="s">
        <v>181</v>
      </c>
      <c r="C18" s="41" t="s">
        <v>182</v>
      </c>
      <c r="D18" s="41"/>
      <c r="E18" s="46">
        <v>0.4556953979379475</v>
      </c>
      <c r="F18" s="46">
        <v>0.45372019946717673</v>
      </c>
      <c r="G18" s="46">
        <v>0.43237653952738153</v>
      </c>
      <c r="H18" s="46">
        <v>0.45089385821759076</v>
      </c>
      <c r="I18" s="46">
        <v>0.46066233821656521</v>
      </c>
      <c r="K18" s="47">
        <f t="shared" si="0"/>
        <v>0.45066966667333236</v>
      </c>
      <c r="L18" s="76" t="s">
        <v>231</v>
      </c>
      <c r="M18" s="76" t="s">
        <v>232</v>
      </c>
    </row>
    <row r="19" spans="2:13" x14ac:dyDescent="0.35">
      <c r="B19" t="s">
        <v>189</v>
      </c>
      <c r="C19" s="41" t="s">
        <v>190</v>
      </c>
      <c r="D19" s="41"/>
      <c r="E19" s="46">
        <v>0.55543837176035848</v>
      </c>
      <c r="F19" s="46">
        <v>0.54816036108165622</v>
      </c>
      <c r="G19" s="46">
        <v>0.54583798830990693</v>
      </c>
      <c r="H19" s="46">
        <v>0.54623644118081571</v>
      </c>
      <c r="I19" s="46">
        <v>0.54921784125309714</v>
      </c>
      <c r="K19" s="47">
        <f t="shared" si="0"/>
        <v>0.54897820071716685</v>
      </c>
      <c r="L19" s="76" t="s">
        <v>233</v>
      </c>
      <c r="M19" s="76" t="s">
        <v>232</v>
      </c>
    </row>
    <row r="20" spans="2:13" x14ac:dyDescent="0.35">
      <c r="B20" t="s">
        <v>195</v>
      </c>
      <c r="C20" s="41" t="s">
        <v>196</v>
      </c>
      <c r="D20" s="41"/>
      <c r="E20" s="46">
        <v>0.543096987435286</v>
      </c>
      <c r="F20" s="46">
        <v>0.54582436738511286</v>
      </c>
      <c r="G20" s="46">
        <v>0.54930875237147114</v>
      </c>
      <c r="H20" s="46">
        <v>0.54519234277535555</v>
      </c>
      <c r="I20" s="46">
        <v>0.54879892390423957</v>
      </c>
      <c r="K20" s="47">
        <f t="shared" si="0"/>
        <v>0.54644427477429303</v>
      </c>
      <c r="L20" s="76" t="s">
        <v>233</v>
      </c>
      <c r="M20" s="76" t="s">
        <v>231</v>
      </c>
    </row>
    <row r="21" spans="2:13" x14ac:dyDescent="0.35">
      <c r="B21" t="s">
        <v>197</v>
      </c>
      <c r="C21" s="41" t="s">
        <v>198</v>
      </c>
      <c r="D21" s="41"/>
      <c r="E21" s="46">
        <v>0.63794791276785312</v>
      </c>
      <c r="F21" s="46">
        <v>0.65912919211216869</v>
      </c>
      <c r="G21" s="46">
        <v>0.63724269764491714</v>
      </c>
      <c r="H21" s="46">
        <v>0.61240340585051212</v>
      </c>
      <c r="I21" s="46">
        <v>0.66799046611983881</v>
      </c>
      <c r="K21" s="47">
        <f t="shared" si="0"/>
        <v>0.64294273489905795</v>
      </c>
      <c r="L21" s="76" t="s">
        <v>231</v>
      </c>
      <c r="M21" s="76" t="s">
        <v>231</v>
      </c>
    </row>
    <row r="22" spans="2:13" x14ac:dyDescent="0.35">
      <c r="B22" t="s">
        <v>206</v>
      </c>
      <c r="C22" s="41" t="s">
        <v>207</v>
      </c>
      <c r="D22" s="41"/>
      <c r="E22" s="46">
        <v>0.50496440148656974</v>
      </c>
      <c r="F22" s="46">
        <v>0.46458764392661012</v>
      </c>
      <c r="G22" s="46">
        <v>0.46821532915080655</v>
      </c>
      <c r="H22" s="46">
        <v>0.48126838719376142</v>
      </c>
      <c r="I22" s="46">
        <v>0.46939949131020431</v>
      </c>
      <c r="K22" s="47">
        <f t="shared" si="0"/>
        <v>0.47768705061359046</v>
      </c>
      <c r="L22" s="76" t="s">
        <v>231</v>
      </c>
      <c r="M22" s="76" t="s">
        <v>231</v>
      </c>
    </row>
    <row r="23" spans="2:13" x14ac:dyDescent="0.35">
      <c r="B23" s="45" t="s">
        <v>210</v>
      </c>
      <c r="C23" s="48" t="s">
        <v>211</v>
      </c>
      <c r="D23" s="48"/>
      <c r="E23" s="107">
        <v>0.50611971101779296</v>
      </c>
      <c r="F23" s="107">
        <v>0.49656778528361911</v>
      </c>
      <c r="G23" s="107">
        <v>0.48671886431993255</v>
      </c>
      <c r="H23" s="107">
        <v>0.48938372976211231</v>
      </c>
      <c r="I23" s="107">
        <v>0.4842208162695904</v>
      </c>
      <c r="J23" s="45"/>
      <c r="K23" s="109">
        <f t="shared" si="0"/>
        <v>0.4926021813306094</v>
      </c>
      <c r="L23" s="76" t="s">
        <v>231</v>
      </c>
      <c r="M23" s="76" t="s">
        <v>231</v>
      </c>
    </row>
    <row r="24" spans="2:13" x14ac:dyDescent="0.35">
      <c r="B24" s="49" t="s">
        <v>234</v>
      </c>
      <c r="E24" s="108">
        <f>AVERAGE(E6:E23)</f>
        <v>0.53200323370818459</v>
      </c>
      <c r="F24" s="108">
        <f t="shared" ref="F24:I24" si="1">AVERAGE(F6:F23)</f>
        <v>0.52955774081031981</v>
      </c>
      <c r="G24" s="108">
        <f t="shared" si="1"/>
        <v>0.52740159748274762</v>
      </c>
      <c r="H24" s="108">
        <f t="shared" si="1"/>
        <v>0.52752858771953792</v>
      </c>
      <c r="I24" s="108">
        <f t="shared" si="1"/>
        <v>0.53157323607956875</v>
      </c>
      <c r="K24" s="110">
        <f t="shared" ref="K24" si="2">AVERAGE(K6:K23)</f>
        <v>0.52961287916007183</v>
      </c>
      <c r="L24" s="76"/>
      <c r="M24" s="76"/>
    </row>
    <row r="25" spans="2:13" x14ac:dyDescent="0.35">
      <c r="B25" s="49" t="s">
        <v>235</v>
      </c>
      <c r="E25" s="51">
        <f t="shared" ref="E25:I25" si="3">MEDIAN(E6:E23)</f>
        <v>0.52650729861560541</v>
      </c>
      <c r="F25" s="51">
        <f t="shared" si="3"/>
        <v>0.52437501882943294</v>
      </c>
      <c r="G25" s="51">
        <f t="shared" si="3"/>
        <v>0.52642876946053607</v>
      </c>
      <c r="H25" s="51">
        <f t="shared" si="3"/>
        <v>0.53213086765962792</v>
      </c>
      <c r="I25" s="51">
        <f t="shared" si="3"/>
        <v>0.53057855152062217</v>
      </c>
      <c r="K25" s="50">
        <f>MEDIAN(K6:K23)</f>
        <v>0.52802339705718815</v>
      </c>
      <c r="L25" s="76"/>
      <c r="M25" s="76"/>
    </row>
    <row r="26" spans="2:13" x14ac:dyDescent="0.35">
      <c r="B26" t="s">
        <v>236</v>
      </c>
      <c r="E26" s="51">
        <f t="shared" ref="E26:I26" si="4">MIN(E6:E23)</f>
        <v>0.43271901671125351</v>
      </c>
      <c r="F26" s="51">
        <f t="shared" si="4"/>
        <v>0.44773438645436686</v>
      </c>
      <c r="G26" s="51">
        <f t="shared" si="4"/>
        <v>0.43237653952738153</v>
      </c>
      <c r="H26" s="51">
        <f t="shared" si="4"/>
        <v>0.45089385821759076</v>
      </c>
      <c r="I26" s="51">
        <f t="shared" si="4"/>
        <v>0.46066233821656521</v>
      </c>
      <c r="K26" s="47">
        <f>MIN(K6:K23)</f>
        <v>0.45066966667333236</v>
      </c>
      <c r="L26" s="76"/>
      <c r="M26" s="76"/>
    </row>
    <row r="27" spans="2:13" x14ac:dyDescent="0.35">
      <c r="B27" t="s">
        <v>237</v>
      </c>
      <c r="E27" s="51">
        <f t="shared" ref="E27:I27" si="5">MAX(E6:E23)</f>
        <v>0.63794791276785312</v>
      </c>
      <c r="F27" s="51">
        <f t="shared" si="5"/>
        <v>0.65912919211216869</v>
      </c>
      <c r="G27" s="51">
        <f t="shared" si="5"/>
        <v>0.63724269764491714</v>
      </c>
      <c r="H27" s="51">
        <f t="shared" si="5"/>
        <v>0.62118203839705777</v>
      </c>
      <c r="I27" s="51">
        <f t="shared" si="5"/>
        <v>0.66799046611983881</v>
      </c>
      <c r="K27" s="47">
        <f>MAX(K6:K23)</f>
        <v>0.64294273489905795</v>
      </c>
      <c r="L27" s="76"/>
      <c r="M27" s="76"/>
    </row>
    <row r="28" spans="2:13" x14ac:dyDescent="0.35">
      <c r="K28" s="41"/>
      <c r="L28" s="76"/>
      <c r="M28" s="76"/>
    </row>
    <row r="29" spans="2:13" x14ac:dyDescent="0.35">
      <c r="B29" t="s">
        <v>238</v>
      </c>
      <c r="E29" s="46">
        <f>AVERAGEIF($L:$L, "Nuclear", E:E)</f>
        <v>0.52926758529511952</v>
      </c>
      <c r="F29" s="46">
        <f>AVERAGEIF($L:$L, "Nuclear", F:F)</f>
        <v>0.52820014727732811</v>
      </c>
      <c r="G29" s="46">
        <f>AVERAGEIF($L:$L, "Nuclear", G:G)</f>
        <v>0.52732829722424979</v>
      </c>
      <c r="H29" s="46">
        <f>AVERAGEIF($L:$L, "Nuclear", H:H)</f>
        <v>0.5292289631918603</v>
      </c>
      <c r="I29" s="46">
        <f>AVERAGEIF($L:$L, "Nuclear", I:I)</f>
        <v>0.53043796881451566</v>
      </c>
      <c r="K29" s="47">
        <f>AVERAGEIF($L:$L, "Nuclear", K:K)</f>
        <v>0.5288925923606147</v>
      </c>
      <c r="L29" s="76"/>
      <c r="M29" s="76"/>
    </row>
    <row r="30" spans="2:13" x14ac:dyDescent="0.35">
      <c r="B30" t="s">
        <v>239</v>
      </c>
      <c r="E30" s="46" cm="1">
        <f t="array" ref="E30">MEDIAN( IF($L$6:$L$23="Nuclear",E$6:E$23))</f>
        <v>0.53243744118526071</v>
      </c>
      <c r="F30" s="46" cm="1">
        <f t="array" ref="F30">MEDIAN( IF($L$6:$L$23="Nuclear",F$6:F$23))</f>
        <v>0.53518613010872651</v>
      </c>
      <c r="G30" s="46" cm="1">
        <f t="array" ref="G30">MEDIAN( IF($L$6:$L$23="Nuclear",G$6:G$23))</f>
        <v>0.52642876946053607</v>
      </c>
      <c r="H30" s="46" cm="1">
        <f t="array" ref="H30">MEDIAN( IF($L$6:$L$23="Nuclear",H$6:H$23))</f>
        <v>0.53213086765962792</v>
      </c>
      <c r="I30" s="46" cm="1">
        <f t="array" ref="I30">MEDIAN( IF($L$6:$L$23="Nuclear",I$6:I$23))</f>
        <v>0.53057855152062217</v>
      </c>
      <c r="K30" s="52" cm="1">
        <f t="array" ref="K30">MEDIAN( IF($L$6:$L$23="Nuclear",K$6:K$23))</f>
        <v>0.53226214290606477</v>
      </c>
      <c r="L30" s="76"/>
      <c r="M30" s="76"/>
    </row>
    <row r="31" spans="2:13" x14ac:dyDescent="0.35">
      <c r="B31" t="s">
        <v>240</v>
      </c>
      <c r="E31" s="46" cm="1">
        <f t="array" ref="E31">MIN( IF($L$6:$L$23="Nuclear",E$6:E$23))</f>
        <v>0.43271901671125351</v>
      </c>
      <c r="F31" s="46" cm="1">
        <f t="array" ref="F31">MIN( IF($L$6:$L$23="Nuclear",F$6:F$23))</f>
        <v>0.44773438645436686</v>
      </c>
      <c r="G31" s="46" cm="1">
        <f t="array" ref="G31">MIN( IF($L$6:$L$23="Nuclear",G$6:G$23))</f>
        <v>0.4481746858597826</v>
      </c>
      <c r="H31" s="46" cm="1">
        <f t="array" ref="H31">MIN( IF($L$6:$L$23="Nuclear",H$6:H$23))</f>
        <v>0.4553561018122716</v>
      </c>
      <c r="I31" s="46" cm="1">
        <f t="array" ref="I31">MIN( IF($L$6:$L$23="Nuclear",I$6:I$23))</f>
        <v>0.46378468276970025</v>
      </c>
      <c r="K31" s="52" cm="1">
        <f t="array" ref="K31">MIN( IF($L$6:$L$23="Nuclear",K$6:K$23))</f>
        <v>0.46559959449903265</v>
      </c>
      <c r="L31" s="76"/>
      <c r="M31" s="76"/>
    </row>
    <row r="32" spans="2:13" x14ac:dyDescent="0.35">
      <c r="B32" t="s">
        <v>241</v>
      </c>
      <c r="E32" s="46" cm="1">
        <f t="array" ref="E32">MAX( IF($L$6:$L$23="Nuclear",E$6:E$23))</f>
        <v>0.59978026428122933</v>
      </c>
      <c r="F32" s="46" cm="1">
        <f t="array" ref="F32">MAX( IF($L$6:$L$23="Nuclear",F$6:F$23))</f>
        <v>0.58841989017143792</v>
      </c>
      <c r="G32" s="46" cm="1">
        <f t="array" ref="G32">MAX( IF($L$6:$L$23="Nuclear",G$6:G$23))</f>
        <v>0.63143087055530422</v>
      </c>
      <c r="H32" s="46" cm="1">
        <f t="array" ref="H32">MAX( IF($L$6:$L$23="Nuclear",H$6:H$23))</f>
        <v>0.62118203839705777</v>
      </c>
      <c r="I32" s="46" cm="1">
        <f t="array" ref="I32">MAX( IF($L$6:$L$23="Nuclear",I$6:I$23))</f>
        <v>0.60044945346475875</v>
      </c>
      <c r="K32" s="52" cm="1">
        <f t="array" ref="K32">MAX( IF($L$6:$L$23="Nuclear",K$6:K$23))</f>
        <v>0.60791181726743004</v>
      </c>
      <c r="L32" s="76"/>
      <c r="M32" s="76"/>
    </row>
    <row r="33" spans="2:13" x14ac:dyDescent="0.35">
      <c r="K33" s="41"/>
      <c r="L33" s="76"/>
      <c r="M33" s="76"/>
    </row>
    <row r="34" spans="2:13" x14ac:dyDescent="0.35">
      <c r="B34" t="s">
        <v>242</v>
      </c>
      <c r="E34" s="46">
        <f>AVERAGEIF($M:$M, "Hydro", E:E)</f>
        <v>0.51279450928105696</v>
      </c>
      <c r="F34" s="46">
        <f>AVERAGEIF($M:$M, "Hydro", F:F)</f>
        <v>0.51384953869428918</v>
      </c>
      <c r="G34" s="46">
        <f>AVERAGEIF($M:$M, "Hydro", G:G)</f>
        <v>0.5134249942104987</v>
      </c>
      <c r="H34" s="46">
        <f>AVERAGEIF($M:$M, "Hydro", H:H)</f>
        <v>0.51776527776187642</v>
      </c>
      <c r="I34" s="46">
        <f>AVERAGEIF($M:$M, "Hydro", I:I)</f>
        <v>0.52983222497913618</v>
      </c>
      <c r="K34" s="47">
        <f>AVERAGEIF($M:$M, "Hydro", K:K)</f>
        <v>0.51753330898537153</v>
      </c>
      <c r="L34" s="76"/>
      <c r="M34" s="76"/>
    </row>
    <row r="35" spans="2:13" x14ac:dyDescent="0.35">
      <c r="B35" t="s">
        <v>243</v>
      </c>
      <c r="E35" s="46" cm="1">
        <f t="array" ref="E35">MEDIAN( IF($M$6:$M$23="Hydro",E$6:E$23))</f>
        <v>0.49945539155892471</v>
      </c>
      <c r="F35" s="46" cm="1">
        <f t="array" ref="F35">MEDIAN( IF($M$6:$M$23="Hydro",F$6:F$23))</f>
        <v>0.49415513842504272</v>
      </c>
      <c r="G35" s="46" cm="1">
        <f t="array" ref="G35">MEDIAN( IF($M$6:$M$23="Hydro",G$6:G$23))</f>
        <v>0.54368497590186959</v>
      </c>
      <c r="H35" s="46" cm="1">
        <f t="array" ref="H35">MEDIAN( IF($M$6:$M$23="Hydro",H$6:H$23))</f>
        <v>0.54623644118081571</v>
      </c>
      <c r="I35" s="46" cm="1">
        <f t="array" ref="I35">MEDIAN( IF($M$6:$M$23="Hydro",I$6:I$23))</f>
        <v>0.5396041073056661</v>
      </c>
      <c r="K35" s="52" cm="1">
        <f t="array" ref="K35">MEDIAN( IF($M$6:$M$23="Hydro",K$6:K$23))</f>
        <v>0.52538643115427863</v>
      </c>
      <c r="L35" s="76"/>
      <c r="M35" s="76"/>
    </row>
    <row r="36" spans="2:13" x14ac:dyDescent="0.35">
      <c r="B36" t="s">
        <v>244</v>
      </c>
      <c r="E36" s="46" cm="1">
        <f t="array" ref="E36">MIN( IF($M$6:$M$23="Hydro",E$6:E$23))</f>
        <v>0.43271901671125351</v>
      </c>
      <c r="F36" s="46" cm="1">
        <f t="array" ref="F36">MIN( IF($M$6:$M$23="Hydro",F$6:F$23))</f>
        <v>0.44773438645436686</v>
      </c>
      <c r="G36" s="46" cm="1">
        <f t="array" ref="G36">MIN( IF($M$6:$M$23="Hydro",G$6:G$23))</f>
        <v>0.43237653952738153</v>
      </c>
      <c r="H36" s="46" cm="1">
        <f t="array" ref="H36">MIN( IF($M$6:$M$23="Hydro",H$6:H$23))</f>
        <v>0.45089385821759076</v>
      </c>
      <c r="I36" s="46" cm="1">
        <f t="array" ref="I36">MIN( IF($M$6:$M$23="Hydro",I$6:I$23))</f>
        <v>0.46066233821656521</v>
      </c>
      <c r="K36" s="52" cm="1">
        <f t="array" ref="K36">MIN( IF($M$6:$M$23="Hydro",K$6:K$23))</f>
        <v>0.45066966667333236</v>
      </c>
      <c r="L36" s="76"/>
      <c r="M36" s="76"/>
    </row>
    <row r="37" spans="2:13" x14ac:dyDescent="0.35">
      <c r="B37" t="s">
        <v>245</v>
      </c>
      <c r="E37" s="46" cm="1">
        <f t="array" ref="E37">MAX( IF($M$6:$M$23="Hydro",E$6:E$23))</f>
        <v>0.62066436843680051</v>
      </c>
      <c r="F37" s="46" cm="1">
        <f t="array" ref="F37">MAX( IF($M$6:$M$23="Hydro",F$6:F$23))</f>
        <v>0.62547760804320329</v>
      </c>
      <c r="G37" s="46" cm="1">
        <f t="array" ref="G37">MAX( IF($M$6:$M$23="Hydro",G$6:G$23))</f>
        <v>0.59705078145355261</v>
      </c>
      <c r="H37" s="46" cm="1">
        <f t="array" ref="H37">MAX( IF($M$6:$M$23="Hydro",H$6:H$23))</f>
        <v>0.56078509704549229</v>
      </c>
      <c r="I37" s="46" cm="1">
        <f t="array" ref="I37">MAX( IF($M$6:$M$23="Hydro",I$6:I$23))</f>
        <v>0.58118540443618483</v>
      </c>
      <c r="K37" s="52" cm="1">
        <f t="array" ref="K37">MAX( IF($M$6:$M$23="Hydro",K$6:K$23))</f>
        <v>0.59703265188304666</v>
      </c>
      <c r="L37" s="76"/>
      <c r="M37" s="76"/>
    </row>
  </sheetData>
  <mergeCells count="2">
    <mergeCell ref="B2:K2"/>
    <mergeCell ref="L2:M3"/>
  </mergeCells>
  <printOptions horizontalCentered="1"/>
  <pageMargins left="0.7" right="0.7" top="0.75" bottom="0.75" header="0.3" footer="0.3"/>
  <pageSetup scale="86" orientation="landscape" useFirstPageNumber="1" r:id="rId1"/>
  <headerFooter>
    <oddHeader>&amp;LExhibit 3
Page 1 of 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EC2E3-9E02-460F-88EB-5524EBE84C22}">
  <dimension ref="A1:J121"/>
  <sheetViews>
    <sheetView view="pageBreakPreview" topLeftCell="A31" zoomScale="60" zoomScaleNormal="85" zoomScalePageLayoutView="90" workbookViewId="0">
      <selection activeCell="U63" sqref="U63"/>
    </sheetView>
  </sheetViews>
  <sheetFormatPr defaultRowHeight="14.5" x14ac:dyDescent="0.35"/>
  <cols>
    <col min="1" max="1" width="2.6328125" customWidth="1"/>
    <col min="2" max="2" width="43.6328125" customWidth="1"/>
    <col min="3" max="3" width="25.26953125" style="41" customWidth="1"/>
    <col min="4" max="4" width="24.81640625" style="41" customWidth="1"/>
    <col min="5" max="5" width="17.08984375" style="41" customWidth="1"/>
    <col min="6" max="6" width="15.08984375" customWidth="1"/>
    <col min="7" max="7" width="2.6328125" customWidth="1"/>
    <col min="8" max="9" width="9.08984375" style="76"/>
    <col min="10" max="10" width="28.7265625" style="76" customWidth="1"/>
  </cols>
  <sheetData>
    <row r="1" spans="2:10" x14ac:dyDescent="0.35">
      <c r="B1" s="53"/>
      <c r="C1" s="53"/>
      <c r="D1" s="53"/>
      <c r="E1" s="53"/>
      <c r="F1" s="53"/>
      <c r="G1" s="53"/>
      <c r="J1" s="77"/>
    </row>
    <row r="2" spans="2:10" ht="15" customHeight="1" x14ac:dyDescent="0.35">
      <c r="B2" s="115" t="s">
        <v>246</v>
      </c>
      <c r="C2" s="115"/>
      <c r="D2" s="115"/>
      <c r="E2" s="115"/>
      <c r="F2" s="115"/>
      <c r="G2" s="55"/>
      <c r="H2" s="78"/>
      <c r="I2" s="78"/>
      <c r="J2" s="79"/>
    </row>
    <row r="3" spans="2:10" x14ac:dyDescent="0.35">
      <c r="B3" s="54"/>
      <c r="C3" s="54"/>
      <c r="D3" s="54"/>
      <c r="E3" s="54"/>
      <c r="F3" s="54"/>
      <c r="G3" s="55"/>
      <c r="H3" s="78"/>
      <c r="I3" s="78"/>
      <c r="J3" s="79"/>
    </row>
    <row r="4" spans="2:10" x14ac:dyDescent="0.35">
      <c r="B4" s="56" t="s">
        <v>247</v>
      </c>
      <c r="C4" s="74" t="s">
        <v>248</v>
      </c>
      <c r="D4" s="57" t="s">
        <v>99</v>
      </c>
      <c r="E4" s="57" t="s">
        <v>249</v>
      </c>
      <c r="F4" s="58" t="s">
        <v>250</v>
      </c>
      <c r="G4" s="53"/>
      <c r="H4" s="101" t="s">
        <v>230</v>
      </c>
      <c r="I4" s="101" t="s">
        <v>230</v>
      </c>
      <c r="J4" s="102" t="s">
        <v>251</v>
      </c>
    </row>
    <row r="5" spans="2:10" x14ac:dyDescent="0.35">
      <c r="B5" s="59" t="s">
        <v>252</v>
      </c>
      <c r="C5" s="54" t="s">
        <v>253</v>
      </c>
      <c r="D5" s="54" t="s">
        <v>118</v>
      </c>
      <c r="E5" s="54" t="s">
        <v>254</v>
      </c>
      <c r="F5" s="60">
        <v>0.53</v>
      </c>
      <c r="G5" s="60"/>
      <c r="H5" s="76" t="s">
        <v>231</v>
      </c>
      <c r="I5" s="76" t="s">
        <v>232</v>
      </c>
      <c r="J5" s="77" t="s">
        <v>255</v>
      </c>
    </row>
    <row r="6" spans="2:10" x14ac:dyDescent="0.35">
      <c r="B6" s="59" t="s">
        <v>256</v>
      </c>
      <c r="C6" s="54" t="s">
        <v>257</v>
      </c>
      <c r="D6" s="54" t="s">
        <v>125</v>
      </c>
      <c r="E6" s="54" t="s">
        <v>254</v>
      </c>
      <c r="F6" s="60">
        <v>0.5</v>
      </c>
      <c r="G6" s="60"/>
      <c r="H6" s="76" t="s">
        <v>231</v>
      </c>
      <c r="I6" s="76" t="s">
        <v>231</v>
      </c>
      <c r="J6" s="77" t="s">
        <v>258</v>
      </c>
    </row>
    <row r="7" spans="2:10" x14ac:dyDescent="0.35">
      <c r="B7" s="59" t="s">
        <v>259</v>
      </c>
      <c r="C7" s="54" t="s">
        <v>260</v>
      </c>
      <c r="D7" s="54" t="s">
        <v>125</v>
      </c>
      <c r="E7" s="54" t="s">
        <v>254</v>
      </c>
      <c r="F7" s="60" t="s">
        <v>199</v>
      </c>
      <c r="G7" s="60"/>
      <c r="H7" s="76" t="s">
        <v>233</v>
      </c>
      <c r="I7" s="76" t="s">
        <v>232</v>
      </c>
      <c r="J7" s="77" t="s">
        <v>258</v>
      </c>
    </row>
    <row r="8" spans="2:10" x14ac:dyDescent="0.35">
      <c r="B8" s="59" t="s">
        <v>261</v>
      </c>
      <c r="C8" s="54" t="s">
        <v>262</v>
      </c>
      <c r="D8" s="54" t="s">
        <v>127</v>
      </c>
      <c r="E8" s="54" t="s">
        <v>254</v>
      </c>
      <c r="F8" s="60">
        <v>0.42499999999999999</v>
      </c>
      <c r="G8" s="60"/>
      <c r="H8" s="76" t="s">
        <v>231</v>
      </c>
      <c r="I8" s="76" t="s">
        <v>231</v>
      </c>
      <c r="J8" s="77" t="s">
        <v>258</v>
      </c>
    </row>
    <row r="9" spans="2:10" x14ac:dyDescent="0.35">
      <c r="B9" s="59" t="s">
        <v>263</v>
      </c>
      <c r="C9" s="54" t="s">
        <v>264</v>
      </c>
      <c r="D9" s="54" t="s">
        <v>127</v>
      </c>
      <c r="E9" s="54" t="s">
        <v>254</v>
      </c>
      <c r="F9" s="60">
        <v>0.4824</v>
      </c>
      <c r="G9" s="60"/>
      <c r="H9" s="76" t="s">
        <v>231</v>
      </c>
      <c r="I9" s="76" t="s">
        <v>232</v>
      </c>
      <c r="J9" s="77" t="s">
        <v>255</v>
      </c>
    </row>
    <row r="10" spans="2:10" x14ac:dyDescent="0.35">
      <c r="B10" s="59" t="s">
        <v>263</v>
      </c>
      <c r="C10" s="54" t="s">
        <v>265</v>
      </c>
      <c r="D10" s="54" t="s">
        <v>127</v>
      </c>
      <c r="E10" s="54" t="s">
        <v>254</v>
      </c>
      <c r="F10" s="60" t="s">
        <v>199</v>
      </c>
      <c r="G10" s="60"/>
      <c r="H10" s="76" t="s">
        <v>231</v>
      </c>
      <c r="I10" s="76" t="s">
        <v>232</v>
      </c>
      <c r="J10" s="77" t="s">
        <v>258</v>
      </c>
    </row>
    <row r="11" spans="2:10" x14ac:dyDescent="0.35">
      <c r="B11" s="59" t="s">
        <v>266</v>
      </c>
      <c r="C11" s="54" t="s">
        <v>267</v>
      </c>
      <c r="D11" s="54" t="s">
        <v>127</v>
      </c>
      <c r="E11" s="54" t="s">
        <v>254</v>
      </c>
      <c r="F11" s="60" t="s">
        <v>199</v>
      </c>
      <c r="G11" s="60"/>
      <c r="H11" s="76" t="s">
        <v>233</v>
      </c>
      <c r="I11" s="76" t="s">
        <v>231</v>
      </c>
      <c r="J11" s="77" t="s">
        <v>255</v>
      </c>
    </row>
    <row r="12" spans="2:10" x14ac:dyDescent="0.35">
      <c r="B12" s="59" t="s">
        <v>266</v>
      </c>
      <c r="C12" s="54" t="s">
        <v>268</v>
      </c>
      <c r="D12" s="54" t="s">
        <v>127</v>
      </c>
      <c r="E12" s="54" t="s">
        <v>254</v>
      </c>
      <c r="F12" s="60" t="s">
        <v>199</v>
      </c>
      <c r="G12" s="60"/>
      <c r="H12" s="76" t="s">
        <v>233</v>
      </c>
      <c r="I12" s="76" t="s">
        <v>231</v>
      </c>
      <c r="J12" s="77" t="s">
        <v>269</v>
      </c>
    </row>
    <row r="13" spans="2:10" x14ac:dyDescent="0.35">
      <c r="B13" s="59" t="s">
        <v>270</v>
      </c>
      <c r="C13" s="54" t="s">
        <v>271</v>
      </c>
      <c r="D13" s="54" t="s">
        <v>127</v>
      </c>
      <c r="E13" s="54" t="s">
        <v>254</v>
      </c>
      <c r="F13" s="60">
        <v>0.41249999999999998</v>
      </c>
      <c r="G13" s="60"/>
      <c r="H13" s="76" t="s">
        <v>231</v>
      </c>
      <c r="I13" s="76" t="s">
        <v>231</v>
      </c>
      <c r="J13" s="77" t="s">
        <v>269</v>
      </c>
    </row>
    <row r="14" spans="2:10" x14ac:dyDescent="0.35">
      <c r="B14" s="59" t="s">
        <v>272</v>
      </c>
      <c r="C14" s="54" t="s">
        <v>273</v>
      </c>
      <c r="D14" s="54" t="s">
        <v>127</v>
      </c>
      <c r="E14" s="54" t="s">
        <v>254</v>
      </c>
      <c r="F14" s="60">
        <v>0.48899999999999999</v>
      </c>
      <c r="G14" s="60"/>
      <c r="H14" s="76" t="s">
        <v>231</v>
      </c>
      <c r="I14" s="76" t="s">
        <v>231</v>
      </c>
      <c r="J14" s="77" t="s">
        <v>255</v>
      </c>
    </row>
    <row r="15" spans="2:10" x14ac:dyDescent="0.35">
      <c r="B15" s="59" t="s">
        <v>274</v>
      </c>
      <c r="C15" s="54" t="s">
        <v>275</v>
      </c>
      <c r="D15" s="54" t="s">
        <v>127</v>
      </c>
      <c r="E15" s="54" t="s">
        <v>254</v>
      </c>
      <c r="F15" s="60">
        <v>0.54430000000000001</v>
      </c>
      <c r="G15" s="60"/>
      <c r="H15" s="76" t="s">
        <v>231</v>
      </c>
      <c r="I15" s="76" t="s">
        <v>231</v>
      </c>
      <c r="J15" s="77" t="s">
        <v>258</v>
      </c>
    </row>
    <row r="16" spans="2:10" x14ac:dyDescent="0.35">
      <c r="B16" s="59" t="s">
        <v>276</v>
      </c>
      <c r="C16" s="54" t="s">
        <v>277</v>
      </c>
      <c r="D16" s="54" t="s">
        <v>127</v>
      </c>
      <c r="E16" s="54" t="s">
        <v>254</v>
      </c>
      <c r="F16" s="60">
        <v>0.51119999999999999</v>
      </c>
      <c r="G16" s="60"/>
      <c r="H16" s="76" t="s">
        <v>231</v>
      </c>
      <c r="I16" s="76" t="s">
        <v>231</v>
      </c>
      <c r="J16" s="77" t="s">
        <v>258</v>
      </c>
    </row>
    <row r="17" spans="2:10" x14ac:dyDescent="0.35">
      <c r="B17" s="59" t="s">
        <v>278</v>
      </c>
      <c r="C17" s="54" t="s">
        <v>279</v>
      </c>
      <c r="D17" s="54" t="s">
        <v>127</v>
      </c>
      <c r="E17" s="54" t="s">
        <v>254</v>
      </c>
      <c r="F17" s="60" t="s">
        <v>199</v>
      </c>
      <c r="G17" s="60"/>
      <c r="H17" s="76" t="s">
        <v>231</v>
      </c>
      <c r="I17" s="76" t="s">
        <v>231</v>
      </c>
      <c r="J17" s="77" t="s">
        <v>255</v>
      </c>
    </row>
    <row r="18" spans="2:10" x14ac:dyDescent="0.35">
      <c r="B18" s="59" t="s">
        <v>278</v>
      </c>
      <c r="C18" s="54" t="s">
        <v>280</v>
      </c>
      <c r="D18" s="54" t="s">
        <v>127</v>
      </c>
      <c r="E18" s="54" t="s">
        <v>254</v>
      </c>
      <c r="F18" s="60" t="s">
        <v>199</v>
      </c>
      <c r="G18" s="60"/>
      <c r="H18" s="76" t="s">
        <v>231</v>
      </c>
      <c r="I18" s="76" t="s">
        <v>231</v>
      </c>
      <c r="J18" s="77" t="s">
        <v>255</v>
      </c>
    </row>
    <row r="19" spans="2:10" x14ac:dyDescent="0.35">
      <c r="B19" s="59" t="s">
        <v>278</v>
      </c>
      <c r="C19" s="54" t="s">
        <v>262</v>
      </c>
      <c r="D19" s="54" t="s">
        <v>127</v>
      </c>
      <c r="E19" s="54" t="s">
        <v>254</v>
      </c>
      <c r="F19" s="60">
        <v>0.49369999999999997</v>
      </c>
      <c r="G19" s="60"/>
      <c r="H19" s="76" t="s">
        <v>231</v>
      </c>
      <c r="I19" s="76" t="s">
        <v>231</v>
      </c>
      <c r="J19" s="77" t="s">
        <v>258</v>
      </c>
    </row>
    <row r="20" spans="2:10" x14ac:dyDescent="0.35">
      <c r="B20" s="59" t="s">
        <v>281</v>
      </c>
      <c r="C20" s="54" t="s">
        <v>265</v>
      </c>
      <c r="D20" s="54" t="s">
        <v>127</v>
      </c>
      <c r="E20" s="54" t="s">
        <v>254</v>
      </c>
      <c r="F20" s="60" t="s">
        <v>199</v>
      </c>
      <c r="G20" s="60"/>
      <c r="H20" s="76" t="s">
        <v>231</v>
      </c>
      <c r="I20" s="76" t="s">
        <v>231</v>
      </c>
      <c r="J20" s="77" t="s">
        <v>258</v>
      </c>
    </row>
    <row r="21" spans="2:10" x14ac:dyDescent="0.35">
      <c r="B21" s="59" t="s">
        <v>282</v>
      </c>
      <c r="C21" s="54" t="s">
        <v>283</v>
      </c>
      <c r="D21" s="54" t="s">
        <v>140</v>
      </c>
      <c r="E21" s="54" t="s">
        <v>254</v>
      </c>
      <c r="F21" s="60">
        <v>0.52500000000000002</v>
      </c>
      <c r="G21" s="60"/>
      <c r="H21" s="76" t="s">
        <v>233</v>
      </c>
      <c r="I21" s="76" t="s">
        <v>231</v>
      </c>
      <c r="J21" s="77" t="s">
        <v>255</v>
      </c>
    </row>
    <row r="22" spans="2:10" x14ac:dyDescent="0.35">
      <c r="B22" s="59" t="s">
        <v>284</v>
      </c>
      <c r="C22" s="54" t="s">
        <v>285</v>
      </c>
      <c r="D22" s="54" t="s">
        <v>140</v>
      </c>
      <c r="E22" s="54" t="s">
        <v>254</v>
      </c>
      <c r="F22" s="60">
        <v>0.52510000000000001</v>
      </c>
      <c r="G22" s="60"/>
      <c r="H22" s="76" t="s">
        <v>233</v>
      </c>
      <c r="I22" s="76" t="s">
        <v>231</v>
      </c>
      <c r="J22" s="77" t="s">
        <v>286</v>
      </c>
    </row>
    <row r="23" spans="2:10" x14ac:dyDescent="0.35">
      <c r="B23" s="59" t="s">
        <v>287</v>
      </c>
      <c r="C23" s="54" t="s">
        <v>283</v>
      </c>
      <c r="D23" s="54" t="s">
        <v>144</v>
      </c>
      <c r="E23" s="54" t="s">
        <v>254</v>
      </c>
      <c r="F23" s="60">
        <v>0.53</v>
      </c>
      <c r="G23" s="60"/>
      <c r="H23" s="76" t="s">
        <v>233</v>
      </c>
      <c r="I23" s="76" t="s">
        <v>232</v>
      </c>
      <c r="J23" s="77" t="s">
        <v>255</v>
      </c>
    </row>
    <row r="24" spans="2:10" x14ac:dyDescent="0.35">
      <c r="B24" s="59" t="s">
        <v>287</v>
      </c>
      <c r="C24" s="54" t="s">
        <v>285</v>
      </c>
      <c r="D24" s="54" t="s">
        <v>144</v>
      </c>
      <c r="E24" s="54" t="s">
        <v>254</v>
      </c>
      <c r="F24" s="60">
        <v>0.5121</v>
      </c>
      <c r="G24" s="60"/>
      <c r="H24" s="76" t="s">
        <v>233</v>
      </c>
      <c r="I24" s="76" t="s">
        <v>232</v>
      </c>
      <c r="J24" s="77" t="s">
        <v>286</v>
      </c>
    </row>
    <row r="25" spans="2:10" x14ac:dyDescent="0.35">
      <c r="B25" s="59" t="s">
        <v>288</v>
      </c>
      <c r="C25" s="54" t="s">
        <v>289</v>
      </c>
      <c r="D25" s="54" t="s">
        <v>144</v>
      </c>
      <c r="E25" s="54" t="s">
        <v>254</v>
      </c>
      <c r="F25" s="60" t="s">
        <v>199</v>
      </c>
      <c r="G25" s="60"/>
      <c r="H25" s="76" t="s">
        <v>231</v>
      </c>
      <c r="I25" s="76" t="s">
        <v>231</v>
      </c>
      <c r="J25" s="77" t="s">
        <v>269</v>
      </c>
    </row>
    <row r="26" spans="2:10" x14ac:dyDescent="0.35">
      <c r="B26" s="59" t="s">
        <v>290</v>
      </c>
      <c r="C26" s="54" t="s">
        <v>267</v>
      </c>
      <c r="D26" s="54" t="s">
        <v>144</v>
      </c>
      <c r="E26" s="54" t="s">
        <v>254</v>
      </c>
      <c r="F26" s="60" t="s">
        <v>199</v>
      </c>
      <c r="G26" s="60"/>
      <c r="H26" s="76" t="s">
        <v>231</v>
      </c>
      <c r="I26" s="76" t="s">
        <v>231</v>
      </c>
      <c r="J26" s="77" t="s">
        <v>255</v>
      </c>
    </row>
    <row r="27" spans="2:10" x14ac:dyDescent="0.35">
      <c r="B27" s="59" t="s">
        <v>291</v>
      </c>
      <c r="C27" s="54" t="s">
        <v>271</v>
      </c>
      <c r="D27" s="54" t="s">
        <v>144</v>
      </c>
      <c r="E27" s="54" t="s">
        <v>254</v>
      </c>
      <c r="F27" s="60">
        <v>0.52149999999999996</v>
      </c>
      <c r="G27" s="60"/>
      <c r="H27" s="76" t="s">
        <v>231</v>
      </c>
      <c r="I27" s="76" t="s">
        <v>231</v>
      </c>
      <c r="J27" s="77" t="s">
        <v>269</v>
      </c>
    </row>
    <row r="28" spans="2:10" x14ac:dyDescent="0.35">
      <c r="B28" s="59" t="s">
        <v>292</v>
      </c>
      <c r="C28" s="54" t="s">
        <v>275</v>
      </c>
      <c r="D28" s="54" t="s">
        <v>144</v>
      </c>
      <c r="E28" s="54" t="s">
        <v>254</v>
      </c>
      <c r="F28" s="60">
        <v>0.505</v>
      </c>
      <c r="G28" s="60"/>
      <c r="H28" s="76" t="s">
        <v>231</v>
      </c>
      <c r="I28" s="76" t="s">
        <v>231</v>
      </c>
      <c r="J28" s="77" t="s">
        <v>258</v>
      </c>
    </row>
    <row r="29" spans="2:10" x14ac:dyDescent="0.35">
      <c r="B29" s="59" t="s">
        <v>293</v>
      </c>
      <c r="C29" s="54" t="s">
        <v>283</v>
      </c>
      <c r="D29" s="54" t="s">
        <v>144</v>
      </c>
      <c r="E29" s="54" t="s">
        <v>254</v>
      </c>
      <c r="F29" s="60">
        <v>0.53</v>
      </c>
      <c r="G29" s="60"/>
      <c r="H29" s="76" t="s">
        <v>233</v>
      </c>
      <c r="I29" s="76" t="s">
        <v>231</v>
      </c>
      <c r="J29" s="77" t="s">
        <v>255</v>
      </c>
    </row>
    <row r="30" spans="2:10" x14ac:dyDescent="0.35">
      <c r="B30" s="59" t="s">
        <v>293</v>
      </c>
      <c r="C30" s="54" t="s">
        <v>285</v>
      </c>
      <c r="D30" s="54" t="s">
        <v>144</v>
      </c>
      <c r="E30" s="54" t="s">
        <v>254</v>
      </c>
      <c r="F30" s="60">
        <v>0.52429999999999999</v>
      </c>
      <c r="G30" s="60"/>
      <c r="H30" s="76" t="s">
        <v>233</v>
      </c>
      <c r="I30" s="76" t="s">
        <v>231</v>
      </c>
      <c r="J30" s="77" t="s">
        <v>286</v>
      </c>
    </row>
    <row r="31" spans="2:10" x14ac:dyDescent="0.35">
      <c r="B31" s="59" t="s">
        <v>294</v>
      </c>
      <c r="C31" s="54" t="s">
        <v>295</v>
      </c>
      <c r="D31" s="54" t="s">
        <v>146</v>
      </c>
      <c r="E31" s="54" t="s">
        <v>254</v>
      </c>
      <c r="F31" s="60" t="s">
        <v>199</v>
      </c>
      <c r="G31" s="60"/>
      <c r="H31" s="76" t="s">
        <v>233</v>
      </c>
      <c r="I31" s="76" t="s">
        <v>232</v>
      </c>
      <c r="J31" s="77" t="s">
        <v>286</v>
      </c>
    </row>
    <row r="32" spans="2:10" x14ac:dyDescent="0.35">
      <c r="B32" s="59" t="s">
        <v>296</v>
      </c>
      <c r="C32" s="54" t="s">
        <v>280</v>
      </c>
      <c r="D32" s="54" t="s">
        <v>148</v>
      </c>
      <c r="E32" s="54" t="s">
        <v>254</v>
      </c>
      <c r="F32" s="60" t="s">
        <v>199</v>
      </c>
      <c r="G32" s="60"/>
      <c r="H32" s="76" t="s">
        <v>233</v>
      </c>
      <c r="I32" s="76" t="s">
        <v>231</v>
      </c>
      <c r="J32" s="77" t="s">
        <v>255</v>
      </c>
    </row>
    <row r="33" spans="2:10" x14ac:dyDescent="0.35">
      <c r="B33" s="59" t="s">
        <v>297</v>
      </c>
      <c r="C33" s="54" t="s">
        <v>279</v>
      </c>
      <c r="D33" s="54" t="s">
        <v>148</v>
      </c>
      <c r="E33" s="54" t="s">
        <v>254</v>
      </c>
      <c r="F33" s="60" t="s">
        <v>199</v>
      </c>
      <c r="G33" s="60"/>
      <c r="H33" s="76" t="s">
        <v>233</v>
      </c>
      <c r="I33" s="76" t="s">
        <v>231</v>
      </c>
      <c r="J33" s="77" t="s">
        <v>255</v>
      </c>
    </row>
    <row r="34" spans="2:10" x14ac:dyDescent="0.35">
      <c r="B34" s="59" t="s">
        <v>298</v>
      </c>
      <c r="C34" s="54" t="s">
        <v>299</v>
      </c>
      <c r="D34" s="54" t="s">
        <v>148</v>
      </c>
      <c r="E34" s="54" t="s">
        <v>254</v>
      </c>
      <c r="F34" s="60" t="s">
        <v>199</v>
      </c>
      <c r="G34" s="60"/>
      <c r="H34" s="76" t="s">
        <v>231</v>
      </c>
      <c r="I34" s="76" t="s">
        <v>231</v>
      </c>
      <c r="J34" s="77" t="s">
        <v>255</v>
      </c>
    </row>
    <row r="35" spans="2:10" x14ac:dyDescent="0.35">
      <c r="B35" s="59" t="s">
        <v>300</v>
      </c>
      <c r="C35" s="54" t="s">
        <v>279</v>
      </c>
      <c r="D35" s="54" t="s">
        <v>148</v>
      </c>
      <c r="E35" s="54" t="s">
        <v>254</v>
      </c>
      <c r="F35" s="60">
        <v>0.5</v>
      </c>
      <c r="G35" s="60"/>
      <c r="H35" s="76" t="s">
        <v>231</v>
      </c>
      <c r="I35" s="76" t="s">
        <v>231</v>
      </c>
      <c r="J35" s="77" t="s">
        <v>286</v>
      </c>
    </row>
    <row r="36" spans="2:10" x14ac:dyDescent="0.35">
      <c r="B36" s="59" t="s">
        <v>301</v>
      </c>
      <c r="C36" s="54" t="s">
        <v>262</v>
      </c>
      <c r="D36" s="54" t="s">
        <v>148</v>
      </c>
      <c r="E36" s="54" t="s">
        <v>254</v>
      </c>
      <c r="F36" s="60">
        <v>0.5121</v>
      </c>
      <c r="G36" s="60"/>
      <c r="H36" s="76" t="s">
        <v>231</v>
      </c>
      <c r="I36" s="76" t="s">
        <v>231</v>
      </c>
      <c r="J36" s="77" t="s">
        <v>258</v>
      </c>
    </row>
    <row r="37" spans="2:10" x14ac:dyDescent="0.35">
      <c r="B37" s="59" t="s">
        <v>302</v>
      </c>
      <c r="C37" s="54" t="s">
        <v>303</v>
      </c>
      <c r="D37" s="54" t="s">
        <v>157</v>
      </c>
      <c r="E37" s="54" t="s">
        <v>254</v>
      </c>
      <c r="F37" s="60" t="s">
        <v>199</v>
      </c>
      <c r="G37" s="60"/>
      <c r="H37" s="76" t="s">
        <v>233</v>
      </c>
      <c r="I37" s="76" t="s">
        <v>231</v>
      </c>
      <c r="J37" s="77" t="s">
        <v>255</v>
      </c>
    </row>
    <row r="38" spans="2:10" x14ac:dyDescent="0.35">
      <c r="B38" s="59" t="s">
        <v>302</v>
      </c>
      <c r="C38" s="54" t="s">
        <v>260</v>
      </c>
      <c r="D38" s="54" t="s">
        <v>157</v>
      </c>
      <c r="E38" s="54" t="s">
        <v>254</v>
      </c>
      <c r="F38" s="60" t="s">
        <v>199</v>
      </c>
      <c r="G38" s="60"/>
      <c r="H38" s="76" t="s">
        <v>233</v>
      </c>
      <c r="I38" s="76" t="s">
        <v>231</v>
      </c>
      <c r="J38" s="77" t="s">
        <v>258</v>
      </c>
    </row>
    <row r="39" spans="2:10" x14ac:dyDescent="0.35">
      <c r="B39" s="59" t="s">
        <v>304</v>
      </c>
      <c r="C39" s="54" t="s">
        <v>303</v>
      </c>
      <c r="D39" s="54" t="s">
        <v>157</v>
      </c>
      <c r="E39" s="54" t="s">
        <v>254</v>
      </c>
      <c r="F39" s="60">
        <v>0.50130000000000008</v>
      </c>
      <c r="G39" s="60"/>
      <c r="H39" s="76" t="s">
        <v>233</v>
      </c>
      <c r="I39" s="76" t="s">
        <v>231</v>
      </c>
      <c r="J39" s="77" t="s">
        <v>255</v>
      </c>
    </row>
    <row r="40" spans="2:10" x14ac:dyDescent="0.35">
      <c r="B40" s="59" t="s">
        <v>305</v>
      </c>
      <c r="C40" s="54" t="s">
        <v>260</v>
      </c>
      <c r="D40" s="54" t="s">
        <v>157</v>
      </c>
      <c r="E40" s="54" t="s">
        <v>254</v>
      </c>
      <c r="F40" s="60" t="s">
        <v>199</v>
      </c>
      <c r="G40" s="60"/>
      <c r="H40" s="76" t="s">
        <v>231</v>
      </c>
      <c r="I40" s="76" t="s">
        <v>231</v>
      </c>
      <c r="J40" s="77" t="s">
        <v>258</v>
      </c>
    </row>
    <row r="41" spans="2:10" x14ac:dyDescent="0.35">
      <c r="B41" s="59" t="s">
        <v>306</v>
      </c>
      <c r="C41" s="54" t="s">
        <v>303</v>
      </c>
      <c r="D41" s="54" t="s">
        <v>157</v>
      </c>
      <c r="E41" s="54" t="s">
        <v>254</v>
      </c>
      <c r="F41" s="60" t="s">
        <v>199</v>
      </c>
      <c r="G41" s="60"/>
      <c r="H41" s="76" t="s">
        <v>231</v>
      </c>
      <c r="I41" s="76" t="s">
        <v>231</v>
      </c>
      <c r="J41" s="77" t="s">
        <v>255</v>
      </c>
    </row>
    <row r="42" spans="2:10" x14ac:dyDescent="0.35">
      <c r="B42" s="59" t="s">
        <v>307</v>
      </c>
      <c r="C42" s="54" t="s">
        <v>308</v>
      </c>
      <c r="D42" s="54" t="s">
        <v>162</v>
      </c>
      <c r="E42" s="54" t="s">
        <v>254</v>
      </c>
      <c r="F42" s="60" t="s">
        <v>199</v>
      </c>
      <c r="G42" s="60"/>
      <c r="H42" s="76" t="s">
        <v>231</v>
      </c>
      <c r="I42" s="76" t="s">
        <v>232</v>
      </c>
      <c r="J42" s="77" t="s">
        <v>258</v>
      </c>
    </row>
    <row r="43" spans="2:10" x14ac:dyDescent="0.35">
      <c r="B43" s="59" t="s">
        <v>307</v>
      </c>
      <c r="C43" s="54" t="s">
        <v>309</v>
      </c>
      <c r="D43" s="54" t="s">
        <v>162</v>
      </c>
      <c r="E43" s="54" t="s">
        <v>254</v>
      </c>
      <c r="F43" s="60">
        <v>0.5</v>
      </c>
      <c r="G43" s="60"/>
      <c r="H43" s="76" t="s">
        <v>231</v>
      </c>
      <c r="I43" s="76" t="s">
        <v>232</v>
      </c>
      <c r="J43" s="77" t="s">
        <v>286</v>
      </c>
    </row>
    <row r="44" spans="2:10" x14ac:dyDescent="0.35">
      <c r="B44" s="59" t="s">
        <v>310</v>
      </c>
      <c r="C44" s="54" t="s">
        <v>289</v>
      </c>
      <c r="D44" s="54" t="s">
        <v>167</v>
      </c>
      <c r="E44" s="54" t="s">
        <v>254</v>
      </c>
      <c r="F44" s="60">
        <v>0.59599999999999997</v>
      </c>
      <c r="G44" s="60"/>
      <c r="H44" s="76" t="s">
        <v>233</v>
      </c>
      <c r="I44" s="76" t="s">
        <v>231</v>
      </c>
      <c r="J44" s="77" t="s">
        <v>269</v>
      </c>
    </row>
    <row r="45" spans="2:10" x14ac:dyDescent="0.35">
      <c r="B45" s="59" t="s">
        <v>311</v>
      </c>
      <c r="C45" s="54" t="s">
        <v>312</v>
      </c>
      <c r="D45" s="54" t="s">
        <v>178</v>
      </c>
      <c r="E45" s="54" t="s">
        <v>254</v>
      </c>
      <c r="F45" s="60">
        <v>0.51929999999999998</v>
      </c>
      <c r="G45" s="60"/>
      <c r="H45" s="76" t="s">
        <v>233</v>
      </c>
      <c r="I45" s="76" t="s">
        <v>231</v>
      </c>
      <c r="J45" s="77" t="s">
        <v>286</v>
      </c>
    </row>
    <row r="46" spans="2:10" x14ac:dyDescent="0.35">
      <c r="B46" s="59" t="s">
        <v>313</v>
      </c>
      <c r="C46" s="54" t="s">
        <v>314</v>
      </c>
      <c r="D46" s="54" t="s">
        <v>180</v>
      </c>
      <c r="E46" s="54" t="s">
        <v>254</v>
      </c>
      <c r="F46" s="60">
        <v>0.51</v>
      </c>
      <c r="G46" s="60"/>
      <c r="H46" s="76" t="s">
        <v>233</v>
      </c>
      <c r="I46" s="76" t="s">
        <v>231</v>
      </c>
      <c r="J46" s="77" t="s">
        <v>315</v>
      </c>
    </row>
    <row r="47" spans="2:10" x14ac:dyDescent="0.35">
      <c r="B47" s="59" t="s">
        <v>316</v>
      </c>
      <c r="C47" s="54" t="s">
        <v>262</v>
      </c>
      <c r="D47" s="54" t="s">
        <v>180</v>
      </c>
      <c r="E47" s="54" t="s">
        <v>254</v>
      </c>
      <c r="F47" s="60">
        <v>0.45</v>
      </c>
      <c r="G47" s="60"/>
      <c r="H47" s="76" t="s">
        <v>231</v>
      </c>
      <c r="I47" s="76" t="s">
        <v>231</v>
      </c>
      <c r="J47" s="77" t="s">
        <v>258</v>
      </c>
    </row>
    <row r="48" spans="2:10" x14ac:dyDescent="0.35">
      <c r="B48" s="59" t="s">
        <v>181</v>
      </c>
      <c r="C48" s="54" t="s">
        <v>309</v>
      </c>
      <c r="D48" s="54" t="s">
        <v>182</v>
      </c>
      <c r="E48" s="54" t="s">
        <v>254</v>
      </c>
      <c r="F48" s="60">
        <v>0.5</v>
      </c>
      <c r="G48" s="60"/>
      <c r="H48" s="76" t="s">
        <v>231</v>
      </c>
      <c r="I48" s="76" t="s">
        <v>232</v>
      </c>
      <c r="J48" s="77" t="s">
        <v>286</v>
      </c>
    </row>
    <row r="49" spans="2:10" x14ac:dyDescent="0.35">
      <c r="B49" s="59" t="s">
        <v>317</v>
      </c>
      <c r="C49" s="54" t="s">
        <v>318</v>
      </c>
      <c r="D49" s="54" t="s">
        <v>190</v>
      </c>
      <c r="E49" s="54" t="s">
        <v>254</v>
      </c>
      <c r="F49" s="60" t="s">
        <v>199</v>
      </c>
      <c r="G49" s="60"/>
      <c r="H49" s="76" t="s">
        <v>233</v>
      </c>
      <c r="I49" s="76" t="s">
        <v>232</v>
      </c>
      <c r="J49" s="77" t="s">
        <v>269</v>
      </c>
    </row>
    <row r="50" spans="2:10" x14ac:dyDescent="0.35">
      <c r="B50" s="59" t="s">
        <v>319</v>
      </c>
      <c r="C50" s="54" t="s">
        <v>320</v>
      </c>
      <c r="D50" s="54" t="s">
        <v>190</v>
      </c>
      <c r="E50" s="54" t="s">
        <v>254</v>
      </c>
      <c r="F50" s="60">
        <v>0.56000000000000005</v>
      </c>
      <c r="G50" s="60"/>
      <c r="H50" s="76" t="s">
        <v>233</v>
      </c>
      <c r="I50" s="76" t="s">
        <v>231</v>
      </c>
      <c r="J50" s="77" t="s">
        <v>255</v>
      </c>
    </row>
    <row r="51" spans="2:10" x14ac:dyDescent="0.35">
      <c r="B51" s="59" t="s">
        <v>321</v>
      </c>
      <c r="C51" s="54" t="s">
        <v>299</v>
      </c>
      <c r="D51" s="54" t="s">
        <v>190</v>
      </c>
      <c r="E51" s="54" t="s">
        <v>254</v>
      </c>
      <c r="F51" s="60">
        <v>0.53</v>
      </c>
      <c r="G51" s="60"/>
      <c r="H51" s="76" t="s">
        <v>231</v>
      </c>
      <c r="I51" s="76" t="s">
        <v>231</v>
      </c>
      <c r="J51" s="77" t="s">
        <v>255</v>
      </c>
    </row>
    <row r="52" spans="2:10" x14ac:dyDescent="0.35">
      <c r="B52" s="59" t="s">
        <v>322</v>
      </c>
      <c r="C52" s="54" t="s">
        <v>253</v>
      </c>
      <c r="D52" s="41" t="s">
        <v>196</v>
      </c>
      <c r="E52" s="41" t="s">
        <v>254</v>
      </c>
      <c r="F52" s="60">
        <v>0.52500000000000002</v>
      </c>
      <c r="G52" s="60"/>
      <c r="H52" s="76" t="s">
        <v>233</v>
      </c>
      <c r="I52" s="76" t="s">
        <v>231</v>
      </c>
      <c r="J52" s="77" t="s">
        <v>255</v>
      </c>
    </row>
    <row r="53" spans="2:10" x14ac:dyDescent="0.35">
      <c r="B53" s="59" t="s">
        <v>322</v>
      </c>
      <c r="C53" s="54" t="s">
        <v>323</v>
      </c>
      <c r="D53" s="41" t="s">
        <v>196</v>
      </c>
      <c r="E53" s="41" t="s">
        <v>254</v>
      </c>
      <c r="F53" s="60">
        <v>0.52500000000000002</v>
      </c>
      <c r="G53" s="60"/>
      <c r="H53" s="76" t="s">
        <v>233</v>
      </c>
      <c r="I53" s="76" t="s">
        <v>231</v>
      </c>
      <c r="J53" s="77" t="s">
        <v>255</v>
      </c>
    </row>
    <row r="54" spans="2:10" x14ac:dyDescent="0.35">
      <c r="B54" s="59" t="s">
        <v>322</v>
      </c>
      <c r="C54" s="54" t="s">
        <v>324</v>
      </c>
      <c r="D54" s="41" t="s">
        <v>196</v>
      </c>
      <c r="E54" s="41" t="s">
        <v>254</v>
      </c>
      <c r="F54" s="60">
        <v>0.52500000000000002</v>
      </c>
      <c r="G54" s="60"/>
      <c r="H54" s="76" t="s">
        <v>233</v>
      </c>
      <c r="I54" s="76" t="s">
        <v>231</v>
      </c>
      <c r="J54" s="77" t="s">
        <v>269</v>
      </c>
    </row>
    <row r="55" spans="2:10" x14ac:dyDescent="0.35">
      <c r="B55" s="59" t="s">
        <v>322</v>
      </c>
      <c r="C55" s="54" t="s">
        <v>325</v>
      </c>
      <c r="D55" s="41" t="s">
        <v>196</v>
      </c>
      <c r="E55" s="41" t="s">
        <v>254</v>
      </c>
      <c r="F55" s="60" t="s">
        <v>199</v>
      </c>
      <c r="G55" s="60"/>
      <c r="H55" s="76" t="s">
        <v>233</v>
      </c>
      <c r="I55" s="76" t="s">
        <v>231</v>
      </c>
      <c r="J55" s="77" t="s">
        <v>258</v>
      </c>
    </row>
    <row r="56" spans="2:10" x14ac:dyDescent="0.35">
      <c r="B56" s="59" t="s">
        <v>326</v>
      </c>
      <c r="C56" s="54" t="s">
        <v>327</v>
      </c>
      <c r="D56" s="41" t="s">
        <v>196</v>
      </c>
      <c r="E56" s="41" t="s">
        <v>254</v>
      </c>
      <c r="F56" s="60">
        <v>0.55689999999999995</v>
      </c>
      <c r="G56" s="60"/>
      <c r="H56" s="76" t="s">
        <v>231</v>
      </c>
      <c r="I56" s="76" t="s">
        <v>231</v>
      </c>
      <c r="J56" s="77" t="s">
        <v>258</v>
      </c>
    </row>
    <row r="57" spans="2:10" x14ac:dyDescent="0.35">
      <c r="B57" s="59" t="s">
        <v>328</v>
      </c>
      <c r="C57" s="54" t="s">
        <v>262</v>
      </c>
      <c r="D57" s="41" t="s">
        <v>196</v>
      </c>
      <c r="E57" s="41" t="s">
        <v>254</v>
      </c>
      <c r="F57" s="60" t="s">
        <v>199</v>
      </c>
      <c r="G57" s="60"/>
      <c r="H57" s="76" t="s">
        <v>231</v>
      </c>
      <c r="I57" s="76" t="s">
        <v>231</v>
      </c>
      <c r="J57" s="77" t="s">
        <v>258</v>
      </c>
    </row>
    <row r="58" spans="2:10" x14ac:dyDescent="0.35">
      <c r="B58" s="59" t="s">
        <v>328</v>
      </c>
      <c r="C58" s="54" t="s">
        <v>314</v>
      </c>
      <c r="D58" s="41" t="s">
        <v>196</v>
      </c>
      <c r="E58" s="41" t="s">
        <v>254</v>
      </c>
      <c r="F58" s="60">
        <v>0.54700000000000004</v>
      </c>
      <c r="G58" s="60"/>
      <c r="H58" s="76" t="s">
        <v>231</v>
      </c>
      <c r="I58" s="76" t="s">
        <v>231</v>
      </c>
      <c r="J58" s="77" t="s">
        <v>315</v>
      </c>
    </row>
    <row r="59" spans="2:10" x14ac:dyDescent="0.35">
      <c r="B59" s="59" t="s">
        <v>329</v>
      </c>
      <c r="C59" s="54" t="s">
        <v>295</v>
      </c>
      <c r="D59" s="54" t="s">
        <v>198</v>
      </c>
      <c r="E59" s="54" t="s">
        <v>254</v>
      </c>
      <c r="F59" s="60">
        <v>0.52500000000000002</v>
      </c>
      <c r="G59" s="60"/>
      <c r="H59" s="76" t="s">
        <v>231</v>
      </c>
      <c r="I59" s="76" t="s">
        <v>231</v>
      </c>
      <c r="J59" s="77" t="s">
        <v>286</v>
      </c>
    </row>
    <row r="60" spans="2:10" x14ac:dyDescent="0.35">
      <c r="B60" s="59" t="s">
        <v>330</v>
      </c>
      <c r="C60" s="54" t="s">
        <v>331</v>
      </c>
      <c r="D60" s="54" t="s">
        <v>198</v>
      </c>
      <c r="E60" s="54" t="s">
        <v>254</v>
      </c>
      <c r="F60" s="60">
        <v>0.52</v>
      </c>
      <c r="G60" s="60"/>
      <c r="H60" s="76" t="s">
        <v>231</v>
      </c>
      <c r="I60" s="76" t="s">
        <v>231</v>
      </c>
      <c r="J60" s="77" t="s">
        <v>255</v>
      </c>
    </row>
    <row r="61" spans="2:10" x14ac:dyDescent="0.35">
      <c r="B61" s="59" t="s">
        <v>332</v>
      </c>
      <c r="C61" s="54" t="s">
        <v>280</v>
      </c>
      <c r="D61" s="54" t="s">
        <v>198</v>
      </c>
      <c r="E61" s="54" t="s">
        <v>254</v>
      </c>
      <c r="F61" s="60" t="s">
        <v>199</v>
      </c>
      <c r="G61" s="60"/>
      <c r="H61" s="76" t="s">
        <v>231</v>
      </c>
      <c r="I61" s="76" t="s">
        <v>231</v>
      </c>
      <c r="J61" s="77" t="s">
        <v>255</v>
      </c>
    </row>
    <row r="62" spans="2:10" x14ac:dyDescent="0.35">
      <c r="B62" s="59" t="s">
        <v>332</v>
      </c>
      <c r="C62" s="54" t="s">
        <v>277</v>
      </c>
      <c r="D62" s="54" t="s">
        <v>198</v>
      </c>
      <c r="E62" s="54" t="s">
        <v>254</v>
      </c>
      <c r="F62" s="60" t="s">
        <v>199</v>
      </c>
      <c r="G62" s="60"/>
      <c r="H62" s="76" t="s">
        <v>231</v>
      </c>
      <c r="I62" s="76" t="s">
        <v>231</v>
      </c>
      <c r="J62" s="77" t="s">
        <v>258</v>
      </c>
    </row>
    <row r="63" spans="2:10" x14ac:dyDescent="0.35">
      <c r="B63" s="59" t="s">
        <v>332</v>
      </c>
      <c r="C63" s="54" t="s">
        <v>260</v>
      </c>
      <c r="D63" s="54" t="s">
        <v>198</v>
      </c>
      <c r="E63" s="54" t="s">
        <v>254</v>
      </c>
      <c r="F63" s="60" t="s">
        <v>199</v>
      </c>
      <c r="G63" s="60"/>
      <c r="H63" s="76" t="s">
        <v>231</v>
      </c>
      <c r="I63" s="76" t="s">
        <v>231</v>
      </c>
      <c r="J63" s="77" t="s">
        <v>258</v>
      </c>
    </row>
    <row r="64" spans="2:10" x14ac:dyDescent="0.35">
      <c r="B64" s="59" t="s">
        <v>332</v>
      </c>
      <c r="C64" s="54" t="s">
        <v>303</v>
      </c>
      <c r="D64" s="54" t="s">
        <v>198</v>
      </c>
      <c r="E64" s="54" t="s">
        <v>254</v>
      </c>
      <c r="F64" s="60" t="s">
        <v>199</v>
      </c>
      <c r="G64" s="60"/>
      <c r="H64" s="76" t="s">
        <v>231</v>
      </c>
      <c r="I64" s="76" t="s">
        <v>231</v>
      </c>
      <c r="J64" s="77" t="s">
        <v>255</v>
      </c>
    </row>
    <row r="65" spans="1:10" x14ac:dyDescent="0.35">
      <c r="B65" s="59" t="s">
        <v>333</v>
      </c>
      <c r="C65" s="54" t="s">
        <v>289</v>
      </c>
      <c r="D65" s="41" t="s">
        <v>207</v>
      </c>
      <c r="E65" s="41" t="s">
        <v>254</v>
      </c>
      <c r="F65" s="60" t="s">
        <v>199</v>
      </c>
      <c r="G65" s="60"/>
      <c r="H65" s="76" t="s">
        <v>231</v>
      </c>
      <c r="I65" s="76" t="s">
        <v>231</v>
      </c>
      <c r="J65" s="77" t="s">
        <v>269</v>
      </c>
    </row>
    <row r="66" spans="1:10" x14ac:dyDescent="0.35">
      <c r="B66" s="59" t="s">
        <v>334</v>
      </c>
      <c r="C66" s="54" t="s">
        <v>335</v>
      </c>
      <c r="D66" s="41" t="s">
        <v>207</v>
      </c>
      <c r="E66" s="41" t="s">
        <v>254</v>
      </c>
      <c r="F66" s="60">
        <v>0.4</v>
      </c>
      <c r="G66" s="60"/>
      <c r="H66" s="76" t="s">
        <v>231</v>
      </c>
      <c r="I66" s="76" t="s">
        <v>231</v>
      </c>
      <c r="J66" s="77" t="s">
        <v>315</v>
      </c>
    </row>
    <row r="67" spans="1:10" x14ac:dyDescent="0.35">
      <c r="B67" s="59" t="s">
        <v>336</v>
      </c>
      <c r="C67" s="54" t="s">
        <v>337</v>
      </c>
      <c r="D67" s="41" t="s">
        <v>211</v>
      </c>
      <c r="E67" s="41" t="s">
        <v>254</v>
      </c>
      <c r="F67" s="60">
        <v>0.48</v>
      </c>
      <c r="G67" s="60"/>
      <c r="H67" s="76" t="s">
        <v>231</v>
      </c>
      <c r="I67" s="76" t="s">
        <v>232</v>
      </c>
      <c r="J67" s="77" t="s">
        <v>258</v>
      </c>
    </row>
    <row r="68" spans="1:10" x14ac:dyDescent="0.35">
      <c r="B68" s="59" t="s">
        <v>338</v>
      </c>
      <c r="C68" s="54" t="s">
        <v>312</v>
      </c>
      <c r="D68" s="41" t="s">
        <v>211</v>
      </c>
      <c r="E68" s="41" t="s">
        <v>254</v>
      </c>
      <c r="F68" s="60">
        <v>0.54320000000000002</v>
      </c>
      <c r="G68" s="60"/>
      <c r="H68" s="76" t="s">
        <v>231</v>
      </c>
      <c r="I68" s="76" t="s">
        <v>231</v>
      </c>
      <c r="J68" s="77" t="s">
        <v>286</v>
      </c>
    </row>
    <row r="69" spans="1:10" x14ac:dyDescent="0.35">
      <c r="B69" s="59" t="s">
        <v>339</v>
      </c>
      <c r="C69" s="54" t="s">
        <v>312</v>
      </c>
      <c r="D69" s="41" t="s">
        <v>211</v>
      </c>
      <c r="E69" s="41" t="s">
        <v>254</v>
      </c>
      <c r="F69" s="60">
        <v>0.53720000000000001</v>
      </c>
      <c r="G69" s="60"/>
      <c r="H69" s="76" t="s">
        <v>231</v>
      </c>
      <c r="I69" s="76" t="s">
        <v>231</v>
      </c>
      <c r="J69" s="77" t="s">
        <v>286</v>
      </c>
    </row>
    <row r="70" spans="1:10" x14ac:dyDescent="0.35">
      <c r="B70" s="59" t="s">
        <v>340</v>
      </c>
      <c r="C70" s="54" t="s">
        <v>341</v>
      </c>
      <c r="D70" s="41" t="s">
        <v>211</v>
      </c>
      <c r="E70" s="41" t="s">
        <v>254</v>
      </c>
      <c r="F70" s="61">
        <v>0.37</v>
      </c>
      <c r="G70" s="61"/>
      <c r="H70" s="76" t="s">
        <v>231</v>
      </c>
      <c r="I70" s="76" t="s">
        <v>231</v>
      </c>
      <c r="J70" s="77" t="s">
        <v>255</v>
      </c>
    </row>
    <row r="71" spans="1:10" x14ac:dyDescent="0.35">
      <c r="B71" s="59" t="s">
        <v>342</v>
      </c>
      <c r="C71" s="54" t="s">
        <v>343</v>
      </c>
      <c r="D71" s="41" t="s">
        <v>211</v>
      </c>
      <c r="E71" s="41" t="s">
        <v>254</v>
      </c>
      <c r="F71" s="61">
        <v>0.41</v>
      </c>
      <c r="G71" s="61"/>
      <c r="H71" s="76" t="s">
        <v>231</v>
      </c>
      <c r="I71" s="76" t="s">
        <v>231</v>
      </c>
      <c r="J71" s="77" t="s">
        <v>269</v>
      </c>
    </row>
    <row r="72" spans="1:10" x14ac:dyDescent="0.35">
      <c r="B72" s="59" t="s">
        <v>344</v>
      </c>
      <c r="C72" s="54" t="s">
        <v>345</v>
      </c>
      <c r="D72" s="41" t="s">
        <v>211</v>
      </c>
      <c r="E72" s="41" t="s">
        <v>254</v>
      </c>
      <c r="F72" s="61">
        <v>0.45</v>
      </c>
      <c r="G72" s="61"/>
      <c r="H72" s="76" t="s">
        <v>231</v>
      </c>
      <c r="I72" s="76" t="s">
        <v>231</v>
      </c>
      <c r="J72" s="77" t="s">
        <v>255</v>
      </c>
    </row>
    <row r="73" spans="1:10" x14ac:dyDescent="0.35">
      <c r="B73" s="62" t="s">
        <v>346</v>
      </c>
      <c r="C73" s="75" t="s">
        <v>347</v>
      </c>
      <c r="D73" s="48" t="s">
        <v>211</v>
      </c>
      <c r="E73" s="48" t="s">
        <v>254</v>
      </c>
      <c r="F73" s="63">
        <v>0.4</v>
      </c>
      <c r="G73" s="61"/>
      <c r="H73" s="76" t="s">
        <v>231</v>
      </c>
      <c r="I73" s="76" t="s">
        <v>231</v>
      </c>
      <c r="J73" s="77" t="s">
        <v>315</v>
      </c>
    </row>
    <row r="74" spans="1:10" x14ac:dyDescent="0.35">
      <c r="A74" s="49"/>
      <c r="B74" s="64"/>
      <c r="C74" s="71"/>
      <c r="D74" s="65" t="s">
        <v>348</v>
      </c>
      <c r="E74" s="65"/>
      <c r="F74" s="66">
        <f>AVERAGE(F5:F73)</f>
        <v>0.50125813953488363</v>
      </c>
      <c r="G74" s="66"/>
      <c r="J74" s="77"/>
    </row>
    <row r="75" spans="1:10" x14ac:dyDescent="0.35">
      <c r="B75" s="53"/>
      <c r="C75" s="53"/>
      <c r="D75" s="70" t="s">
        <v>349</v>
      </c>
      <c r="E75" s="53"/>
      <c r="F75" s="67">
        <f>MEDIAN(F5:F73)</f>
        <v>0.5121</v>
      </c>
      <c r="G75" s="53"/>
      <c r="J75" s="77"/>
    </row>
    <row r="76" spans="1:10" x14ac:dyDescent="0.35">
      <c r="B76" s="53"/>
      <c r="C76" s="53"/>
      <c r="D76" s="53" t="s">
        <v>350</v>
      </c>
      <c r="E76" s="53"/>
      <c r="F76" s="68">
        <f>MIN(F5:F73)</f>
        <v>0.37</v>
      </c>
      <c r="G76" s="53"/>
      <c r="J76" s="77"/>
    </row>
    <row r="77" spans="1:10" x14ac:dyDescent="0.35">
      <c r="B77" s="53"/>
      <c r="C77" s="53"/>
      <c r="D77" s="53" t="s">
        <v>351</v>
      </c>
      <c r="E77" s="53"/>
      <c r="F77" s="68">
        <f>MAX(F5:F73)</f>
        <v>0.59599999999999997</v>
      </c>
      <c r="G77" s="53"/>
      <c r="J77" s="77"/>
    </row>
    <row r="78" spans="1:10" x14ac:dyDescent="0.35">
      <c r="B78" s="54"/>
      <c r="C78" s="54"/>
      <c r="D78" s="54"/>
      <c r="E78" s="54"/>
      <c r="F78" s="68"/>
      <c r="G78" s="54"/>
      <c r="J78" s="77"/>
    </row>
    <row r="79" spans="1:10" x14ac:dyDescent="0.35">
      <c r="B79" s="54"/>
      <c r="C79" s="54"/>
      <c r="D79" s="71" t="s">
        <v>238</v>
      </c>
      <c r="E79" s="54"/>
      <c r="F79" s="67">
        <f>AVERAGEIF(H:H, "Nuclear", F:F)</f>
        <v>0.52915000000000012</v>
      </c>
      <c r="G79" s="54"/>
      <c r="J79" s="77"/>
    </row>
    <row r="80" spans="1:10" x14ac:dyDescent="0.35">
      <c r="B80" s="54"/>
      <c r="C80" s="54"/>
      <c r="D80" s="71" t="s">
        <v>239</v>
      </c>
      <c r="E80" s="54"/>
      <c r="F80" s="67" cm="1">
        <f t="array" ref="F80">MEDIAN(IF(H5:H73="Nuclear", F5:F73))</f>
        <v>0.52500000000000002</v>
      </c>
      <c r="G80" s="54"/>
      <c r="J80" s="77"/>
    </row>
    <row r="81" spans="2:10" x14ac:dyDescent="0.35">
      <c r="B81" s="54"/>
      <c r="C81" s="54"/>
      <c r="D81" s="54" t="s">
        <v>240</v>
      </c>
      <c r="E81" s="54"/>
      <c r="F81" s="68" cm="1">
        <f t="array" ref="F81">MIN(IF(H5:H73="Nuclear", F5:F73))</f>
        <v>0.50130000000000008</v>
      </c>
      <c r="G81" s="54"/>
      <c r="J81" s="77"/>
    </row>
    <row r="82" spans="2:10" x14ac:dyDescent="0.35">
      <c r="B82" s="54"/>
      <c r="C82" s="54"/>
      <c r="D82" s="54" t="s">
        <v>241</v>
      </c>
      <c r="E82" s="54"/>
      <c r="F82" s="68" cm="1">
        <f t="array" ref="F82">MAX(IF(H5:H73="Nuclear", F5:F73))</f>
        <v>0.59599999999999997</v>
      </c>
      <c r="G82" s="54"/>
      <c r="J82" s="77"/>
    </row>
    <row r="83" spans="2:10" x14ac:dyDescent="0.35">
      <c r="B83" s="54"/>
      <c r="C83" s="54"/>
      <c r="D83" s="54"/>
      <c r="E83" s="54"/>
      <c r="F83" s="68"/>
      <c r="G83" s="54"/>
      <c r="J83" s="77"/>
    </row>
    <row r="84" spans="2:10" x14ac:dyDescent="0.35">
      <c r="B84" s="54"/>
      <c r="C84" s="54"/>
      <c r="D84" s="71" t="s">
        <v>242</v>
      </c>
      <c r="E84" s="54"/>
      <c r="F84" s="67">
        <f>AVERAGEIF(I:I, "Hydro", F:F)</f>
        <v>0.50492857142857139</v>
      </c>
      <c r="G84" s="54"/>
      <c r="J84" s="77"/>
    </row>
    <row r="85" spans="2:10" x14ac:dyDescent="0.35">
      <c r="B85" s="54"/>
      <c r="C85" s="54"/>
      <c r="D85" s="71" t="s">
        <v>243</v>
      </c>
      <c r="E85" s="54"/>
      <c r="F85" s="67" cm="1">
        <f t="array" ref="F85">MEDIAN(IF(I$5:I$73="Hydro", F$5:F$73))</f>
        <v>0.5</v>
      </c>
      <c r="G85" s="54"/>
      <c r="J85" s="77"/>
    </row>
    <row r="86" spans="2:10" x14ac:dyDescent="0.35">
      <c r="B86" s="54"/>
      <c r="C86" s="54"/>
      <c r="D86" s="54" t="s">
        <v>244</v>
      </c>
      <c r="E86" s="54"/>
      <c r="F86" s="68" cm="1">
        <f t="array" ref="F86">MIN(IF(I$5:I$73="Hydro", F$5:F$73))</f>
        <v>0.48</v>
      </c>
      <c r="G86" s="54"/>
      <c r="J86" s="77"/>
    </row>
    <row r="87" spans="2:10" x14ac:dyDescent="0.35">
      <c r="B87" s="54"/>
      <c r="C87" s="54"/>
      <c r="D87" s="54" t="s">
        <v>245</v>
      </c>
      <c r="E87" s="54"/>
      <c r="F87" s="68" cm="1">
        <f t="array" ref="F87">MAX(IF(I$5:I$73="Hydro", F$5:F$73))</f>
        <v>0.53</v>
      </c>
      <c r="G87" s="54"/>
      <c r="J87" s="77"/>
    </row>
    <row r="88" spans="2:10" x14ac:dyDescent="0.35">
      <c r="B88" s="54"/>
      <c r="C88" s="54"/>
      <c r="D88" s="54"/>
      <c r="E88" s="54"/>
      <c r="F88" s="68"/>
      <c r="G88" s="54"/>
      <c r="J88" s="77"/>
    </row>
    <row r="89" spans="2:10" x14ac:dyDescent="0.35">
      <c r="B89" s="54"/>
      <c r="C89" s="54"/>
      <c r="D89" s="54" t="s">
        <v>352</v>
      </c>
      <c r="E89" s="54"/>
      <c r="F89" s="68">
        <f>AVERAGEIF(J:J, "Most Credit Supportive", F:F)</f>
        <v>0.49299999999999999</v>
      </c>
      <c r="G89" s="54"/>
      <c r="J89" s="77"/>
    </row>
    <row r="90" spans="2:10" x14ac:dyDescent="0.35">
      <c r="B90" s="54"/>
      <c r="C90" s="54"/>
      <c r="D90" s="54" t="s">
        <v>353</v>
      </c>
      <c r="E90" s="54"/>
      <c r="F90" s="68" cm="1">
        <f t="array" ref="F90">MEDIAN(IF(J5:J73="Most Credit Supportive", F5:F73))</f>
        <v>0.52149999999999996</v>
      </c>
      <c r="G90" s="54"/>
      <c r="J90" s="77"/>
    </row>
    <row r="91" spans="2:10" x14ac:dyDescent="0.35">
      <c r="B91" s="54"/>
      <c r="C91" s="54"/>
      <c r="D91" s="54" t="s">
        <v>354</v>
      </c>
      <c r="E91" s="54"/>
      <c r="F91" s="68" cm="1">
        <f t="array" ref="F91">MIN(IF(J5:J73="Most Credit Supportive", F5:F73))</f>
        <v>0.41</v>
      </c>
      <c r="G91" s="54"/>
      <c r="J91" s="77"/>
    </row>
    <row r="92" spans="2:10" x14ac:dyDescent="0.35">
      <c r="B92" s="54"/>
      <c r="C92" s="54"/>
      <c r="D92" s="54" t="s">
        <v>355</v>
      </c>
      <c r="E92" s="54"/>
      <c r="F92" s="68" cm="1">
        <f t="array" ref="F92">MAX(IF(J5:J73="Most Credit Supportive", F5:F73))</f>
        <v>0.59599999999999997</v>
      </c>
      <c r="G92" s="54"/>
      <c r="J92" s="77"/>
    </row>
    <row r="93" spans="2:10" x14ac:dyDescent="0.35">
      <c r="B93" s="69" t="s">
        <v>66</v>
      </c>
      <c r="C93" s="53"/>
      <c r="D93" s="53"/>
      <c r="E93" s="53"/>
      <c r="F93" s="53"/>
      <c r="G93" s="53"/>
      <c r="J93" s="77"/>
    </row>
    <row r="94" spans="2:10" x14ac:dyDescent="0.35">
      <c r="B94" s="37" t="s">
        <v>356</v>
      </c>
      <c r="C94" s="53"/>
      <c r="D94" s="53"/>
      <c r="E94" s="53"/>
      <c r="F94" s="53"/>
      <c r="G94" s="53"/>
      <c r="J94" s="77"/>
    </row>
    <row r="95" spans="2:10" ht="27" customHeight="1" x14ac:dyDescent="0.35">
      <c r="B95" s="116" t="s">
        <v>357</v>
      </c>
      <c r="C95" s="116"/>
      <c r="D95" s="116"/>
      <c r="E95" s="116"/>
      <c r="F95" s="116"/>
      <c r="G95" s="116"/>
      <c r="H95" s="116"/>
      <c r="I95" s="116"/>
      <c r="J95" s="116"/>
    </row>
    <row r="96" spans="2:10" x14ac:dyDescent="0.35">
      <c r="B96" s="37" t="s">
        <v>358</v>
      </c>
    </row>
    <row r="97" spans="2:10" x14ac:dyDescent="0.35">
      <c r="B97" s="117" t="s">
        <v>359</v>
      </c>
      <c r="C97" s="117"/>
      <c r="D97" s="117"/>
      <c r="E97" s="117"/>
      <c r="F97" s="117"/>
      <c r="G97" s="117"/>
      <c r="H97" s="117"/>
      <c r="I97" s="117"/>
      <c r="J97" s="117"/>
    </row>
    <row r="98" spans="2:10" x14ac:dyDescent="0.35">
      <c r="C98"/>
      <c r="D98"/>
    </row>
    <row r="99" spans="2:10" x14ac:dyDescent="0.35">
      <c r="B99" s="115" t="s">
        <v>360</v>
      </c>
      <c r="C99" s="115"/>
      <c r="D99" s="115"/>
    </row>
    <row r="100" spans="2:10" x14ac:dyDescent="0.35">
      <c r="C100"/>
      <c r="D100"/>
    </row>
    <row r="101" spans="2:10" ht="43.5" x14ac:dyDescent="0.35">
      <c r="B101" s="43" t="s">
        <v>361</v>
      </c>
      <c r="C101" s="44" t="s">
        <v>99</v>
      </c>
      <c r="D101" s="100" t="s">
        <v>362</v>
      </c>
    </row>
    <row r="102" spans="2:10" x14ac:dyDescent="0.35">
      <c r="B102" t="s">
        <v>117</v>
      </c>
      <c r="C102" s="41" t="s">
        <v>118</v>
      </c>
      <c r="D102" s="52">
        <f>IFERROR(AVERAGEIF($D$5:$D$73, C102, $F$5:$F$73), "n/a")</f>
        <v>0.53</v>
      </c>
      <c r="J102"/>
    </row>
    <row r="103" spans="2:10" x14ac:dyDescent="0.35">
      <c r="B103" t="s">
        <v>124</v>
      </c>
      <c r="C103" s="41" t="s">
        <v>125</v>
      </c>
      <c r="D103" s="52">
        <f t="shared" ref="D103:D119" si="0">IFERROR(AVERAGEIF($D$5:$D$73, C103, $F$5:$F$73), "n/a")</f>
        <v>0.5</v>
      </c>
    </row>
    <row r="104" spans="2:10" x14ac:dyDescent="0.35">
      <c r="B104" t="s">
        <v>126</v>
      </c>
      <c r="C104" s="41" t="s">
        <v>127</v>
      </c>
      <c r="D104" s="52">
        <f t="shared" si="0"/>
        <v>0.47972857142857145</v>
      </c>
    </row>
    <row r="105" spans="2:10" x14ac:dyDescent="0.35">
      <c r="B105" t="s">
        <v>139</v>
      </c>
      <c r="C105" s="41" t="s">
        <v>140</v>
      </c>
      <c r="D105" s="52">
        <f t="shared" si="0"/>
        <v>0.52505000000000002</v>
      </c>
    </row>
    <row r="106" spans="2:10" x14ac:dyDescent="0.35">
      <c r="B106" t="s">
        <v>143</v>
      </c>
      <c r="C106" s="41" t="s">
        <v>144</v>
      </c>
      <c r="D106" s="52">
        <f t="shared" si="0"/>
        <v>0.52048333333333341</v>
      </c>
    </row>
    <row r="107" spans="2:10" x14ac:dyDescent="0.35">
      <c r="B107" t="s">
        <v>145</v>
      </c>
      <c r="C107" s="41" t="s">
        <v>146</v>
      </c>
      <c r="D107" s="52" t="str">
        <f t="shared" si="0"/>
        <v>n/a</v>
      </c>
    </row>
    <row r="108" spans="2:10" x14ac:dyDescent="0.35">
      <c r="B108" t="s">
        <v>147</v>
      </c>
      <c r="C108" s="41" t="s">
        <v>148</v>
      </c>
      <c r="D108" s="52">
        <f t="shared" si="0"/>
        <v>0.50605</v>
      </c>
    </row>
    <row r="109" spans="2:10" x14ac:dyDescent="0.35">
      <c r="B109" t="s">
        <v>156</v>
      </c>
      <c r="C109" s="41" t="s">
        <v>157</v>
      </c>
      <c r="D109" s="52">
        <f t="shared" si="0"/>
        <v>0.50130000000000008</v>
      </c>
    </row>
    <row r="110" spans="2:10" x14ac:dyDescent="0.35">
      <c r="B110" t="s">
        <v>161</v>
      </c>
      <c r="C110" s="41" t="s">
        <v>162</v>
      </c>
      <c r="D110" s="52">
        <f t="shared" si="0"/>
        <v>0.5</v>
      </c>
    </row>
    <row r="111" spans="2:10" x14ac:dyDescent="0.35">
      <c r="B111" t="s">
        <v>166</v>
      </c>
      <c r="C111" s="41" t="s">
        <v>167</v>
      </c>
      <c r="D111" s="52">
        <f t="shared" si="0"/>
        <v>0.59599999999999997</v>
      </c>
    </row>
    <row r="112" spans="2:10" x14ac:dyDescent="0.35">
      <c r="B112" t="s">
        <v>177</v>
      </c>
      <c r="C112" s="41" t="s">
        <v>178</v>
      </c>
      <c r="D112" s="52">
        <f t="shared" si="0"/>
        <v>0.51929999999999998</v>
      </c>
    </row>
    <row r="113" spans="2:4" x14ac:dyDescent="0.35">
      <c r="B113" t="s">
        <v>179</v>
      </c>
      <c r="C113" s="41" t="s">
        <v>180</v>
      </c>
      <c r="D113" s="52">
        <f t="shared" si="0"/>
        <v>0.48</v>
      </c>
    </row>
    <row r="114" spans="2:4" x14ac:dyDescent="0.35">
      <c r="B114" t="s">
        <v>181</v>
      </c>
      <c r="C114" s="41" t="s">
        <v>182</v>
      </c>
      <c r="D114" s="52">
        <f t="shared" si="0"/>
        <v>0.5</v>
      </c>
    </row>
    <row r="115" spans="2:4" x14ac:dyDescent="0.35">
      <c r="B115" t="s">
        <v>189</v>
      </c>
      <c r="C115" s="41" t="s">
        <v>190</v>
      </c>
      <c r="D115" s="52">
        <f t="shared" si="0"/>
        <v>0.54500000000000004</v>
      </c>
    </row>
    <row r="116" spans="2:4" x14ac:dyDescent="0.35">
      <c r="B116" t="s">
        <v>195</v>
      </c>
      <c r="C116" s="41" t="s">
        <v>196</v>
      </c>
      <c r="D116" s="52">
        <f t="shared" si="0"/>
        <v>0.53578000000000003</v>
      </c>
    </row>
    <row r="117" spans="2:4" x14ac:dyDescent="0.35">
      <c r="B117" t="s">
        <v>197</v>
      </c>
      <c r="C117" s="41" t="s">
        <v>198</v>
      </c>
      <c r="D117" s="52">
        <f t="shared" si="0"/>
        <v>0.52249999999999996</v>
      </c>
    </row>
    <row r="118" spans="2:4" x14ac:dyDescent="0.35">
      <c r="B118" t="s">
        <v>206</v>
      </c>
      <c r="C118" s="41" t="s">
        <v>207</v>
      </c>
      <c r="D118" s="52">
        <f t="shared" si="0"/>
        <v>0.4</v>
      </c>
    </row>
    <row r="119" spans="2:4" x14ac:dyDescent="0.35">
      <c r="B119" s="45" t="s">
        <v>210</v>
      </c>
      <c r="C119" s="48" t="s">
        <v>211</v>
      </c>
      <c r="D119" s="72">
        <f t="shared" si="0"/>
        <v>0.45577142857142861</v>
      </c>
    </row>
    <row r="120" spans="2:4" x14ac:dyDescent="0.35">
      <c r="B120" s="49" t="s">
        <v>234</v>
      </c>
      <c r="C120" s="65"/>
      <c r="D120" s="73">
        <f>AVERAGE(D102:D119)</f>
        <v>0.50688019607843149</v>
      </c>
    </row>
    <row r="121" spans="2:4" x14ac:dyDescent="0.35">
      <c r="B121" s="49" t="s">
        <v>235</v>
      </c>
      <c r="C121" s="65"/>
      <c r="D121" s="50">
        <f>MEDIAN(D102:D119)</f>
        <v>0.50605</v>
      </c>
    </row>
  </sheetData>
  <mergeCells count="4">
    <mergeCell ref="B2:F2"/>
    <mergeCell ref="B99:D99"/>
    <mergeCell ref="B95:J95"/>
    <mergeCell ref="B97:J97"/>
  </mergeCells>
  <printOptions horizontalCentered="1"/>
  <pageMargins left="0.7" right="0.7" top="0.75" bottom="0.75" header="0.3" footer="0.3"/>
  <pageSetup scale="62" fitToHeight="3" orientation="landscape" useFirstPageNumber="1" r:id="rId1"/>
  <headerFooter>
    <oddHeader>&amp;LExhibit 4
Page &amp;P of 3</oddHeader>
  </headerFooter>
  <rowBreaks count="2" manualBreakCount="2">
    <brk id="48" min="1" max="9" man="1"/>
    <brk id="98"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C997E4F93EE94B95BFD1B46BD46C92" ma:contentTypeVersion="4" ma:contentTypeDescription="Create a new document." ma:contentTypeScope="" ma:versionID="285fe46bb90593446caf27a6aea4f8fb">
  <xsd:schema xmlns:xsd="http://www.w3.org/2001/XMLSchema" xmlns:xs="http://www.w3.org/2001/XMLSchema" xmlns:p="http://schemas.microsoft.com/office/2006/metadata/properties" xmlns:ns2="93ad453e-0f72-41c3-b5ca-4ca566fe3a98" targetNamespace="http://schemas.microsoft.com/office/2006/metadata/properties" ma:root="true" ma:fieldsID="f519f183f2dfbb0565500f08ba9c2fe0" ns2:_="">
    <xsd:import namespace="93ad453e-0f72-41c3-b5ca-4ca566fe3a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ad453e-0f72-41c3-b5ca-4ca566fe3a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E01B10-C49D-4140-A67B-DD6E78D4E7FE}">
  <ds:schemaRefs>
    <ds:schemaRef ds:uri="http://schemas.microsoft.com/sharepoint/v3/contenttype/forms"/>
  </ds:schemaRefs>
</ds:datastoreItem>
</file>

<file path=customXml/itemProps2.xml><?xml version="1.0" encoding="utf-8"?>
<ds:datastoreItem xmlns:ds="http://schemas.openxmlformats.org/officeDocument/2006/customXml" ds:itemID="{2C70292A-E937-44BE-ACA5-77D26A57346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3ad453e-0f72-41c3-b5ca-4ca566fe3a98"/>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2D8BFA3-5C50-4B12-B1F5-E6D8BE3B5C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ad453e-0f72-41c3-b5ca-4ca566fe3a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Exh-1 Credit Metrics Analysis</vt:lpstr>
      <vt:lpstr>Exh-2 Proxy Group Screening</vt:lpstr>
      <vt:lpstr>Exh-3 Actual Equity Ratios</vt:lpstr>
      <vt:lpstr>Exh-4 Authorized Equity Ratios</vt:lpstr>
      <vt:lpstr>'Exh-1 Credit Metrics Analysis'!Print_Area</vt:lpstr>
      <vt:lpstr>'Exh-2 Proxy Group Screening'!Print_Area</vt:lpstr>
      <vt:lpstr>'Exh-4 Authorized Equity Ratios'!Print_Area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Laundry</dc:creator>
  <cp:keywords/>
  <dc:description/>
  <cp:lastModifiedBy>Melissa Laundry</cp:lastModifiedBy>
  <cp:revision/>
  <dcterms:created xsi:type="dcterms:W3CDTF">2025-12-01T20:50:13Z</dcterms:created>
  <dcterms:modified xsi:type="dcterms:W3CDTF">2026-04-20T23:59:25Z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0x0101004BC997E4F93EE94B95BFD1B46BD46C92</vt:lpwstr>
  </property>
  <property fmtid="{D5CDD505-2E9C-101B-9397-08002B2CF9AE}" pid="3" name="MediaServiceImageTags">
    <vt:lpwstr/>
  </property>
  <property fmtid="{D5CDD505-2E9C-101B-9397-08002B2CF9AE}" pid="4" name="Industry Segment">
    <vt:lpwstr/>
  </property>
  <property fmtid="{D5CDD505-2E9C-101B-9397-08002B2CF9AE}" pid="5" name="Engagement Type">
    <vt:lpwstr/>
  </property>
  <property fmtid="{D5CDD505-2E9C-101B-9397-08002B2CF9AE}" pid="6" name="Industry_x0020_Segment">
    <vt:lpwstr/>
  </property>
  <property fmtid="{D5CDD505-2E9C-101B-9397-08002B2CF9AE}" pid="7" name="Engagement_x0020_Type">
    <vt:lpwstr/>
  </property>
  <property fmtid="{D5CDD505-2E9C-101B-9397-08002B2CF9AE}" pid="8" name="Practice Areas and Services Provided">
    <vt:lpwstr/>
  </property>
  <property fmtid="{D5CDD505-2E9C-101B-9397-08002B2CF9AE}" pid="9" name="Practice_x0020_Areas_x0020_and_x0020_Services_x0020_Provided">
    <vt:lpwstr/>
  </property>
  <property fmtid="{D5CDD505-2E9C-101B-9397-08002B2CF9AE}" pid="10" name="{A44787D4-0540-4523-9961-78E4036D8C6D}">
    <vt:lpwstr>{598A08DD-22B8-4958-A49E-DFA9DED9E108}</vt:lpwstr>
  </property>
  <property fmtid="{D5CDD505-2E9C-101B-9397-08002B2CF9AE}" pid="11" name="MSIP_Label_de7afb16-bed2-47a7-a936-de53beb31938_Enabled">
    <vt:lpwstr>true</vt:lpwstr>
  </property>
  <property fmtid="{D5CDD505-2E9C-101B-9397-08002B2CF9AE}" pid="12" name="MSIP_Label_de7afb16-bed2-47a7-a936-de53beb31938_SetDate">
    <vt:lpwstr>2026-04-20T23:58:56Z</vt:lpwstr>
  </property>
  <property fmtid="{D5CDD505-2E9C-101B-9397-08002B2CF9AE}" pid="13" name="MSIP_Label_de7afb16-bed2-47a7-a936-de53beb31938_Method">
    <vt:lpwstr>Standard</vt:lpwstr>
  </property>
  <property fmtid="{D5CDD505-2E9C-101B-9397-08002B2CF9AE}" pid="14" name="MSIP_Label_de7afb16-bed2-47a7-a936-de53beb31938_Name">
    <vt:lpwstr>de7afb16-bed2-47a7-a936-de53beb31938</vt:lpwstr>
  </property>
  <property fmtid="{D5CDD505-2E9C-101B-9397-08002B2CF9AE}" pid="15" name="MSIP_Label_de7afb16-bed2-47a7-a936-de53beb31938_SiteId">
    <vt:lpwstr>962f21cf-93ea-449f-99bf-402e2b2987b2</vt:lpwstr>
  </property>
  <property fmtid="{D5CDD505-2E9C-101B-9397-08002B2CF9AE}" pid="16" name="MSIP_Label_de7afb16-bed2-47a7-a936-de53beb31938_ActionId">
    <vt:lpwstr>9388cedb-9513-48aa-829a-d698081984b2</vt:lpwstr>
  </property>
  <property fmtid="{D5CDD505-2E9C-101B-9397-08002B2CF9AE}" pid="17" name="MSIP_Label_de7afb16-bed2-47a7-a936-de53beb31938_ContentBits">
    <vt:lpwstr>0</vt:lpwstr>
  </property>
  <property fmtid="{D5CDD505-2E9C-101B-9397-08002B2CF9AE}" pid="18" name="MSIP_Label_de7afb16-bed2-47a7-a936-de53beb31938_Tag">
    <vt:lpwstr>10, 3, 0, 1</vt:lpwstr>
  </property>
</Properties>
</file>