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https://ceadvisors.sharepoint.com/sites/Projects-OPG/Shared Documents/100595 - OPG Cost of Capital/Discovery/OEB Staff/Batch 2/Attachments/"/>
    </mc:Choice>
  </mc:AlternateContent>
  <xr:revisionPtr revIDLastSave="644" documentId="11_2B5F54EF81051B41B6B0DA8816F623BEAA62D0AD" xr6:coauthVersionLast="47" xr6:coauthVersionMax="47" xr10:uidLastSave="{597D5632-AFB9-40B9-8630-65D9A8FC84F6}"/>
  <bookViews>
    <workbookView xWindow="2505" yWindow="-16320" windowWidth="38640" windowHeight="15720" activeTab="3" xr2:uid="{00000000-000D-0000-FFFF-FFFF00000000}"/>
  </bookViews>
  <sheets>
    <sheet name="C1-01-Staff-303 Attachment 1" sheetId="1" r:id="rId1"/>
    <sheet name="Authorized Equity Ratios" sheetId="2" r:id="rId2"/>
    <sheet name="Summary Actual Equity Ratios" sheetId="3" r:id="rId3"/>
    <sheet name="Actual Equity Ratios Data" sheetId="4" r:id="rId4"/>
  </sheets>
  <definedNames>
    <definedName name="_xlnm._FilterDatabase" localSheetId="1" hidden="1">'Authorized Equity Ratios'!$B$3:$H$77</definedName>
    <definedName name="_xlnm._FilterDatabase" localSheetId="2" hidden="1">'Summary Actual Equity Ratios'!$B$5:$L$27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4" i="4" l="1"/>
  <c r="E24" i="4"/>
  <c r="O21" i="4"/>
  <c r="N21" i="4"/>
  <c r="M21" i="4"/>
  <c r="L21" i="4"/>
  <c r="K21" i="4"/>
  <c r="I21" i="4"/>
  <c r="H21" i="4"/>
  <c r="G21" i="4"/>
  <c r="F21" i="4"/>
  <c r="E21" i="4"/>
  <c r="O20" i="4"/>
  <c r="N20" i="4"/>
  <c r="M20" i="4"/>
  <c r="L20" i="4"/>
  <c r="F22" i="3" s="1"/>
  <c r="K20" i="4"/>
  <c r="I20" i="4"/>
  <c r="H20" i="4"/>
  <c r="G20" i="4"/>
  <c r="F20" i="4"/>
  <c r="E20" i="4"/>
  <c r="E22" i="3" s="1"/>
  <c r="O19" i="4"/>
  <c r="N19" i="4"/>
  <c r="M19" i="4"/>
  <c r="L19" i="4"/>
  <c r="K19" i="4"/>
  <c r="I19" i="4"/>
  <c r="H19" i="4"/>
  <c r="G19" i="4"/>
  <c r="G21" i="3" s="1"/>
  <c r="F19" i="4"/>
  <c r="F21" i="3" s="1"/>
  <c r="E19" i="4"/>
  <c r="E21" i="3" s="1"/>
  <c r="O18" i="4"/>
  <c r="N18" i="4"/>
  <c r="M18" i="4"/>
  <c r="L18" i="4"/>
  <c r="F20" i="3" s="1"/>
  <c r="K18" i="4"/>
  <c r="I18" i="4"/>
  <c r="I20" i="3" s="1"/>
  <c r="H18" i="4"/>
  <c r="H20" i="3" s="1"/>
  <c r="G18" i="4"/>
  <c r="F18" i="4"/>
  <c r="E18" i="4"/>
  <c r="O17" i="4"/>
  <c r="N17" i="4"/>
  <c r="M17" i="4"/>
  <c r="L17" i="4"/>
  <c r="K17" i="4"/>
  <c r="I17" i="4"/>
  <c r="H17" i="4"/>
  <c r="G17" i="4"/>
  <c r="F17" i="4"/>
  <c r="E17" i="4"/>
  <c r="O16" i="4"/>
  <c r="N16" i="4"/>
  <c r="M16" i="4"/>
  <c r="L16" i="4"/>
  <c r="K16" i="4"/>
  <c r="I16" i="4"/>
  <c r="H16" i="4"/>
  <c r="G16" i="4"/>
  <c r="F16" i="4"/>
  <c r="E16" i="4"/>
  <c r="E18" i="3" s="1"/>
  <c r="O15" i="4"/>
  <c r="N15" i="4"/>
  <c r="H17" i="3" s="1"/>
  <c r="M15" i="4"/>
  <c r="L15" i="4"/>
  <c r="K15" i="4"/>
  <c r="I15" i="4"/>
  <c r="H15" i="4"/>
  <c r="G15" i="4"/>
  <c r="G17" i="3" s="1"/>
  <c r="F15" i="4"/>
  <c r="F17" i="3" s="1"/>
  <c r="E15" i="4"/>
  <c r="O14" i="4"/>
  <c r="N14" i="4"/>
  <c r="M14" i="4"/>
  <c r="L14" i="4"/>
  <c r="K14" i="4"/>
  <c r="I14" i="4"/>
  <c r="I16" i="3" s="1"/>
  <c r="H14" i="4"/>
  <c r="H16" i="3" s="1"/>
  <c r="G14" i="4"/>
  <c r="F14" i="4"/>
  <c r="E14" i="4"/>
  <c r="O13" i="4"/>
  <c r="N13" i="4"/>
  <c r="M13" i="4"/>
  <c r="L13" i="4"/>
  <c r="K13" i="4"/>
  <c r="I13" i="4"/>
  <c r="H13" i="4"/>
  <c r="G13" i="4"/>
  <c r="F13" i="4"/>
  <c r="E13" i="4"/>
  <c r="O12" i="4"/>
  <c r="I14" i="3" s="1"/>
  <c r="N12" i="4"/>
  <c r="M12" i="4"/>
  <c r="L12" i="4"/>
  <c r="F14" i="3" s="1"/>
  <c r="K12" i="4"/>
  <c r="I12" i="4"/>
  <c r="H12" i="4"/>
  <c r="G12" i="4"/>
  <c r="F12" i="4"/>
  <c r="E12" i="4"/>
  <c r="E14" i="3" s="1"/>
  <c r="O11" i="4"/>
  <c r="N11" i="4"/>
  <c r="H13" i="3" s="1"/>
  <c r="M11" i="4"/>
  <c r="L11" i="4"/>
  <c r="K11" i="4"/>
  <c r="I11" i="4"/>
  <c r="H11" i="4"/>
  <c r="G11" i="4"/>
  <c r="G13" i="3" s="1"/>
  <c r="F11" i="4"/>
  <c r="F13" i="3" s="1"/>
  <c r="E11" i="4"/>
  <c r="O10" i="4"/>
  <c r="N10" i="4"/>
  <c r="M10" i="4"/>
  <c r="L10" i="4"/>
  <c r="F12" i="3" s="1"/>
  <c r="K10" i="4"/>
  <c r="I10" i="4"/>
  <c r="I12" i="3" s="1"/>
  <c r="H10" i="4"/>
  <c r="H12" i="3" s="1"/>
  <c r="G10" i="4"/>
  <c r="F10" i="4"/>
  <c r="E10" i="4"/>
  <c r="O9" i="4"/>
  <c r="N9" i="4"/>
  <c r="M9" i="4"/>
  <c r="L9" i="4"/>
  <c r="K9" i="4"/>
  <c r="I9" i="4"/>
  <c r="H9" i="4"/>
  <c r="G9" i="4"/>
  <c r="F9" i="4"/>
  <c r="E9" i="4"/>
  <c r="O8" i="4"/>
  <c r="N8" i="4"/>
  <c r="M8" i="4"/>
  <c r="G10" i="3" s="1"/>
  <c r="L8" i="4"/>
  <c r="F10" i="3" s="1"/>
  <c r="K8" i="4"/>
  <c r="I8" i="4"/>
  <c r="H8" i="4"/>
  <c r="G8" i="4"/>
  <c r="F8" i="4"/>
  <c r="E8" i="4"/>
  <c r="E10" i="3" s="1"/>
  <c r="O7" i="4"/>
  <c r="N7" i="4"/>
  <c r="H9" i="3" s="1"/>
  <c r="M7" i="4"/>
  <c r="L7" i="4"/>
  <c r="K7" i="4"/>
  <c r="I7" i="4"/>
  <c r="H7" i="4"/>
  <c r="G7" i="4"/>
  <c r="G9" i="3" s="1"/>
  <c r="F7" i="4"/>
  <c r="F9" i="3" s="1"/>
  <c r="E7" i="4"/>
  <c r="E9" i="3" s="1"/>
  <c r="O6" i="4"/>
  <c r="N6" i="4"/>
  <c r="M6" i="4"/>
  <c r="L6" i="4"/>
  <c r="F8" i="3" s="1"/>
  <c r="K6" i="4"/>
  <c r="I6" i="4"/>
  <c r="I8" i="3" s="1"/>
  <c r="H6" i="4"/>
  <c r="H8" i="3" s="1"/>
  <c r="G6" i="4"/>
  <c r="F6" i="4"/>
  <c r="E6" i="4"/>
  <c r="O5" i="4"/>
  <c r="N5" i="4"/>
  <c r="M5" i="4"/>
  <c r="G7" i="3" s="1"/>
  <c r="L5" i="4"/>
  <c r="K5" i="4"/>
  <c r="I5" i="4"/>
  <c r="H5" i="4"/>
  <c r="G5" i="4"/>
  <c r="F5" i="4"/>
  <c r="E5" i="4"/>
  <c r="O4" i="4"/>
  <c r="N4" i="4"/>
  <c r="M4" i="4"/>
  <c r="G6" i="3" s="1"/>
  <c r="L4" i="4"/>
  <c r="F6" i="3" s="1"/>
  <c r="K4" i="4"/>
  <c r="I4" i="4"/>
  <c r="H4" i="4"/>
  <c r="G4" i="4"/>
  <c r="F4" i="4"/>
  <c r="E4" i="4"/>
  <c r="E6" i="3" s="1"/>
  <c r="N3" i="4"/>
  <c r="N24" i="4" s="1"/>
  <c r="M3" i="4"/>
  <c r="M24" i="4" s="1"/>
  <c r="L3" i="4"/>
  <c r="L24" i="4" s="1"/>
  <c r="H3" i="4"/>
  <c r="I3" i="4" s="1"/>
  <c r="G3" i="4"/>
  <c r="G24" i="4" s="1"/>
  <c r="F3" i="4"/>
  <c r="F24" i="4" s="1"/>
  <c r="H23" i="3"/>
  <c r="G23" i="3"/>
  <c r="I22" i="3"/>
  <c r="I21" i="3"/>
  <c r="H21" i="3"/>
  <c r="I19" i="3"/>
  <c r="H19" i="3"/>
  <c r="G19" i="3"/>
  <c r="I18" i="3"/>
  <c r="G18" i="3"/>
  <c r="F18" i="3"/>
  <c r="G15" i="3"/>
  <c r="G14" i="3"/>
  <c r="I11" i="3"/>
  <c r="I9" i="3"/>
  <c r="H5" i="3"/>
  <c r="G5" i="3"/>
  <c r="F5" i="3"/>
  <c r="E5" i="3"/>
  <c r="F91" i="2" a="1"/>
  <c r="F91" i="2" s="1"/>
  <c r="I7" i="1" s="1"/>
  <c r="F90" i="2" a="1"/>
  <c r="F90" i="2" s="1"/>
  <c r="I6" i="1" s="1"/>
  <c r="I10" i="1" s="1"/>
  <c r="F89" i="2" a="1"/>
  <c r="F89" i="2" s="1"/>
  <c r="I5" i="1" s="1"/>
  <c r="F88" i="2"/>
  <c r="I4" i="1" s="1"/>
  <c r="F87" i="2" a="1"/>
  <c r="F87" i="2" s="1"/>
  <c r="H7" i="1" s="1"/>
  <c r="F86" i="2" a="1"/>
  <c r="F86" i="2" s="1"/>
  <c r="H6" i="1" s="1"/>
  <c r="H10" i="1" s="1"/>
  <c r="F85" i="2" a="1"/>
  <c r="F85" i="2" s="1"/>
  <c r="H5" i="1" s="1"/>
  <c r="F84" i="2"/>
  <c r="H4" i="1" s="1"/>
  <c r="F82" i="2" a="1"/>
  <c r="F82" i="2" s="1"/>
  <c r="F7" i="1" s="1"/>
  <c r="F81" i="2" a="1"/>
  <c r="F81" i="2" s="1"/>
  <c r="F6" i="1" s="1"/>
  <c r="F10" i="1" s="1"/>
  <c r="F80" i="2" a="1"/>
  <c r="F80" i="2" s="1"/>
  <c r="F5" i="1" s="1"/>
  <c r="F79" i="2"/>
  <c r="F4" i="1" s="1"/>
  <c r="F77" i="2"/>
  <c r="D7" i="1" s="1"/>
  <c r="F76" i="2"/>
  <c r="D6" i="1" s="1"/>
  <c r="D10" i="1" s="1"/>
  <c r="F75" i="2"/>
  <c r="D5" i="1" s="1"/>
  <c r="F74" i="2"/>
  <c r="D4" i="1" s="1"/>
  <c r="O73" i="2"/>
  <c r="C73" i="2"/>
  <c r="P73" i="2" s="1"/>
  <c r="P72" i="2"/>
  <c r="O72" i="2"/>
  <c r="C72" i="2"/>
  <c r="P71" i="2"/>
  <c r="O71" i="2"/>
  <c r="C71" i="2"/>
  <c r="O70" i="2"/>
  <c r="C70" i="2"/>
  <c r="P70" i="2" s="1"/>
  <c r="O69" i="2"/>
  <c r="C69" i="2"/>
  <c r="P69" i="2" s="1"/>
  <c r="P68" i="2"/>
  <c r="O68" i="2"/>
  <c r="C68" i="2"/>
  <c r="P67" i="2"/>
  <c r="O67" i="2"/>
  <c r="C67" i="2"/>
  <c r="O66" i="2"/>
  <c r="C66" i="2"/>
  <c r="P66" i="2" s="1"/>
  <c r="O65" i="2"/>
  <c r="C65" i="2"/>
  <c r="P65" i="2" s="1"/>
  <c r="P64" i="2"/>
  <c r="O64" i="2"/>
  <c r="C64" i="2"/>
  <c r="P63" i="2"/>
  <c r="O63" i="2"/>
  <c r="C63" i="2"/>
  <c r="O62" i="2"/>
  <c r="C62" i="2"/>
  <c r="P62" i="2" s="1"/>
  <c r="O61" i="2"/>
  <c r="C61" i="2"/>
  <c r="P61" i="2" s="1"/>
  <c r="P60" i="2"/>
  <c r="O60" i="2"/>
  <c r="C60" i="2"/>
  <c r="P59" i="2"/>
  <c r="O59" i="2"/>
  <c r="C59" i="2"/>
  <c r="O58" i="2"/>
  <c r="C58" i="2"/>
  <c r="P58" i="2" s="1"/>
  <c r="O57" i="2"/>
  <c r="C57" i="2"/>
  <c r="P57" i="2" s="1"/>
  <c r="P56" i="2"/>
  <c r="O56" i="2"/>
  <c r="C56" i="2"/>
  <c r="P55" i="2"/>
  <c r="O55" i="2"/>
  <c r="C55" i="2"/>
  <c r="O54" i="2"/>
  <c r="C54" i="2"/>
  <c r="P54" i="2" s="1"/>
  <c r="O53" i="2"/>
  <c r="C53" i="2"/>
  <c r="P53" i="2" s="1"/>
  <c r="P52" i="2"/>
  <c r="O52" i="2"/>
  <c r="C52" i="2"/>
  <c r="P51" i="2"/>
  <c r="O51" i="2"/>
  <c r="C51" i="2"/>
  <c r="O50" i="2"/>
  <c r="C50" i="2"/>
  <c r="P50" i="2" s="1"/>
  <c r="O49" i="2"/>
  <c r="C49" i="2"/>
  <c r="P49" i="2" s="1"/>
  <c r="P48" i="2"/>
  <c r="O48" i="2"/>
  <c r="C48" i="2"/>
  <c r="P47" i="2"/>
  <c r="O47" i="2"/>
  <c r="C47" i="2"/>
  <c r="O46" i="2"/>
  <c r="C46" i="2"/>
  <c r="P46" i="2" s="1"/>
  <c r="O45" i="2"/>
  <c r="C45" i="2"/>
  <c r="P45" i="2" s="1"/>
  <c r="P44" i="2"/>
  <c r="O44" i="2"/>
  <c r="C44" i="2"/>
  <c r="P43" i="2"/>
  <c r="O43" i="2"/>
  <c r="C43" i="2"/>
  <c r="O42" i="2"/>
  <c r="C42" i="2"/>
  <c r="P42" i="2" s="1"/>
  <c r="O41" i="2"/>
  <c r="C41" i="2"/>
  <c r="P41" i="2" s="1"/>
  <c r="P40" i="2"/>
  <c r="O40" i="2"/>
  <c r="C40" i="2"/>
  <c r="P39" i="2"/>
  <c r="O39" i="2"/>
  <c r="C39" i="2"/>
  <c r="O38" i="2"/>
  <c r="C38" i="2"/>
  <c r="P38" i="2" s="1"/>
  <c r="O37" i="2"/>
  <c r="C37" i="2"/>
  <c r="P37" i="2" s="1"/>
  <c r="P36" i="2"/>
  <c r="O36" i="2"/>
  <c r="C36" i="2"/>
  <c r="O35" i="2"/>
  <c r="C35" i="2"/>
  <c r="O34" i="2"/>
  <c r="C34" i="2"/>
  <c r="P34" i="2" s="1"/>
  <c r="P33" i="2"/>
  <c r="O33" i="2"/>
  <c r="C33" i="2"/>
  <c r="P32" i="2"/>
  <c r="O32" i="2"/>
  <c r="C32" i="2"/>
  <c r="O31" i="2"/>
  <c r="C31" i="2"/>
  <c r="P31" i="2" s="1"/>
  <c r="O30" i="2"/>
  <c r="C30" i="2"/>
  <c r="P30" i="2" s="1"/>
  <c r="P29" i="2"/>
  <c r="O29" i="2"/>
  <c r="C29" i="2"/>
  <c r="P28" i="2"/>
  <c r="O28" i="2"/>
  <c r="C28" i="2"/>
  <c r="O27" i="2"/>
  <c r="C27" i="2"/>
  <c r="P27" i="2" s="1"/>
  <c r="O26" i="2"/>
  <c r="C26" i="2"/>
  <c r="P26" i="2" s="1"/>
  <c r="P25" i="2"/>
  <c r="O25" i="2"/>
  <c r="C25" i="2"/>
  <c r="P24" i="2"/>
  <c r="O24" i="2"/>
  <c r="C24" i="2"/>
  <c r="O23" i="2"/>
  <c r="C23" i="2"/>
  <c r="P23" i="2" s="1"/>
  <c r="O22" i="2"/>
  <c r="C22" i="2"/>
  <c r="P22" i="2" s="1"/>
  <c r="P21" i="2"/>
  <c r="O21" i="2"/>
  <c r="C21" i="2"/>
  <c r="P20" i="2"/>
  <c r="P19" i="2"/>
  <c r="O19" i="2"/>
  <c r="C19" i="2"/>
  <c r="P18" i="2"/>
  <c r="O18" i="2"/>
  <c r="C18" i="2"/>
  <c r="O17" i="2"/>
  <c r="C17" i="2"/>
  <c r="P17" i="2" s="1"/>
  <c r="O16" i="2"/>
  <c r="C16" i="2"/>
  <c r="P16" i="2" s="1"/>
  <c r="P15" i="2"/>
  <c r="O15" i="2"/>
  <c r="C15" i="2"/>
  <c r="P14" i="2"/>
  <c r="O14" i="2"/>
  <c r="C14" i="2"/>
  <c r="O13" i="2"/>
  <c r="C13" i="2"/>
  <c r="P13" i="2" s="1"/>
  <c r="O12" i="2"/>
  <c r="C12" i="2"/>
  <c r="P12" i="2" s="1"/>
  <c r="P11" i="2"/>
  <c r="O11" i="2"/>
  <c r="C11" i="2"/>
  <c r="P10" i="2"/>
  <c r="O10" i="2"/>
  <c r="C10" i="2"/>
  <c r="O9" i="2"/>
  <c r="C9" i="2"/>
  <c r="P9" i="2" s="1"/>
  <c r="O8" i="2"/>
  <c r="C8" i="2"/>
  <c r="P8" i="2" s="1"/>
  <c r="P7" i="2"/>
  <c r="O7" i="2"/>
  <c r="C7" i="2"/>
  <c r="P6" i="2"/>
  <c r="O6" i="2"/>
  <c r="C6" i="2"/>
  <c r="O5" i="2"/>
  <c r="C5" i="2"/>
  <c r="P5" i="2" s="1"/>
  <c r="O4" i="2"/>
  <c r="C4" i="2"/>
  <c r="P4" i="2" s="1"/>
  <c r="F14" i="1"/>
  <c r="J14" i="1"/>
  <c r="D14" i="1"/>
  <c r="G14" i="1" s="1"/>
  <c r="E7" i="3" l="1"/>
  <c r="F7" i="3"/>
  <c r="H14" i="3"/>
  <c r="H18" i="3"/>
  <c r="F23" i="3"/>
  <c r="I6" i="3"/>
  <c r="E8" i="3"/>
  <c r="I10" i="3"/>
  <c r="K10" i="3" s="1"/>
  <c r="G11" i="3"/>
  <c r="G34" i="3" s="1"/>
  <c r="E12" i="3"/>
  <c r="E16" i="3"/>
  <c r="E20" i="3"/>
  <c r="I7" i="3"/>
  <c r="G8" i="3"/>
  <c r="K8" i="3" s="1"/>
  <c r="G12" i="3"/>
  <c r="E13" i="3"/>
  <c r="I15" i="3"/>
  <c r="G16" i="3"/>
  <c r="E17" i="3"/>
  <c r="G20" i="3"/>
  <c r="I23" i="3"/>
  <c r="H6" i="3"/>
  <c r="H26" i="3" s="1"/>
  <c r="H7" i="3"/>
  <c r="H11" i="3"/>
  <c r="H15" i="3"/>
  <c r="H29" i="3" s="1"/>
  <c r="F16" i="3"/>
  <c r="I13" i="3"/>
  <c r="I17" i="3"/>
  <c r="G22" i="3"/>
  <c r="K22" i="3" s="1"/>
  <c r="H10" i="3"/>
  <c r="F11" i="3"/>
  <c r="F37" i="3" s="1" a="1"/>
  <c r="F37" i="3" s="1"/>
  <c r="K14" i="3"/>
  <c r="F15" i="3"/>
  <c r="K18" i="3"/>
  <c r="F19" i="3"/>
  <c r="F31" i="3" s="1" a="1"/>
  <c r="F31" i="3" s="1"/>
  <c r="H22" i="3"/>
  <c r="E11" i="3"/>
  <c r="E34" i="3" s="1"/>
  <c r="E15" i="3"/>
  <c r="E19" i="3"/>
  <c r="E23" i="3"/>
  <c r="K23" i="3" s="1"/>
  <c r="K16" i="3"/>
  <c r="K12" i="3"/>
  <c r="K20" i="3"/>
  <c r="I34" i="3"/>
  <c r="K21" i="3"/>
  <c r="K9" i="3"/>
  <c r="F26" i="3"/>
  <c r="I25" i="3"/>
  <c r="G30" i="3" a="1"/>
  <c r="G30" i="3" s="1"/>
  <c r="H36" i="3" a="1"/>
  <c r="H36" i="3" s="1"/>
  <c r="I24" i="4"/>
  <c r="I5" i="3"/>
  <c r="O3" i="4"/>
  <c r="O24" i="4" s="1"/>
  <c r="H24" i="4"/>
  <c r="H34" i="3"/>
  <c r="K7" i="3"/>
  <c r="E31" i="3" a="1"/>
  <c r="E31" i="3" s="1"/>
  <c r="I12" i="1"/>
  <c r="E14" i="1"/>
  <c r="H14" i="1" s="1"/>
  <c r="I14" i="1"/>
  <c r="I13" i="1"/>
  <c r="I11" i="1"/>
  <c r="H12" i="1"/>
  <c r="H11" i="1"/>
  <c r="D12" i="1"/>
  <c r="F11" i="1"/>
  <c r="F13" i="1"/>
  <c r="H13" i="1"/>
  <c r="D11" i="1"/>
  <c r="F12" i="1"/>
  <c r="D13" i="1"/>
  <c r="G24" i="3" l="1"/>
  <c r="I29" i="3"/>
  <c r="F35" i="3" a="1"/>
  <c r="F35" i="3" s="1"/>
  <c r="I26" i="3"/>
  <c r="I31" i="3" a="1"/>
  <c r="I31" i="3" s="1"/>
  <c r="H35" i="3" a="1"/>
  <c r="H35" i="3" s="1"/>
  <c r="G29" i="3"/>
  <c r="E30" i="3" a="1"/>
  <c r="E30" i="3" s="1"/>
  <c r="F24" i="3"/>
  <c r="I36" i="3" a="1"/>
  <c r="I36" i="3" s="1"/>
  <c r="K6" i="3"/>
  <c r="K32" i="3" s="1" a="1"/>
  <c r="K32" i="3" s="1"/>
  <c r="E7" i="1" s="1"/>
  <c r="H37" i="3" a="1"/>
  <c r="H37" i="3" s="1"/>
  <c r="G25" i="3"/>
  <c r="I30" i="3" a="1"/>
  <c r="I30" i="3" s="1"/>
  <c r="F25" i="3"/>
  <c r="K17" i="3"/>
  <c r="I37" i="3" a="1"/>
  <c r="I37" i="3" s="1"/>
  <c r="I32" i="3" a="1"/>
  <c r="I32" i="3" s="1"/>
  <c r="I35" i="3" a="1"/>
  <c r="I35" i="3" s="1"/>
  <c r="H32" i="3" a="1"/>
  <c r="H32" i="3" s="1"/>
  <c r="F29" i="3"/>
  <c r="G27" i="3"/>
  <c r="G36" i="3" a="1"/>
  <c r="G36" i="3" s="1"/>
  <c r="I27" i="3"/>
  <c r="F36" i="3" a="1"/>
  <c r="F36" i="3" s="1"/>
  <c r="K13" i="3"/>
  <c r="H25" i="3"/>
  <c r="H27" i="3"/>
  <c r="G32" i="3" a="1"/>
  <c r="G32" i="3" s="1"/>
  <c r="I24" i="3"/>
  <c r="H24" i="3"/>
  <c r="G26" i="3"/>
  <c r="F27" i="3"/>
  <c r="H30" i="3" a="1"/>
  <c r="H30" i="3" s="1"/>
  <c r="G35" i="3" a="1"/>
  <c r="G35" i="3" s="1"/>
  <c r="G31" i="3" a="1"/>
  <c r="G31" i="3" s="1"/>
  <c r="F34" i="3"/>
  <c r="F32" i="3" a="1"/>
  <c r="F32" i="3" s="1"/>
  <c r="K19" i="3"/>
  <c r="H31" i="3" a="1"/>
  <c r="H31" i="3" s="1"/>
  <c r="F30" i="3" a="1"/>
  <c r="F30" i="3" s="1"/>
  <c r="G37" i="3" a="1"/>
  <c r="G37" i="3" s="1"/>
  <c r="K15" i="3"/>
  <c r="K31" i="3" s="1" a="1"/>
  <c r="K31" i="3" s="1"/>
  <c r="E6" i="1" s="1"/>
  <c r="E10" i="1" s="1"/>
  <c r="E36" i="3" a="1"/>
  <c r="E36" i="3" s="1"/>
  <c r="E25" i="3"/>
  <c r="K11" i="3"/>
  <c r="E32" i="3" a="1"/>
  <c r="E32" i="3" s="1"/>
  <c r="E37" i="3" a="1"/>
  <c r="E37" i="3" s="1"/>
  <c r="E35" i="3" a="1"/>
  <c r="E35" i="3" s="1"/>
  <c r="E29" i="3"/>
  <c r="E26" i="3"/>
  <c r="E24" i="3"/>
  <c r="E27" i="3"/>
  <c r="K35" i="3" a="1"/>
  <c r="K35" i="3" s="1"/>
  <c r="G5" i="1" s="1"/>
  <c r="K30" i="3" a="1"/>
  <c r="K30" i="3" s="1"/>
  <c r="E5" i="1" s="1"/>
  <c r="K25" i="3"/>
  <c r="C5" i="1" s="1"/>
  <c r="K24" i="3" l="1"/>
  <c r="C4" i="1" s="1"/>
  <c r="C12" i="1" s="1"/>
  <c r="K29" i="3"/>
  <c r="E4" i="1" s="1"/>
  <c r="E12" i="1" s="1"/>
  <c r="K34" i="3"/>
  <c r="G4" i="1" s="1"/>
  <c r="K37" i="3" a="1"/>
  <c r="K37" i="3" s="1"/>
  <c r="G7" i="1" s="1"/>
  <c r="G13" i="1" s="1"/>
  <c r="K26" i="3"/>
  <c r="C6" i="1" s="1"/>
  <c r="C10" i="1" s="1"/>
  <c r="K36" i="3" a="1"/>
  <c r="K36" i="3" s="1"/>
  <c r="G6" i="1" s="1"/>
  <c r="G10" i="1" s="1"/>
  <c r="G11" i="1" s="1"/>
  <c r="K27" i="3"/>
  <c r="C7" i="1" s="1"/>
  <c r="G12" i="1"/>
  <c r="C11" i="1"/>
  <c r="C13" i="1"/>
  <c r="E13" i="1" l="1"/>
  <c r="E1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<sst xmlns="http://schemas.openxmlformats.org/spreadsheetml/2006/main" count="994" uniqueCount="261">
  <si>
    <t>Peer Group (HoldCos)</t>
  </si>
  <si>
    <t>Peer Group (OpCo Jurisdictions)</t>
  </si>
  <si>
    <t>Nuclear Group (HoldCos)</t>
  </si>
  <si>
    <t>Nuclear Group (OpCo Jurisdictions)</t>
  </si>
  <si>
    <t>Hydro Group (Holdcos)</t>
  </si>
  <si>
    <t>Hydro Group (OpCo Jurisdictions)</t>
  </si>
  <si>
    <t>Most Credit Supp. Group (OpCo Jurisdictions)</t>
  </si>
  <si>
    <t>Actual Equity Ratio</t>
  </si>
  <si>
    <t>Authorized Equity Ratio</t>
  </si>
  <si>
    <t>Mean</t>
  </si>
  <si>
    <t>Median</t>
  </si>
  <si>
    <t>Min</t>
  </si>
  <si>
    <t>Max</t>
  </si>
  <si>
    <t>For Charts Only:</t>
  </si>
  <si>
    <t>Delta to Lower of Mean/Median</t>
  </si>
  <si>
    <t>Delta to Higher of Mean/Median</t>
  </si>
  <si>
    <t>Delta to Max</t>
  </si>
  <si>
    <t>Current OPG Deemed Equity Ratio</t>
  </si>
  <si>
    <t>Peer Group:
Authorized</t>
  </si>
  <si>
    <t>Nuclear Group:
Actual</t>
  </si>
  <si>
    <t>Nuclear Group:
Authorized</t>
  </si>
  <si>
    <t>Hydro Group:
Actual</t>
  </si>
  <si>
    <t>Hydro Group:
Authorized</t>
  </si>
  <si>
    <t>Most Credit Supp. Group:
Authorized</t>
  </si>
  <si>
    <t>Peer Group:
Actual</t>
  </si>
  <si>
    <t>AUTHORIZED EQUITY RATIOS - PROXY GROUP UTILITY OPERATING COMPANIES</t>
  </si>
  <si>
    <t>Company Name</t>
  </si>
  <si>
    <t>State</t>
  </si>
  <si>
    <t>Ticker</t>
  </si>
  <si>
    <t>Service Type</t>
  </si>
  <si>
    <t>Current</t>
  </si>
  <si>
    <t>Group</t>
  </si>
  <si>
    <t>S&amp;P Credit Supportiveness</t>
  </si>
  <si>
    <t>S&amp;P Company Name</t>
  </si>
  <si>
    <t>Lookup</t>
  </si>
  <si>
    <t>Commission</t>
  </si>
  <si>
    <t>Minnesota Power Enterprises, Inc.</t>
  </si>
  <si>
    <t>ALE</t>
  </si>
  <si>
    <t>Electric</t>
  </si>
  <si>
    <t/>
  </si>
  <si>
    <t>Hydro</t>
  </si>
  <si>
    <t>Highly Credit Supportive</t>
  </si>
  <si>
    <t>Minnesota Power Entrprs Inc.</t>
  </si>
  <si>
    <t>Minnesota</t>
  </si>
  <si>
    <t>Ameren Illinois Company</t>
  </si>
  <si>
    <t>AEE</t>
  </si>
  <si>
    <t>Very Credit Supportive</t>
  </si>
  <si>
    <t>Ameren Illinois</t>
  </si>
  <si>
    <t>Illinois</t>
  </si>
  <si>
    <t>Union Electric Company</t>
  </si>
  <si>
    <t>n/a</t>
  </si>
  <si>
    <t>Nuclear</t>
  </si>
  <si>
    <t>Union Electric Co.</t>
  </si>
  <si>
    <t>Missouri</t>
  </si>
  <si>
    <t>AEP Texas, Inc.</t>
  </si>
  <si>
    <t>AEP</t>
  </si>
  <si>
    <t>AEP Texas Inc.</t>
  </si>
  <si>
    <t>Texas</t>
  </si>
  <si>
    <t>Appalachian Power Company</t>
  </si>
  <si>
    <t>Appalachian Power Co.</t>
  </si>
  <si>
    <t>Virginia</t>
  </si>
  <si>
    <t>West Virginia</t>
  </si>
  <si>
    <t>Indiana Michigan Power Company</t>
  </si>
  <si>
    <t>Indiana Michigan Power Co.</t>
  </si>
  <si>
    <t>Indiana</t>
  </si>
  <si>
    <t>Most Credit Supportive</t>
  </si>
  <si>
    <t>Michigan</t>
  </si>
  <si>
    <t>Kentucky Power Company</t>
  </si>
  <si>
    <t>Kentucky Power Co.</t>
  </si>
  <si>
    <t>Kentucky</t>
  </si>
  <si>
    <t>Kingsport Power Company</t>
  </si>
  <si>
    <t>Tennessee</t>
  </si>
  <si>
    <t>Ohio Power Company</t>
  </si>
  <si>
    <t>Ohio Power Co.</t>
  </si>
  <si>
    <t>Ohio</t>
  </si>
  <si>
    <t>Public Service Company of Oklahoma</t>
  </si>
  <si>
    <t>Public Service Co. of OK</t>
  </si>
  <si>
    <t>Oklahoma</t>
  </si>
  <si>
    <t>Southwestern Electric Power Company</t>
  </si>
  <si>
    <t>Southwestern Electric Power Co</t>
  </si>
  <si>
    <t>Louisiana</t>
  </si>
  <si>
    <t>Arkansas</t>
  </si>
  <si>
    <t>Wheeling Power Company</t>
  </si>
  <si>
    <t>Wheeling Power Co.</t>
  </si>
  <si>
    <t>Virginia Electric and Power Company</t>
  </si>
  <si>
    <t>D</t>
  </si>
  <si>
    <t>Virginia Electric &amp; Power Co.</t>
  </si>
  <si>
    <t>Virginia Electric &amp; Power Co.VirginiaElectric</t>
  </si>
  <si>
    <t>North Carolina</t>
  </si>
  <si>
    <t>Dominion Energy South Carolina</t>
  </si>
  <si>
    <t>More Credit Supportive</t>
  </si>
  <si>
    <t>South Carolina</t>
  </si>
  <si>
    <t>Duke Energy Carolinas, LLC</t>
  </si>
  <si>
    <t>DUK</t>
  </si>
  <si>
    <t>Duke Energy Carolinas LLC</t>
  </si>
  <si>
    <t>Duke Energy Florida, LLC</t>
  </si>
  <si>
    <t>Duke Energy Florida LLC</t>
  </si>
  <si>
    <t>Florida</t>
  </si>
  <si>
    <t>Duke Energy Indiana, LLC</t>
  </si>
  <si>
    <t>Duke Energy Kentucky, Inc.</t>
  </si>
  <si>
    <t>Duke Energy Kentucky Inc.</t>
  </si>
  <si>
    <t>Duke Energy Ohio, Inc.</t>
  </si>
  <si>
    <t>Duke Energy Ohio Inc.</t>
  </si>
  <si>
    <t>Duke Energy Progress, LLC</t>
  </si>
  <si>
    <t>Duke Energy Progress LLC</t>
  </si>
  <si>
    <t>Southern California Edison Company</t>
  </si>
  <si>
    <t>EIX</t>
  </si>
  <si>
    <t>Southern California Edison Co.</t>
  </si>
  <si>
    <t>California</t>
  </si>
  <si>
    <t>Entergy Arkansas, Inc.</t>
  </si>
  <si>
    <t>ETR</t>
  </si>
  <si>
    <t>Entergy Arkansas LLC</t>
  </si>
  <si>
    <t>Entergy Louisiana, LLC</t>
  </si>
  <si>
    <t>Entergy Louisiana LLC</t>
  </si>
  <si>
    <t>Entergy Mississippi, Inc.</t>
  </si>
  <si>
    <t>Entergy Mississippi LLC</t>
  </si>
  <si>
    <t>Mississippi</t>
  </si>
  <si>
    <t>Entergy New Orleans, LLC</t>
  </si>
  <si>
    <t>Entergy New Orleans LLC</t>
  </si>
  <si>
    <t>New Orleans</t>
  </si>
  <si>
    <t>Entergy Texas, Inc.</t>
  </si>
  <si>
    <t>Entergy Texas Inc.</t>
  </si>
  <si>
    <t>Evergy Metro</t>
  </si>
  <si>
    <t>EVRG</t>
  </si>
  <si>
    <t>Evergy Metro Inc</t>
  </si>
  <si>
    <t>Kansas</t>
  </si>
  <si>
    <t>Evergy Kansas South</t>
  </si>
  <si>
    <t>Evergy Missouri West, Inc.</t>
  </si>
  <si>
    <t>Evergy Missouri West</t>
  </si>
  <si>
    <t>Westar Energy (KPL)</t>
  </si>
  <si>
    <t>Evergy Kansas Central Inc.</t>
  </si>
  <si>
    <t>Idaho Power Co.</t>
  </si>
  <si>
    <t>IDA</t>
  </si>
  <si>
    <t>Idaho</t>
  </si>
  <si>
    <t>Oregon</t>
  </si>
  <si>
    <t>Florida Power &amp; Light Company</t>
  </si>
  <si>
    <t>NEE</t>
  </si>
  <si>
    <t>Florida Power &amp; Light Co.</t>
  </si>
  <si>
    <t>Arizona Public Service Company</t>
  </si>
  <si>
    <t>PNW</t>
  </si>
  <si>
    <t>Arizona Public Service Co.</t>
  </si>
  <si>
    <t>Arizona</t>
  </si>
  <si>
    <t>Public Service Company of New Mexico</t>
  </si>
  <si>
    <t>TXNM</t>
  </si>
  <si>
    <t>Credit Supportive</t>
  </si>
  <si>
    <t>Public Service Co. of NM</t>
  </si>
  <si>
    <t>New Mexico</t>
  </si>
  <si>
    <t>Texas-New Mexico Power Company</t>
  </si>
  <si>
    <t>Texas-New Mexico Power Co.</t>
  </si>
  <si>
    <t>Portland General Electric Company</t>
  </si>
  <si>
    <t>POR</t>
  </si>
  <si>
    <t>Portland General Electric Co.</t>
  </si>
  <si>
    <t>Alabama Power Company</t>
  </si>
  <si>
    <t>SO</t>
  </si>
  <si>
    <t>Alabama</t>
  </si>
  <si>
    <t>Georgia Power Company</t>
  </si>
  <si>
    <t>Georgia Power Co.</t>
  </si>
  <si>
    <t>Georgia</t>
  </si>
  <si>
    <t>Mississippi Power Company</t>
  </si>
  <si>
    <t>Mississippi Power Co.</t>
  </si>
  <si>
    <t>Northern States Power Company</t>
  </si>
  <si>
    <t>XEL</t>
  </si>
  <si>
    <t>Northern States Power Co.</t>
  </si>
  <si>
    <t>North Dakota</t>
  </si>
  <si>
    <t>Wisconsin</t>
  </si>
  <si>
    <t>South Dakota</t>
  </si>
  <si>
    <t>Public Service Company of Colorado</t>
  </si>
  <si>
    <t>Public Service Co. of CO</t>
  </si>
  <si>
    <t>Colorado</t>
  </si>
  <si>
    <t>Southwestern Public Service Company</t>
  </si>
  <si>
    <t>Southwestern Public Svc Co.</t>
  </si>
  <si>
    <t>Liberty Utilities (CalPeco Electric) LLC</t>
  </si>
  <si>
    <t>AQN</t>
  </si>
  <si>
    <t>Liberty Utilities (CalPeco Ele</t>
  </si>
  <si>
    <t>Liberty Utilities (Granite State Electric) Corp.</t>
  </si>
  <si>
    <t>Liberty Utilities Granite St</t>
  </si>
  <si>
    <t>New Hampshire</t>
  </si>
  <si>
    <t>The Empire District Electric Company</t>
  </si>
  <si>
    <t>The Empire District Electric C</t>
  </si>
  <si>
    <t>Tampa Electric Company</t>
  </si>
  <si>
    <t>EMA</t>
  </si>
  <si>
    <t>Nova Scotia Power</t>
  </si>
  <si>
    <t>Nova Scotia Power Inc.</t>
  </si>
  <si>
    <t>Nova Scotia</t>
  </si>
  <si>
    <t>Central Hudson Gas &amp; Electric Corp.</t>
  </si>
  <si>
    <t>FTS</t>
  </si>
  <si>
    <t>Central Hudson Gas &amp; Electric</t>
  </si>
  <si>
    <t>New York</t>
  </si>
  <si>
    <t>Tucson Electric Power Company</t>
  </si>
  <si>
    <t>Tucson Electric Power Co.</t>
  </si>
  <si>
    <t>UNS Electric, Inc.</t>
  </si>
  <si>
    <t>UNS Electric Inc.</t>
  </si>
  <si>
    <t>FortisAlberta</t>
  </si>
  <si>
    <t>FortisAlberta Inc.</t>
  </si>
  <si>
    <t>Alberta</t>
  </si>
  <si>
    <t>FortisBC Inc.</t>
  </si>
  <si>
    <t>British Columbia</t>
  </si>
  <si>
    <t>Newfoundland Power</t>
  </si>
  <si>
    <t>Newfoundland Power Inc.</t>
  </si>
  <si>
    <t>Newfoundland and Labrador</t>
  </si>
  <si>
    <t>Maritime Electric</t>
  </si>
  <si>
    <t>Maritime Electric Company Limited</t>
  </si>
  <si>
    <t>Prince Edward Island</t>
  </si>
  <si>
    <t>Average</t>
  </si>
  <si>
    <t>Average Nuclear</t>
  </si>
  <si>
    <t>Median Nuclear</t>
  </si>
  <si>
    <t>Min Nuclear</t>
  </si>
  <si>
    <t>Max Nuclear</t>
  </si>
  <si>
    <t>Average Hydro</t>
  </si>
  <si>
    <t>Median Hydro</t>
  </si>
  <si>
    <t>Min Hydro</t>
  </si>
  <si>
    <t>Max Hydro</t>
  </si>
  <si>
    <t>Average Most Cred. Supp.</t>
  </si>
  <si>
    <t>Median Most Cred. Supp.</t>
  </si>
  <si>
    <t>Min Most Cred. Supp.</t>
  </si>
  <si>
    <t>Max Most Cred. Supp.</t>
  </si>
  <si>
    <t>Notes:</t>
  </si>
  <si>
    <t>Source: S&amp;P Capital IQ, RRA rate case database, as of May 28, 2025, and internal Concentric research.</t>
  </si>
  <si>
    <t>Note that only electric operating subsidiaries were included in this analysis. U.S. states that account for zero-cost of capital items in utilities' regulated capital structure (Florida Arkansas, Indiana, and Michigan) were excluded from this analysis.</t>
  </si>
  <si>
    <t>Florida Power &amp; Light's authorized equity ratio was included based off of internal Concentric data regarding the capital structure excluding zero cost of capital effects.</t>
  </si>
  <si>
    <t>Operating subsidaries were included in the Nuclear and Hydro groups based off of operating subsidiary-level owned generation data, rather than holding company-level, to better reflect operating subsidiary characteristics.</t>
  </si>
  <si>
    <t>Please note a minor data issue resulted in certain data changing from what was filed in Concentric's exhibits (see exhibit 3). The mean equity ratio result was impacted by 0.01%. These data are highlighted in green below.</t>
  </si>
  <si>
    <t>ACTUAL EQUITY RATIO ANALYSIS</t>
  </si>
  <si>
    <t>Common Equity Ratio (%)</t>
  </si>
  <si>
    <t>Proxy Group Company</t>
  </si>
  <si>
    <t>2020-2024 Average</t>
  </si>
  <si>
    <t>ALLETE, Inc.</t>
  </si>
  <si>
    <t>Ameren Corporation</t>
  </si>
  <si>
    <t>American Electric Power Company, Inc.</t>
  </si>
  <si>
    <t>Dominion Resources, Inc.</t>
  </si>
  <si>
    <t>Duke Energy Corporation</t>
  </si>
  <si>
    <t>Edison International</t>
  </si>
  <si>
    <t>Entergy Corporation</t>
  </si>
  <si>
    <t xml:space="preserve">Evergy, Inc. </t>
  </si>
  <si>
    <t>IDACORP, Inc.</t>
  </si>
  <si>
    <t>NextEra Energy, Inc.</t>
  </si>
  <si>
    <t>Pinnacle West Capital Corporation</t>
  </si>
  <si>
    <t>TXNM Energy, Inc.</t>
  </si>
  <si>
    <t>Southern Company</t>
  </si>
  <si>
    <t>Xcel Energy Inc.</t>
  </si>
  <si>
    <t>Algonquin Power &amp; Utilities Corporation</t>
  </si>
  <si>
    <t>Emera Inc.</t>
  </si>
  <si>
    <t>Fortis Inc.</t>
  </si>
  <si>
    <t>MEAN</t>
  </si>
  <si>
    <t>MEDIAN</t>
  </si>
  <si>
    <t>LOW</t>
  </si>
  <si>
    <t>HIGH</t>
  </si>
  <si>
    <t>Total Proprietary Capital</t>
  </si>
  <si>
    <t>Total Long-Term Debt</t>
  </si>
  <si>
    <t>Operating Company</t>
  </si>
  <si>
    <t>Dominion Energy South Carolina, Inc.</t>
  </si>
  <si>
    <t>Entergy Arkansas, LLC</t>
  </si>
  <si>
    <t>Entergy Mississippi, LLC</t>
  </si>
  <si>
    <t>Evergy Kansas Central, Inc.</t>
  </si>
  <si>
    <t>Evergy Metro, Inc.</t>
  </si>
  <si>
    <t>Idaho Power Company</t>
  </si>
  <si>
    <t>NA</t>
  </si>
  <si>
    <t>FortisBC Energy</t>
  </si>
  <si>
    <t>Please note Virginia Electric &amp; Power's authorized equity ratio in Virginia added here, consistent with Concentric's response to C1-01-Staff-302 parts a) and b).</t>
  </si>
  <si>
    <t>Reflects exclusion of Ameren</t>
  </si>
  <si>
    <t>Removed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</si>
</sst>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0" tint="-0.499984740745262"/>
      <name val="Aptos Narrow"/>
      <family val="2"/>
      <scheme val="minor"/>
    </font>
    <font>
      <sz val="11"/>
      <color rgb="FF0070C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b/>
      <sz val="11"/>
      <name val="Aptos Narrow"/>
      <family val="2"/>
      <scheme val="minor"/>
    </font>
    <font>
      <b/>
      <i/>
      <sz val="10"/>
      <name val="Arial"/>
      <family val="2"/>
    </font>
    <font>
      <b/>
      <sz val="11"/>
      <color theme="0" tint="-0.499984740745262"/>
      <name val="Aptos Narrow"/>
      <family val="2"/>
      <scheme val="minor"/>
    </font>
    <font>
      <i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/>
    <xf numFmtId="0" fontId="5" fillId="0" borderId="0"/>
  </cellStyleXfs>
  <cellXfs count="84">
    <xf numFmtId="0" fontId="0" fillId="0" borderId="0" xfId="0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 wrapText="1"/>
    </xf>
    <xf numFmtId="10" fontId="3" fillId="0" borderId="0" xfId="0" applyNumberFormat="1" applyFont="1" applyAlignment="1">
      <alignment horizontal="center"/>
    </xf>
    <xf numFmtId="10" fontId="4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6" fillId="0" borderId="0" xfId="3" applyAlignment="1">
      <alignment horizont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/>
    <xf numFmtId="0" fontId="6" fillId="0" borderId="0" xfId="4" applyFont="1" applyAlignment="1">
      <alignment horizontal="center"/>
    </xf>
    <xf numFmtId="9" fontId="7" fillId="0" borderId="0" xfId="0" applyNumberFormat="1" applyFont="1" applyAlignment="1">
      <alignment horizontal="center"/>
    </xf>
    <xf numFmtId="0" fontId="6" fillId="0" borderId="0" xfId="4" applyFont="1" applyAlignment="1">
      <alignment horizontal="center" wrapText="1"/>
    </xf>
    <xf numFmtId="0" fontId="8" fillId="0" borderId="0" xfId="4" applyFont="1" applyAlignment="1">
      <alignment horizontal="left" wrapText="1"/>
    </xf>
    <xf numFmtId="0" fontId="6" fillId="0" borderId="1" xfId="4" applyFont="1" applyBorder="1" applyAlignment="1">
      <alignment wrapText="1"/>
    </xf>
    <xf numFmtId="0" fontId="6" fillId="0" borderId="1" xfId="4" applyFont="1" applyBorder="1" applyAlignment="1">
      <alignment horizontal="center"/>
    </xf>
    <xf numFmtId="0" fontId="6" fillId="0" borderId="1" xfId="3" applyBorder="1" applyAlignment="1">
      <alignment horizontal="center" wrapText="1"/>
    </xf>
    <xf numFmtId="10" fontId="6" fillId="0" borderId="0" xfId="2" applyNumberFormat="1" applyFont="1" applyAlignment="1">
      <alignment horizontal="center" wrapText="1"/>
    </xf>
    <xf numFmtId="0" fontId="8" fillId="0" borderId="0" xfId="0" applyFont="1" applyAlignment="1">
      <alignment horizontal="left"/>
    </xf>
    <xf numFmtId="10" fontId="6" fillId="0" borderId="0" xfId="2" applyNumberFormat="1" applyFont="1" applyFill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/>
    </xf>
    <xf numFmtId="10" fontId="6" fillId="0" borderId="1" xfId="2" applyNumberFormat="1" applyFont="1" applyFill="1" applyBorder="1" applyAlignment="1">
      <alignment horizontal="center"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center"/>
    </xf>
    <xf numFmtId="10" fontId="9" fillId="0" borderId="0" xfId="2" applyNumberFormat="1" applyFont="1" applyFill="1" applyAlignment="1">
      <alignment horizontal="center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10" fillId="0" borderId="0" xfId="0" applyFont="1"/>
    <xf numFmtId="10" fontId="9" fillId="0" borderId="0" xfId="0" applyNumberFormat="1" applyFont="1" applyAlignment="1">
      <alignment horizontal="center" wrapText="1"/>
    </xf>
    <xf numFmtId="10" fontId="6" fillId="0" borderId="0" xfId="0" applyNumberFormat="1" applyFont="1" applyAlignment="1">
      <alignment horizontal="center" wrapText="1"/>
    </xf>
    <xf numFmtId="10" fontId="6" fillId="0" borderId="0" xfId="2" applyNumberFormat="1" applyFont="1" applyAlignment="1">
      <alignment horizontal="left" wrapText="1"/>
    </xf>
    <xf numFmtId="0" fontId="6" fillId="0" borderId="0" xfId="0" applyFont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Continuous"/>
    </xf>
    <xf numFmtId="9" fontId="3" fillId="0" borderId="0" xfId="0" applyNumberFormat="1" applyFont="1" applyAlignment="1">
      <alignment horizontal="center"/>
    </xf>
    <xf numFmtId="10" fontId="0" fillId="0" borderId="0" xfId="2" applyNumberFormat="1" applyFont="1"/>
    <xf numFmtId="0" fontId="0" fillId="0" borderId="1" xfId="0" applyBorder="1"/>
    <xf numFmtId="0" fontId="0" fillId="0" borderId="1" xfId="0" applyBorder="1" applyAlignment="1">
      <alignment horizontal="center"/>
    </xf>
    <xf numFmtId="10" fontId="0" fillId="2" borderId="1" xfId="2" applyNumberFormat="1" applyFont="1" applyFill="1" applyBorder="1"/>
    <xf numFmtId="10" fontId="0" fillId="0" borderId="1" xfId="2" applyNumberFormat="1" applyFont="1" applyBorder="1"/>
    <xf numFmtId="10" fontId="0" fillId="2" borderId="1" xfId="0" applyNumberFormat="1" applyFill="1" applyBorder="1" applyAlignment="1">
      <alignment horizontal="center"/>
    </xf>
    <xf numFmtId="10" fontId="1" fillId="2" borderId="0" xfId="0" applyNumberFormat="1" applyFont="1" applyFill="1"/>
    <xf numFmtId="10" fontId="1" fillId="2" borderId="0" xfId="0" applyNumberFormat="1" applyFont="1" applyFill="1" applyAlignment="1">
      <alignment horizontal="center"/>
    </xf>
    <xf numFmtId="0" fontId="12" fillId="0" borderId="0" xfId="0" applyFont="1" applyAlignment="1">
      <alignment horizontal="center"/>
    </xf>
    <xf numFmtId="10" fontId="0" fillId="0" borderId="0" xfId="0" applyNumberFormat="1"/>
    <xf numFmtId="10" fontId="0" fillId="0" borderId="0" xfId="2" applyNumberFormat="1" applyFont="1" applyAlignment="1">
      <alignment horizontal="center"/>
    </xf>
    <xf numFmtId="164" fontId="0" fillId="0" borderId="0" xfId="1" applyNumberFormat="1" applyFont="1"/>
    <xf numFmtId="0" fontId="0" fillId="0" borderId="0" xfId="0" applyAlignment="1">
      <alignment horizontal="left" vertical="top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center" wrapText="1"/>
    </xf>
    <xf numFmtId="10" fontId="6" fillId="2" borderId="0" xfId="2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left" wrapText="1"/>
    </xf>
    <xf numFmtId="0" fontId="7" fillId="2" borderId="0" xfId="0" applyFont="1" applyFill="1"/>
    <xf numFmtId="164" fontId="0" fillId="0" borderId="0" xfId="1" applyNumberFormat="1" applyFont="1" applyFill="1"/>
    <xf numFmtId="0" fontId="6" fillId="2" borderId="0" xfId="3" applyFill="1" applyAlignment="1">
      <alignment horizontal="left"/>
    </xf>
    <xf numFmtId="0" fontId="6" fillId="2" borderId="0" xfId="3" applyFill="1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3" fillId="3" borderId="0" xfId="0" applyFont="1" applyFill="1" applyAlignment="1">
      <alignment wrapText="1"/>
    </xf>
    <xf numFmtId="0" fontId="6" fillId="3" borderId="0" xfId="0" applyFont="1" applyFill="1" applyAlignment="1">
      <alignment horizontal="left" wrapText="1"/>
    </xf>
    <xf numFmtId="0" fontId="6" fillId="3" borderId="0" xfId="0" applyFont="1" applyFill="1" applyAlignment="1">
      <alignment horizontal="center" wrapText="1"/>
    </xf>
    <xf numFmtId="10" fontId="6" fillId="3" borderId="0" xfId="2" applyNumberFormat="1" applyFont="1" applyFill="1" applyAlignment="1">
      <alignment horizontal="center" wrapText="1"/>
    </xf>
    <xf numFmtId="0" fontId="7" fillId="3" borderId="0" xfId="0" applyFont="1" applyFill="1" applyAlignment="1">
      <alignment horizontal="center"/>
    </xf>
    <xf numFmtId="0" fontId="8" fillId="3" borderId="0" xfId="0" applyFont="1" applyFill="1" applyAlignment="1">
      <alignment horizontal="left" wrapText="1"/>
    </xf>
    <xf numFmtId="0" fontId="7" fillId="3" borderId="0" xfId="0" applyFont="1" applyFill="1"/>
    <xf numFmtId="0" fontId="0" fillId="3" borderId="0" xfId="0" applyFill="1"/>
    <xf numFmtId="0" fontId="0" fillId="3" borderId="0" xfId="0" applyFill="1" applyAlignment="1">
      <alignment horizontal="center"/>
    </xf>
    <xf numFmtId="164" fontId="0" fillId="3" borderId="0" xfId="1" applyNumberFormat="1" applyFont="1" applyFill="1"/>
    <xf numFmtId="0" fontId="0" fillId="3" borderId="0" xfId="0" applyFill="1" applyAlignment="1">
      <alignment horizontal="left" vertical="top"/>
    </xf>
  </cellXfs>
  <cellStyles count="5">
    <cellStyle name="Currency" xfId="1" builtinId="4"/>
    <cellStyle name="Normal" xfId="0" builtinId="0"/>
    <cellStyle name="Normal 12 50 2" xfId="4" xr:uid="{1F786C96-5522-4E3E-80A3-0D905F3F327F}"/>
    <cellStyle name="Normal 5 3 7" xfId="3" xr:uid="{233A8123-198D-40F6-A58C-14183B5EAA92}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'C1-01-Staff-303 Attachment 1'!$J$10</c:f>
              <c:strCache>
                <c:ptCount val="1"/>
                <c:pt idx="0">
                  <c:v>1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'C1-01-Staff-303 Attachment 1'!$C$9:$I$9</c:f>
              <c:strCache>
                <c:ptCount val="7"/>
                <c:pt idx="0">
                  <c:v>Peer Group:
Actual</c:v>
                </c:pt>
                <c:pt idx="1">
                  <c:v>Peer Group:
Authorized</c:v>
                </c:pt>
                <c:pt idx="2">
                  <c:v>Nuclear Group:
Actual</c:v>
                </c:pt>
                <c:pt idx="3">
                  <c:v>Nuclear Group:
Authorized</c:v>
                </c:pt>
                <c:pt idx="4">
                  <c:v>Hydro Group:
Actual</c:v>
                </c:pt>
                <c:pt idx="5">
                  <c:v>Hydro Group:
Authorized</c:v>
                </c:pt>
                <c:pt idx="6">
                  <c:v>Most Credit Supp. Group:
Authorized</c:v>
                </c:pt>
              </c:strCache>
            </c:strRef>
          </c:cat>
          <c:val>
            <c:numRef>
              <c:f>'C1-01-Staff-303 Attachment 1'!$C$10:$I$10</c:f>
              <c:numCache>
                <c:formatCode>0.00%</c:formatCode>
                <c:ptCount val="7"/>
                <c:pt idx="0">
                  <c:v>0.45066966667333236</c:v>
                </c:pt>
                <c:pt idx="1">
                  <c:v>0.37</c:v>
                </c:pt>
                <c:pt idx="2">
                  <c:v>0.46559959449903265</c:v>
                </c:pt>
                <c:pt idx="3">
                  <c:v>0.50130000000000008</c:v>
                </c:pt>
                <c:pt idx="4">
                  <c:v>0.45066966667333236</c:v>
                </c:pt>
                <c:pt idx="5">
                  <c:v>0.48</c:v>
                </c:pt>
                <c:pt idx="6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D6-4535-ACDF-CC04EC68D11C}"/>
            </c:ext>
          </c:extLst>
        </c:ser>
        <c:ser>
          <c:idx val="1"/>
          <c:order val="1"/>
          <c:tx>
            <c:strRef>
              <c:f>'C1-01-Staff-303 Attachment 1'!$J$11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'C1-01-Staff-303 Attachment 1'!$C$9:$I$9</c:f>
              <c:strCache>
                <c:ptCount val="7"/>
                <c:pt idx="0">
                  <c:v>Peer Group:
Actual</c:v>
                </c:pt>
                <c:pt idx="1">
                  <c:v>Peer Group:
Authorized</c:v>
                </c:pt>
                <c:pt idx="2">
                  <c:v>Nuclear Group:
Actual</c:v>
                </c:pt>
                <c:pt idx="3">
                  <c:v>Nuclear Group:
Authorized</c:v>
                </c:pt>
                <c:pt idx="4">
                  <c:v>Hydro Group:
Actual</c:v>
                </c:pt>
                <c:pt idx="5">
                  <c:v>Hydro Group:
Authorized</c:v>
                </c:pt>
                <c:pt idx="6">
                  <c:v>Most Credit Supp. Group:
Authorized</c:v>
                </c:pt>
              </c:strCache>
            </c:strRef>
          </c:cat>
          <c:val>
            <c:numRef>
              <c:f>'C1-01-Staff-303 Attachment 1'!$C$11:$I$11</c:f>
              <c:numCache>
                <c:formatCode>0.00%</c:formatCode>
                <c:ptCount val="7"/>
                <c:pt idx="0">
                  <c:v>7.4716764480946274E-2</c:v>
                </c:pt>
                <c:pt idx="1">
                  <c:v>0.13173255813953477</c:v>
                </c:pt>
                <c:pt idx="2">
                  <c:v>6.2420889372196253E-2</c:v>
                </c:pt>
                <c:pt idx="3">
                  <c:v>2.3699999999999943E-2</c:v>
                </c:pt>
                <c:pt idx="4">
                  <c:v>6.6863642312039173E-2</c:v>
                </c:pt>
                <c:pt idx="5">
                  <c:v>2.0000000000000018E-2</c:v>
                </c:pt>
                <c:pt idx="6">
                  <c:v>8.3000000000000018E-2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D6-4535-ACDF-CC04EC68D11C}"/>
            </c:ext>
          </c:extLst>
        </c:ser>
        <c:ser>
          <c:idx val="2"/>
          <c:order val="2"/>
          <c:tx>
            <c:strRef>
              <c:f>'C1-01-Staff-303 Attachment 1'!$J$12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'C1-01-Staff-303 Attachment 1'!$C$9:$I$9</c:f>
              <c:strCache>
                <c:ptCount val="7"/>
                <c:pt idx="0">
                  <c:v>Peer Group:
Actual</c:v>
                </c:pt>
                <c:pt idx="1">
                  <c:v>Peer Group:
Authorized</c:v>
                </c:pt>
                <c:pt idx="2">
                  <c:v>Nuclear Group:
Actual</c:v>
                </c:pt>
                <c:pt idx="3">
                  <c:v>Nuclear Group:
Authorized</c:v>
                </c:pt>
                <c:pt idx="4">
                  <c:v>Hydro Group:
Actual</c:v>
                </c:pt>
                <c:pt idx="5">
                  <c:v>Hydro Group:
Authorized</c:v>
                </c:pt>
                <c:pt idx="6">
                  <c:v>Most Credit Supp. Group:
Authorized</c:v>
                </c:pt>
              </c:strCache>
            </c:strRef>
          </c:cat>
          <c:val>
            <c:numRef>
              <c:f>'C1-01-Staff-303 Attachment 1'!$C$12:$I$12</c:f>
              <c:numCache>
                <c:formatCode>0.00%</c:formatCode>
                <c:ptCount val="7"/>
                <c:pt idx="0">
                  <c:v>3.7045123243938383E-3</c:v>
                </c:pt>
                <c:pt idx="1">
                  <c:v>1.7567441860465216E-2</c:v>
                </c:pt>
                <c:pt idx="2">
                  <c:v>2.6398790888687573E-3</c:v>
                </c:pt>
                <c:pt idx="3">
                  <c:v>3.5666666666667179E-3</c:v>
                </c:pt>
                <c:pt idx="4">
                  <c:v>7.8531221689071007E-3</c:v>
                </c:pt>
                <c:pt idx="5">
                  <c:v>4.9285714285713933E-3</c:v>
                </c:pt>
                <c:pt idx="6">
                  <c:v>2.849999999999997E-2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D6-4535-ACDF-CC04EC68D11C}"/>
            </c:ext>
          </c:extLst>
        </c:ser>
        <c:ser>
          <c:idx val="3"/>
          <c:order val="3"/>
          <c:tx>
            <c:strRef>
              <c:f>'C1-01-Staff-303 Attachment 1'!$J$13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'C1-01-Staff-303 Attachment 1'!$C$9:$I$9</c:f>
              <c:strCache>
                <c:ptCount val="7"/>
                <c:pt idx="0">
                  <c:v>Peer Group:
Actual</c:v>
                </c:pt>
                <c:pt idx="1">
                  <c:v>Peer Group:
Authorized</c:v>
                </c:pt>
                <c:pt idx="2">
                  <c:v>Nuclear Group:
Actual</c:v>
                </c:pt>
                <c:pt idx="3">
                  <c:v>Nuclear Group:
Authorized</c:v>
                </c:pt>
                <c:pt idx="4">
                  <c:v>Hydro Group:
Actual</c:v>
                </c:pt>
                <c:pt idx="5">
                  <c:v>Hydro Group:
Authorized</c:v>
                </c:pt>
                <c:pt idx="6">
                  <c:v>Most Credit Supp. Group:
Authorized</c:v>
                </c:pt>
              </c:strCache>
            </c:strRef>
          </c:cat>
          <c:val>
            <c:numRef>
              <c:f>'C1-01-Staff-303 Attachment 1'!$C$13:$I$13</c:f>
              <c:numCache>
                <c:formatCode>0.00%</c:formatCode>
                <c:ptCount val="7"/>
                <c:pt idx="0">
                  <c:v>0.11385179142038548</c:v>
                </c:pt>
                <c:pt idx="1">
                  <c:v>7.669999999999999E-2</c:v>
                </c:pt>
                <c:pt idx="2">
                  <c:v>7.7251454307332379E-2</c:v>
                </c:pt>
                <c:pt idx="3">
                  <c:v>6.7433333333333234E-2</c:v>
                </c:pt>
                <c:pt idx="4">
                  <c:v>7.1646220728768029E-2</c:v>
                </c:pt>
                <c:pt idx="5">
                  <c:v>2.5071428571428633E-2</c:v>
                </c:pt>
                <c:pt idx="6">
                  <c:v>7.4500000000000011E-2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D6-4535-ACDF-CC04EC68D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5045360"/>
        <c:axId val="465047760"/>
      </c:barChart>
      <c:lineChart>
        <c:grouping val="standard"/>
        <c:varyColors val="0"/>
        <c:ser>
          <c:idx val="4"/>
          <c:order val="4"/>
          <c:tx>
            <c:strRef>
              <c:f>'C1-01-Staff-303 Attachment 1'!$J$14</c:f>
              <c:strCache>
                <c:ptCount val="1"/>
                <c:pt idx="0">
                  <c:v>Current OPG Deemed Equity Ratio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'C1-01-Staff-303 Attachment 1'!$C$9:$H$9</c:f>
              <c:strCache>
                <c:ptCount val="6"/>
                <c:pt idx="0">
                  <c:v>Peer Group:
Actual</c:v>
                </c:pt>
                <c:pt idx="1">
                  <c:v>Peer Group:
Authorized</c:v>
                </c:pt>
                <c:pt idx="2">
                  <c:v>Nuclear Group:
Actual</c:v>
                </c:pt>
                <c:pt idx="3">
                  <c:v>Nuclear Group:
Authorized</c:v>
                </c:pt>
                <c:pt idx="4">
                  <c:v>Hydro Group:
Actual</c:v>
                </c:pt>
                <c:pt idx="5">
                  <c:v>Hydro Group:
Authorized</c:v>
                </c:pt>
              </c:strCache>
            </c:strRef>
          </c:cat>
          <c:val>
            <c:numRef>
              <c:f>'C1-01-Staff-303 Attachment 1'!$C$14:$I$14</c:f>
              <c:numCache>
                <c:formatCode>0.00%</c:formatCode>
                <c:ptCount val="7"/>
                <c:pt idx="0">
                  <c:v>0.45</c:v>
                </c:pt>
                <c:pt idx="1">
                  <c:v>0.45</c:v>
                </c:pt>
                <c:pt idx="2">
                  <c:v>0.45</c:v>
                </c:pt>
                <c:pt idx="3">
                  <c:v>0.45</c:v>
                </c:pt>
                <c:pt idx="4">
                  <c:v>0.45</c:v>
                </c:pt>
                <c:pt idx="5">
                  <c:v>0.45</c:v>
                </c:pt>
                <c:pt idx="6">
                  <c:v>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DD6-4535-ACDF-CC04EC68D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5045360"/>
        <c:axId val="465047760"/>
        <c:extLst/>
      </c:lineChart>
      <c:catAx>
        <c:axId val="465045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5047760"/>
        <c:crosses val="autoZero"/>
        <c:auto val="1"/>
        <c:lblAlgn val="ctr"/>
        <c:lblOffset val="100"/>
        <c:noMultiLvlLbl val="0"/>
      </c:catAx>
      <c:valAx>
        <c:axId val="465047760"/>
        <c:scaling>
          <c:orientation val="minMax"/>
          <c:max val="0.65000000000000013"/>
          <c:min val="0.3500000000000000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Equity Ratio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5045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1992378</xdr:colOff>
      <xdr:row>16</xdr:row>
      <xdr:rowOff>19050</xdr:rowOff>
    </xdr:from>
    <xdr:to>
      <xdr:col>5</xdr:col>
      <xdr:colOff>561586</xdr:colOff>
      <xdr:row>31</xdr:row>
      <xdr:rowOff>162037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BBD5D9C-5739-44A9-8DB4-D9B2EC837A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5"/>
  <sheetViews>
    <sheetView zoomScaleNormal="100" workbookViewId="0">
      <selection activeCell="C4" sqref="C4"/>
    </sheetView>
  </sheetViews>
  <sheetFormatPr defaultRowHeight="14.25" x14ac:dyDescent="0.45"/>
  <cols>
    <col min="1" max="1" width="2.59765625" customWidth="1"/>
    <col min="2" max="2" width="34.1328125" style="3" bestFit="1" customWidth="1"/>
    <col min="3" max="8" width="20.59765625" style="1" customWidth="1"/>
    <col min="9" max="9" width="19.86328125" style="12" customWidth="1"/>
  </cols>
  <sheetData>
    <row r="2" spans="2:10" s="7" customFormat="1" ht="42.75" x14ac:dyDescent="0.45">
      <c r="B2" s="73" t="s">
        <v>259</v>
      </c>
      <c r="C2" s="6" t="s">
        <v>0</v>
      </c>
      <c r="D2" s="6" t="s">
        <v>1</v>
      </c>
      <c r="E2" s="6" t="s">
        <v>2</v>
      </c>
      <c r="F2" s="6" t="s">
        <v>3</v>
      </c>
      <c r="G2" s="6" t="s">
        <v>4</v>
      </c>
      <c r="H2" s="6" t="s">
        <v>5</v>
      </c>
      <c r="I2" s="6" t="s">
        <v>6</v>
      </c>
    </row>
    <row r="3" spans="2:10" s="3" customFormat="1" x14ac:dyDescent="0.45">
      <c r="B3" s="4"/>
      <c r="C3" s="5" t="s">
        <v>7</v>
      </c>
      <c r="D3" s="5" t="s">
        <v>8</v>
      </c>
      <c r="E3" s="5" t="s">
        <v>7</v>
      </c>
      <c r="F3" s="5" t="s">
        <v>8</v>
      </c>
      <c r="G3" s="5" t="s">
        <v>7</v>
      </c>
      <c r="H3" s="5" t="s">
        <v>8</v>
      </c>
      <c r="I3" s="5" t="s">
        <v>8</v>
      </c>
    </row>
    <row r="4" spans="2:10" x14ac:dyDescent="0.45">
      <c r="B4" s="3" t="s">
        <v>9</v>
      </c>
      <c r="C4" s="2">
        <f>'Summary Actual Equity Ratios'!K24</f>
        <v>0.52909094347867247</v>
      </c>
      <c r="D4" s="2">
        <f>'Authorized Equity Ratios'!F74</f>
        <v>0.50173255813953477</v>
      </c>
      <c r="E4" s="2">
        <f>'Summary Actual Equity Ratios'!K29</f>
        <v>0.52802048387122891</v>
      </c>
      <c r="F4" s="2">
        <f>'Authorized Equity Ratios'!F79</f>
        <v>0.52856666666666674</v>
      </c>
      <c r="G4" s="2">
        <f>'Summary Actual Equity Ratios'!K34</f>
        <v>0.51753330898537153</v>
      </c>
      <c r="H4" s="2">
        <f>'Authorized Equity Ratios'!F84</f>
        <v>0.50492857142857139</v>
      </c>
      <c r="I4" s="2">
        <f>'Authorized Equity Ratios'!F88</f>
        <v>0.49299999999999999</v>
      </c>
    </row>
    <row r="5" spans="2:10" x14ac:dyDescent="0.45">
      <c r="B5" s="3" t="s">
        <v>10</v>
      </c>
      <c r="C5" s="2">
        <f>'Summary Actual Equity Ratios'!K25</f>
        <v>0.52538643115427863</v>
      </c>
      <c r="D5" s="2">
        <f>'Authorized Equity Ratios'!F75</f>
        <v>0.51929999999999998</v>
      </c>
      <c r="E5" s="2">
        <f>'Summary Actual Equity Ratios'!K30</f>
        <v>0.53066036296009766</v>
      </c>
      <c r="F5" s="2">
        <f>'Authorized Equity Ratios'!F80</f>
        <v>0.52500000000000002</v>
      </c>
      <c r="G5" s="2">
        <f>'Summary Actual Equity Ratios'!K35</f>
        <v>0.52538643115427863</v>
      </c>
      <c r="H5" s="2">
        <f>'Authorized Equity Ratios'!F85</f>
        <v>0.5</v>
      </c>
      <c r="I5" s="2">
        <f>'Authorized Equity Ratios'!F89</f>
        <v>0.52149999999999996</v>
      </c>
    </row>
    <row r="6" spans="2:10" x14ac:dyDescent="0.45">
      <c r="B6" s="3" t="s">
        <v>11</v>
      </c>
      <c r="C6" s="2">
        <f>'Summary Actual Equity Ratios'!K26</f>
        <v>0.45066966667333236</v>
      </c>
      <c r="D6" s="2">
        <f>'Authorized Equity Ratios'!F76</f>
        <v>0.37</v>
      </c>
      <c r="E6" s="2">
        <f>'Summary Actual Equity Ratios'!K31</f>
        <v>0.46559959449903265</v>
      </c>
      <c r="F6" s="2">
        <f>'Authorized Equity Ratios'!F81</f>
        <v>0.50130000000000008</v>
      </c>
      <c r="G6" s="2">
        <f>'Summary Actual Equity Ratios'!K36</f>
        <v>0.45066966667333236</v>
      </c>
      <c r="H6" s="2">
        <f>'Authorized Equity Ratios'!F86</f>
        <v>0.48</v>
      </c>
      <c r="I6" s="2">
        <f>'Authorized Equity Ratios'!F90</f>
        <v>0.41</v>
      </c>
    </row>
    <row r="7" spans="2:10" x14ac:dyDescent="0.45">
      <c r="B7" s="3" t="s">
        <v>12</v>
      </c>
      <c r="C7" s="2">
        <f>'Summary Actual Equity Ratios'!K27</f>
        <v>0.64294273489905795</v>
      </c>
      <c r="D7" s="2">
        <f>'Authorized Equity Ratios'!F77</f>
        <v>0.59599999999999997</v>
      </c>
      <c r="E7" s="2">
        <f>'Summary Actual Equity Ratios'!K32</f>
        <v>0.60791181726743004</v>
      </c>
      <c r="F7" s="2">
        <f>'Authorized Equity Ratios'!F82</f>
        <v>0.59599999999999997</v>
      </c>
      <c r="G7" s="2">
        <f>'Summary Actual Equity Ratios'!K37</f>
        <v>0.59703265188304666</v>
      </c>
      <c r="H7" s="2">
        <f>'Authorized Equity Ratios'!F87</f>
        <v>0.53</v>
      </c>
      <c r="I7" s="2">
        <f>'Authorized Equity Ratios'!F91</f>
        <v>0.59599999999999997</v>
      </c>
    </row>
    <row r="9" spans="2:10" ht="42.75" x14ac:dyDescent="0.45">
      <c r="B9" s="8" t="s">
        <v>13</v>
      </c>
      <c r="C9" s="9" t="s">
        <v>24</v>
      </c>
      <c r="D9" s="9" t="s">
        <v>18</v>
      </c>
      <c r="E9" s="9" t="s">
        <v>19</v>
      </c>
      <c r="F9" s="9" t="s">
        <v>20</v>
      </c>
      <c r="G9" s="9" t="s">
        <v>21</v>
      </c>
      <c r="H9" s="9" t="s">
        <v>22</v>
      </c>
      <c r="I9" s="9" t="s">
        <v>23</v>
      </c>
    </row>
    <row r="10" spans="2:10" x14ac:dyDescent="0.45">
      <c r="B10" s="8" t="s">
        <v>11</v>
      </c>
      <c r="C10" s="10">
        <f>C6</f>
        <v>0.45066966667333236</v>
      </c>
      <c r="D10" s="10">
        <f t="shared" ref="D10:H10" si="0">D6</f>
        <v>0.37</v>
      </c>
      <c r="E10" s="10">
        <f t="shared" si="0"/>
        <v>0.46559959449903265</v>
      </c>
      <c r="F10" s="10">
        <f t="shared" ref="F10:G10" si="1">F6</f>
        <v>0.50130000000000008</v>
      </c>
      <c r="G10" s="10">
        <f t="shared" si="1"/>
        <v>0.45066966667333236</v>
      </c>
      <c r="H10" s="10">
        <f t="shared" si="0"/>
        <v>0.48</v>
      </c>
      <c r="I10" s="10">
        <f t="shared" ref="I10" si="2">I6</f>
        <v>0.41</v>
      </c>
      <c r="J10" s="13">
        <v>1</v>
      </c>
    </row>
    <row r="11" spans="2:10" x14ac:dyDescent="0.45">
      <c r="B11" s="8" t="s">
        <v>14</v>
      </c>
      <c r="C11" s="10">
        <f t="shared" ref="C11:I11" si="3">MIN(C4:C5)-C10</f>
        <v>7.4716764480946274E-2</v>
      </c>
      <c r="D11" s="10">
        <f t="shared" si="3"/>
        <v>0.13173255813953477</v>
      </c>
      <c r="E11" s="10">
        <f t="shared" si="3"/>
        <v>6.2420889372196253E-2</v>
      </c>
      <c r="F11" s="10">
        <f t="shared" ref="F11:G11" si="4">MIN(F4:F5)-F10</f>
        <v>2.3699999999999943E-2</v>
      </c>
      <c r="G11" s="10">
        <f t="shared" si="4"/>
        <v>6.6863642312039173E-2</v>
      </c>
      <c r="H11" s="10">
        <f t="shared" si="3"/>
        <v>2.0000000000000018E-2</v>
      </c>
      <c r="I11" s="10">
        <f t="shared" si="3"/>
        <v>8.3000000000000018E-2</v>
      </c>
      <c r="J11" s="13">
        <v>2</v>
      </c>
    </row>
    <row r="12" spans="2:10" x14ac:dyDescent="0.45">
      <c r="B12" s="8" t="s">
        <v>15</v>
      </c>
      <c r="C12" s="10">
        <f t="shared" ref="C12:I12" si="5">MAX(C4:C5)-MIN(C4:C5)</f>
        <v>3.7045123243938383E-3</v>
      </c>
      <c r="D12" s="10">
        <f t="shared" si="5"/>
        <v>1.7567441860465216E-2</v>
      </c>
      <c r="E12" s="10">
        <f t="shared" si="5"/>
        <v>2.6398790888687573E-3</v>
      </c>
      <c r="F12" s="10">
        <f t="shared" ref="F12:G12" si="6">MAX(F4:F5)-MIN(F4:F5)</f>
        <v>3.5666666666667179E-3</v>
      </c>
      <c r="G12" s="10">
        <f t="shared" si="6"/>
        <v>7.8531221689071007E-3</v>
      </c>
      <c r="H12" s="10">
        <f t="shared" si="5"/>
        <v>4.9285714285713933E-3</v>
      </c>
      <c r="I12" s="10">
        <f t="shared" si="5"/>
        <v>2.849999999999997E-2</v>
      </c>
      <c r="J12" s="13">
        <v>3</v>
      </c>
    </row>
    <row r="13" spans="2:10" x14ac:dyDescent="0.45">
      <c r="B13" s="8" t="s">
        <v>16</v>
      </c>
      <c r="C13" s="10">
        <f>C7-MAX(C4:C5)</f>
        <v>0.11385179142038548</v>
      </c>
      <c r="D13" s="10">
        <f t="shared" ref="D13:H13" si="7">D7-MAX(D4:D5)</f>
        <v>7.669999999999999E-2</v>
      </c>
      <c r="E13" s="10">
        <f t="shared" si="7"/>
        <v>7.7251454307332379E-2</v>
      </c>
      <c r="F13" s="10">
        <f t="shared" ref="F13:G13" si="8">F7-MAX(F4:F5)</f>
        <v>6.7433333333333234E-2</v>
      </c>
      <c r="G13" s="10">
        <f t="shared" si="8"/>
        <v>7.1646220728768029E-2</v>
      </c>
      <c r="H13" s="10">
        <f t="shared" si="7"/>
        <v>2.5071428571428633E-2</v>
      </c>
      <c r="I13" s="10">
        <f t="shared" ref="I13" si="9">I7-MAX(I4:I5)</f>
        <v>7.4500000000000011E-2</v>
      </c>
      <c r="J13" s="13">
        <v>4</v>
      </c>
    </row>
    <row r="14" spans="2:10" x14ac:dyDescent="0.45">
      <c r="B14" s="8" t="s">
        <v>17</v>
      </c>
      <c r="C14" s="11">
        <v>0.45</v>
      </c>
      <c r="D14" s="10">
        <f t="shared" ref="D14:E14" si="10">C14</f>
        <v>0.45</v>
      </c>
      <c r="E14" s="10">
        <f t="shared" si="10"/>
        <v>0.45</v>
      </c>
      <c r="F14" s="10">
        <f t="shared" ref="F14:H14" si="11">C14</f>
        <v>0.45</v>
      </c>
      <c r="G14" s="10">
        <f t="shared" si="11"/>
        <v>0.45</v>
      </c>
      <c r="H14" s="10">
        <f t="shared" si="11"/>
        <v>0.45</v>
      </c>
      <c r="I14" s="10">
        <f t="shared" ref="I14" si="12">E14</f>
        <v>0.45</v>
      </c>
      <c r="J14" s="13" t="str">
        <f>B14</f>
        <v>Current OPG Deemed Equity Ratio</v>
      </c>
    </row>
    <row r="15" spans="2:10" x14ac:dyDescent="0.45">
      <c r="B15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AFDFB-EC27-4B9E-BB3F-ED254E9A9295}">
  <dimension ref="B1:P100"/>
  <sheetViews>
    <sheetView zoomScale="85" zoomScaleNormal="85" workbookViewId="0">
      <selection activeCell="F7" sqref="F7"/>
    </sheetView>
  </sheetViews>
  <sheetFormatPr defaultColWidth="9.1328125" defaultRowHeight="14.25" x14ac:dyDescent="0.45"/>
  <cols>
    <col min="1" max="1" width="2.59765625" style="19" customWidth="1"/>
    <col min="2" max="2" width="39" style="19" customWidth="1"/>
    <col min="3" max="3" width="25.265625" style="19" customWidth="1"/>
    <col min="4" max="4" width="23" style="15" customWidth="1"/>
    <col min="5" max="5" width="11.265625" style="15" bestFit="1" customWidth="1"/>
    <col min="6" max="6" width="15.1328125" style="19" customWidth="1"/>
    <col min="7" max="7" width="2.59765625" style="19" customWidth="1"/>
    <col min="8" max="9" width="9.1328125" style="15"/>
    <col min="10" max="10" width="28.73046875" style="15" customWidth="1"/>
    <col min="11" max="11" width="2.73046875" style="15" customWidth="1"/>
    <col min="12" max="12" width="30" style="19" customWidth="1"/>
    <col min="13" max="13" width="24.3984375" style="19" bestFit="1" customWidth="1"/>
    <col min="14" max="14" width="12" style="19" bestFit="1" customWidth="1"/>
    <col min="15" max="15" width="58" style="19" customWidth="1"/>
    <col min="16" max="16" width="22.86328125" style="15" bestFit="1" customWidth="1"/>
    <col min="17" max="16384" width="9.1328125" style="19"/>
  </cols>
  <sheetData>
    <row r="1" spans="2:16" x14ac:dyDescent="0.45">
      <c r="B1" s="69" t="s">
        <v>258</v>
      </c>
      <c r="C1" s="70"/>
      <c r="D1" s="70"/>
      <c r="E1" s="70"/>
      <c r="F1" s="70"/>
      <c r="G1" s="70"/>
      <c r="H1" s="65"/>
      <c r="J1" s="16"/>
      <c r="K1" s="16"/>
      <c r="L1" s="17"/>
      <c r="M1" s="17"/>
      <c r="N1" s="17"/>
      <c r="O1" s="18"/>
    </row>
    <row r="2" spans="2:16" x14ac:dyDescent="0.45">
      <c r="B2" s="71" t="s">
        <v>25</v>
      </c>
      <c r="C2" s="71"/>
      <c r="D2" s="71"/>
      <c r="E2" s="71"/>
      <c r="F2" s="71"/>
      <c r="G2" s="20"/>
      <c r="H2" s="21">
        <v>0.05</v>
      </c>
      <c r="I2" s="21">
        <v>0.05</v>
      </c>
      <c r="J2" s="22"/>
      <c r="K2" s="22"/>
      <c r="L2" s="23"/>
      <c r="M2" s="23"/>
      <c r="N2" s="23"/>
      <c r="O2" s="23"/>
      <c r="P2" s="21"/>
    </row>
    <row r="3" spans="2:16" x14ac:dyDescent="0.45">
      <c r="B3" s="24" t="s">
        <v>26</v>
      </c>
      <c r="C3" s="24" t="s">
        <v>27</v>
      </c>
      <c r="D3" s="25" t="s">
        <v>28</v>
      </c>
      <c r="E3" s="25" t="s">
        <v>29</v>
      </c>
      <c r="F3" s="26" t="s">
        <v>30</v>
      </c>
      <c r="G3" s="14"/>
      <c r="H3" s="15" t="s">
        <v>31</v>
      </c>
      <c r="I3" s="15" t="s">
        <v>31</v>
      </c>
      <c r="J3" s="22" t="s">
        <v>32</v>
      </c>
      <c r="K3" s="22"/>
      <c r="L3" s="23" t="s">
        <v>33</v>
      </c>
      <c r="M3" s="23" t="s">
        <v>27</v>
      </c>
      <c r="N3" s="23" t="s">
        <v>29</v>
      </c>
      <c r="O3" s="23" t="s">
        <v>34</v>
      </c>
      <c r="P3" s="15" t="s">
        <v>35</v>
      </c>
    </row>
    <row r="4" spans="2:16" x14ac:dyDescent="0.45">
      <c r="B4" s="17" t="s">
        <v>36</v>
      </c>
      <c r="C4" s="17" t="str">
        <f>M4</f>
        <v>Minnesota</v>
      </c>
      <c r="D4" s="16" t="s">
        <v>37</v>
      </c>
      <c r="E4" s="16" t="s">
        <v>38</v>
      </c>
      <c r="F4" s="27">
        <v>0.53</v>
      </c>
      <c r="G4" s="27"/>
      <c r="H4" s="15" t="s">
        <v>39</v>
      </c>
      <c r="I4" s="15" t="s">
        <v>40</v>
      </c>
      <c r="J4" s="16" t="s">
        <v>41</v>
      </c>
      <c r="K4" s="16"/>
      <c r="L4" s="17" t="s">
        <v>42</v>
      </c>
      <c r="M4" s="17" t="s">
        <v>43</v>
      </c>
      <c r="N4" s="17" t="s">
        <v>38</v>
      </c>
      <c r="O4" s="18" t="str">
        <f>L4&amp;M4&amp;N4</f>
        <v>Minnesota Power Entrprs Inc.MinnesotaElectric</v>
      </c>
      <c r="P4" s="15" t="str">
        <f t="shared" ref="P4:P34" si="0">C4</f>
        <v>Minnesota</v>
      </c>
    </row>
    <row r="5" spans="2:16" s="79" customFormat="1" x14ac:dyDescent="0.45">
      <c r="B5" s="74" t="s">
        <v>44</v>
      </c>
      <c r="C5" s="74" t="str">
        <f t="shared" ref="C5:C68" si="1">M5</f>
        <v>Illinois</v>
      </c>
      <c r="D5" s="75" t="s">
        <v>45</v>
      </c>
      <c r="E5" s="75" t="s">
        <v>38</v>
      </c>
      <c r="F5" s="76" t="s">
        <v>260</v>
      </c>
      <c r="G5" s="76"/>
      <c r="H5" s="77" t="s">
        <v>39</v>
      </c>
      <c r="I5" s="77" t="s">
        <v>39</v>
      </c>
      <c r="J5" s="75" t="s">
        <v>46</v>
      </c>
      <c r="K5" s="75"/>
      <c r="L5" s="74" t="s">
        <v>47</v>
      </c>
      <c r="M5" s="74" t="s">
        <v>48</v>
      </c>
      <c r="N5" s="74" t="s">
        <v>38</v>
      </c>
      <c r="O5" s="78" t="str">
        <f t="shared" ref="O5:O68" si="2">L5&amp;M5&amp;N5</f>
        <v>Ameren IllinoisIllinoisElectric</v>
      </c>
      <c r="P5" s="77" t="str">
        <f t="shared" si="0"/>
        <v>Illinois</v>
      </c>
    </row>
    <row r="6" spans="2:16" s="79" customFormat="1" x14ac:dyDescent="0.45">
      <c r="B6" s="74" t="s">
        <v>49</v>
      </c>
      <c r="C6" s="74" t="str">
        <f t="shared" si="1"/>
        <v>Missouri</v>
      </c>
      <c r="D6" s="75" t="s">
        <v>45</v>
      </c>
      <c r="E6" s="75" t="s">
        <v>38</v>
      </c>
      <c r="F6" s="76" t="s">
        <v>260</v>
      </c>
      <c r="G6" s="76"/>
      <c r="H6" s="77" t="s">
        <v>51</v>
      </c>
      <c r="I6" s="77" t="s">
        <v>40</v>
      </c>
      <c r="J6" s="75" t="s">
        <v>46</v>
      </c>
      <c r="K6" s="75"/>
      <c r="L6" s="74" t="s">
        <v>52</v>
      </c>
      <c r="M6" s="74" t="s">
        <v>53</v>
      </c>
      <c r="N6" s="74" t="s">
        <v>38</v>
      </c>
      <c r="O6" s="78" t="str">
        <f t="shared" si="2"/>
        <v>Union Electric Co.MissouriElectric</v>
      </c>
      <c r="P6" s="77" t="str">
        <f t="shared" si="0"/>
        <v>Missouri</v>
      </c>
    </row>
    <row r="7" spans="2:16" x14ac:dyDescent="0.45">
      <c r="B7" s="17" t="s">
        <v>54</v>
      </c>
      <c r="C7" s="17" t="str">
        <f t="shared" si="1"/>
        <v>Texas</v>
      </c>
      <c r="D7" s="16" t="s">
        <v>55</v>
      </c>
      <c r="E7" s="16" t="s">
        <v>38</v>
      </c>
      <c r="F7" s="27">
        <v>0.42499999999999999</v>
      </c>
      <c r="G7" s="27"/>
      <c r="H7" s="15" t="s">
        <v>39</v>
      </c>
      <c r="I7" s="15" t="s">
        <v>39</v>
      </c>
      <c r="J7" s="16" t="s">
        <v>46</v>
      </c>
      <c r="K7" s="16"/>
      <c r="L7" s="17" t="s">
        <v>56</v>
      </c>
      <c r="M7" s="17" t="s">
        <v>57</v>
      </c>
      <c r="N7" s="17" t="s">
        <v>38</v>
      </c>
      <c r="O7" s="18" t="str">
        <f t="shared" si="2"/>
        <v>AEP Texas Inc.TexasElectric</v>
      </c>
      <c r="P7" s="15" t="str">
        <f t="shared" si="0"/>
        <v>Texas</v>
      </c>
    </row>
    <row r="8" spans="2:16" x14ac:dyDescent="0.45">
      <c r="B8" s="17" t="s">
        <v>58</v>
      </c>
      <c r="C8" s="17" t="str">
        <f t="shared" si="1"/>
        <v>Virginia</v>
      </c>
      <c r="D8" s="16" t="s">
        <v>55</v>
      </c>
      <c r="E8" s="16" t="s">
        <v>38</v>
      </c>
      <c r="F8" s="27">
        <v>0.4824</v>
      </c>
      <c r="G8" s="27"/>
      <c r="H8" s="15" t="s">
        <v>39</v>
      </c>
      <c r="I8" s="15" t="s">
        <v>40</v>
      </c>
      <c r="J8" s="16" t="s">
        <v>41</v>
      </c>
      <c r="K8" s="16"/>
      <c r="L8" s="17" t="s">
        <v>59</v>
      </c>
      <c r="M8" s="17" t="s">
        <v>60</v>
      </c>
      <c r="N8" s="17" t="s">
        <v>38</v>
      </c>
      <c r="O8" s="18" t="str">
        <f t="shared" si="2"/>
        <v>Appalachian Power Co.VirginiaElectric</v>
      </c>
      <c r="P8" s="15" t="str">
        <f t="shared" si="0"/>
        <v>Virginia</v>
      </c>
    </row>
    <row r="9" spans="2:16" x14ac:dyDescent="0.45">
      <c r="B9" s="17" t="s">
        <v>58</v>
      </c>
      <c r="C9" s="17" t="str">
        <f t="shared" si="1"/>
        <v>West Virginia</v>
      </c>
      <c r="D9" s="16" t="s">
        <v>55</v>
      </c>
      <c r="E9" s="16" t="s">
        <v>38</v>
      </c>
      <c r="F9" s="27" t="s">
        <v>50</v>
      </c>
      <c r="G9" s="27"/>
      <c r="H9" s="15" t="s">
        <v>39</v>
      </c>
      <c r="I9" s="15" t="s">
        <v>40</v>
      </c>
      <c r="J9" s="16" t="s">
        <v>46</v>
      </c>
      <c r="K9" s="16"/>
      <c r="L9" s="17" t="s">
        <v>59</v>
      </c>
      <c r="M9" s="17" t="s">
        <v>61</v>
      </c>
      <c r="N9" s="17" t="s">
        <v>38</v>
      </c>
      <c r="O9" s="18" t="str">
        <f t="shared" si="2"/>
        <v>Appalachian Power Co.West VirginiaElectric</v>
      </c>
      <c r="P9" s="15" t="str">
        <f t="shared" si="0"/>
        <v>West Virginia</v>
      </c>
    </row>
    <row r="10" spans="2:16" x14ac:dyDescent="0.45">
      <c r="B10" s="17" t="s">
        <v>62</v>
      </c>
      <c r="C10" s="17" t="str">
        <f t="shared" si="1"/>
        <v>Indiana</v>
      </c>
      <c r="D10" s="16" t="s">
        <v>55</v>
      </c>
      <c r="E10" s="16" t="s">
        <v>38</v>
      </c>
      <c r="F10" s="27" t="s">
        <v>50</v>
      </c>
      <c r="G10" s="27"/>
      <c r="H10" s="15" t="s">
        <v>51</v>
      </c>
      <c r="I10" s="15" t="s">
        <v>39</v>
      </c>
      <c r="J10" s="16" t="s">
        <v>41</v>
      </c>
      <c r="K10" s="16"/>
      <c r="L10" s="17" t="s">
        <v>63</v>
      </c>
      <c r="M10" s="17" t="s">
        <v>64</v>
      </c>
      <c r="N10" s="17" t="s">
        <v>38</v>
      </c>
      <c r="O10" s="18" t="str">
        <f t="shared" si="2"/>
        <v>Indiana Michigan Power Co.IndianaElectric</v>
      </c>
      <c r="P10" s="15" t="str">
        <f t="shared" si="0"/>
        <v>Indiana</v>
      </c>
    </row>
    <row r="11" spans="2:16" x14ac:dyDescent="0.45">
      <c r="B11" s="17" t="s">
        <v>62</v>
      </c>
      <c r="C11" s="17" t="str">
        <f t="shared" si="1"/>
        <v>Michigan</v>
      </c>
      <c r="D11" s="16" t="s">
        <v>55</v>
      </c>
      <c r="E11" s="16" t="s">
        <v>38</v>
      </c>
      <c r="F11" s="27" t="s">
        <v>50</v>
      </c>
      <c r="G11" s="27"/>
      <c r="H11" s="15" t="s">
        <v>51</v>
      </c>
      <c r="I11" s="15" t="s">
        <v>39</v>
      </c>
      <c r="J11" s="16" t="s">
        <v>65</v>
      </c>
      <c r="K11" s="16"/>
      <c r="L11" s="17" t="s">
        <v>63</v>
      </c>
      <c r="M11" s="17" t="s">
        <v>66</v>
      </c>
      <c r="N11" s="17" t="s">
        <v>38</v>
      </c>
      <c r="O11" s="18" t="str">
        <f t="shared" si="2"/>
        <v>Indiana Michigan Power Co.MichiganElectric</v>
      </c>
      <c r="P11" s="15" t="str">
        <f t="shared" si="0"/>
        <v>Michigan</v>
      </c>
    </row>
    <row r="12" spans="2:16" x14ac:dyDescent="0.45">
      <c r="B12" s="17" t="s">
        <v>67</v>
      </c>
      <c r="C12" s="17" t="str">
        <f t="shared" si="1"/>
        <v>Kentucky</v>
      </c>
      <c r="D12" s="16" t="s">
        <v>55</v>
      </c>
      <c r="E12" s="16" t="s">
        <v>38</v>
      </c>
      <c r="F12" s="27">
        <v>0.41249999999999998</v>
      </c>
      <c r="G12" s="27"/>
      <c r="H12" s="15" t="s">
        <v>39</v>
      </c>
      <c r="I12" s="15" t="s">
        <v>39</v>
      </c>
      <c r="J12" s="16" t="s">
        <v>65</v>
      </c>
      <c r="K12" s="16"/>
      <c r="L12" s="17" t="s">
        <v>68</v>
      </c>
      <c r="M12" s="17" t="s">
        <v>69</v>
      </c>
      <c r="N12" s="17" t="s">
        <v>38</v>
      </c>
      <c r="O12" s="18" t="str">
        <f t="shared" si="2"/>
        <v>Kentucky Power Co.KentuckyElectric</v>
      </c>
      <c r="P12" s="15" t="str">
        <f t="shared" si="0"/>
        <v>Kentucky</v>
      </c>
    </row>
    <row r="13" spans="2:16" x14ac:dyDescent="0.45">
      <c r="B13" s="17" t="s">
        <v>70</v>
      </c>
      <c r="C13" s="17" t="str">
        <f t="shared" si="1"/>
        <v>Tennessee</v>
      </c>
      <c r="D13" s="16" t="s">
        <v>55</v>
      </c>
      <c r="E13" s="16" t="s">
        <v>38</v>
      </c>
      <c r="F13" s="27">
        <v>0.48899999999999999</v>
      </c>
      <c r="G13" s="27"/>
      <c r="H13" s="15" t="s">
        <v>39</v>
      </c>
      <c r="I13" s="15" t="s">
        <v>39</v>
      </c>
      <c r="J13" s="16" t="s">
        <v>41</v>
      </c>
      <c r="K13" s="16"/>
      <c r="L13" s="17" t="s">
        <v>70</v>
      </c>
      <c r="M13" s="17" t="s">
        <v>71</v>
      </c>
      <c r="N13" s="17" t="s">
        <v>38</v>
      </c>
      <c r="O13" s="18" t="str">
        <f t="shared" si="2"/>
        <v>Kingsport Power CompanyTennesseeElectric</v>
      </c>
      <c r="P13" s="15" t="str">
        <f t="shared" si="0"/>
        <v>Tennessee</v>
      </c>
    </row>
    <row r="14" spans="2:16" x14ac:dyDescent="0.45">
      <c r="B14" s="17" t="s">
        <v>72</v>
      </c>
      <c r="C14" s="17" t="str">
        <f t="shared" si="1"/>
        <v>Ohio</v>
      </c>
      <c r="D14" s="16" t="s">
        <v>55</v>
      </c>
      <c r="E14" s="16" t="s">
        <v>38</v>
      </c>
      <c r="F14" s="27">
        <v>0.54430000000000001</v>
      </c>
      <c r="G14" s="27"/>
      <c r="H14" s="15" t="s">
        <v>39</v>
      </c>
      <c r="I14" s="15" t="s">
        <v>39</v>
      </c>
      <c r="J14" s="16" t="s">
        <v>46</v>
      </c>
      <c r="K14" s="16"/>
      <c r="L14" s="17" t="s">
        <v>73</v>
      </c>
      <c r="M14" s="17" t="s">
        <v>74</v>
      </c>
      <c r="N14" s="17" t="s">
        <v>38</v>
      </c>
      <c r="O14" s="18" t="str">
        <f t="shared" si="2"/>
        <v>Ohio Power Co.OhioElectric</v>
      </c>
      <c r="P14" s="15" t="str">
        <f t="shared" si="0"/>
        <v>Ohio</v>
      </c>
    </row>
    <row r="15" spans="2:16" x14ac:dyDescent="0.45">
      <c r="B15" s="17" t="s">
        <v>75</v>
      </c>
      <c r="C15" s="17" t="str">
        <f t="shared" si="1"/>
        <v>Oklahoma</v>
      </c>
      <c r="D15" s="16" t="s">
        <v>55</v>
      </c>
      <c r="E15" s="16" t="s">
        <v>38</v>
      </c>
      <c r="F15" s="27">
        <v>0.51119999999999999</v>
      </c>
      <c r="G15" s="27"/>
      <c r="H15" s="15" t="s">
        <v>39</v>
      </c>
      <c r="I15" s="15" t="s">
        <v>39</v>
      </c>
      <c r="J15" s="16" t="s">
        <v>46</v>
      </c>
      <c r="K15" s="16"/>
      <c r="L15" s="17" t="s">
        <v>76</v>
      </c>
      <c r="M15" s="17" t="s">
        <v>77</v>
      </c>
      <c r="N15" s="17" t="s">
        <v>38</v>
      </c>
      <c r="O15" s="18" t="str">
        <f t="shared" si="2"/>
        <v>Public Service Co. of OKOklahomaElectric</v>
      </c>
      <c r="P15" s="15" t="str">
        <f t="shared" si="0"/>
        <v>Oklahoma</v>
      </c>
    </row>
    <row r="16" spans="2:16" x14ac:dyDescent="0.45">
      <c r="B16" s="17" t="s">
        <v>78</v>
      </c>
      <c r="C16" s="17" t="str">
        <f t="shared" si="1"/>
        <v>Louisiana</v>
      </c>
      <c r="D16" s="16" t="s">
        <v>55</v>
      </c>
      <c r="E16" s="16" t="s">
        <v>38</v>
      </c>
      <c r="F16" s="27" t="s">
        <v>50</v>
      </c>
      <c r="G16" s="27"/>
      <c r="H16" s="15" t="s">
        <v>39</v>
      </c>
      <c r="I16" s="15" t="s">
        <v>39</v>
      </c>
      <c r="J16" s="16" t="s">
        <v>41</v>
      </c>
      <c r="K16" s="16"/>
      <c r="L16" s="17" t="s">
        <v>79</v>
      </c>
      <c r="M16" s="17" t="s">
        <v>80</v>
      </c>
      <c r="N16" s="17" t="s">
        <v>38</v>
      </c>
      <c r="O16" s="18" t="str">
        <f t="shared" si="2"/>
        <v>Southwestern Electric Power CoLouisianaElectric</v>
      </c>
      <c r="P16" s="15" t="str">
        <f t="shared" si="0"/>
        <v>Louisiana</v>
      </c>
    </row>
    <row r="17" spans="2:16" x14ac:dyDescent="0.45">
      <c r="B17" s="17" t="s">
        <v>78</v>
      </c>
      <c r="C17" s="17" t="str">
        <f t="shared" si="1"/>
        <v>Arkansas</v>
      </c>
      <c r="D17" s="16" t="s">
        <v>55</v>
      </c>
      <c r="E17" s="16" t="s">
        <v>38</v>
      </c>
      <c r="F17" s="27" t="s">
        <v>50</v>
      </c>
      <c r="G17" s="27"/>
      <c r="H17" s="15" t="s">
        <v>39</v>
      </c>
      <c r="I17" s="15" t="s">
        <v>39</v>
      </c>
      <c r="J17" s="16" t="s">
        <v>41</v>
      </c>
      <c r="K17" s="16"/>
      <c r="L17" s="17" t="s">
        <v>79</v>
      </c>
      <c r="M17" s="17" t="s">
        <v>81</v>
      </c>
      <c r="N17" s="17" t="s">
        <v>38</v>
      </c>
      <c r="O17" s="18" t="str">
        <f t="shared" si="2"/>
        <v>Southwestern Electric Power CoArkansasElectric</v>
      </c>
      <c r="P17" s="15" t="str">
        <f t="shared" si="0"/>
        <v>Arkansas</v>
      </c>
    </row>
    <row r="18" spans="2:16" x14ac:dyDescent="0.45">
      <c r="B18" s="17" t="s">
        <v>78</v>
      </c>
      <c r="C18" s="17" t="str">
        <f t="shared" si="1"/>
        <v>Texas</v>
      </c>
      <c r="D18" s="16" t="s">
        <v>55</v>
      </c>
      <c r="E18" s="16" t="s">
        <v>38</v>
      </c>
      <c r="F18" s="27">
        <v>0.49369999999999997</v>
      </c>
      <c r="G18" s="27"/>
      <c r="H18" s="15" t="s">
        <v>39</v>
      </c>
      <c r="I18" s="15" t="s">
        <v>39</v>
      </c>
      <c r="J18" s="16" t="s">
        <v>46</v>
      </c>
      <c r="K18" s="16"/>
      <c r="L18" s="17" t="s">
        <v>79</v>
      </c>
      <c r="M18" s="17" t="s">
        <v>57</v>
      </c>
      <c r="N18" s="17" t="s">
        <v>38</v>
      </c>
      <c r="O18" s="18" t="str">
        <f t="shared" si="2"/>
        <v>Southwestern Electric Power CoTexasElectric</v>
      </c>
      <c r="P18" s="15" t="str">
        <f t="shared" si="0"/>
        <v>Texas</v>
      </c>
    </row>
    <row r="19" spans="2:16" x14ac:dyDescent="0.45">
      <c r="B19" s="17" t="s">
        <v>82</v>
      </c>
      <c r="C19" s="17" t="str">
        <f t="shared" si="1"/>
        <v>West Virginia</v>
      </c>
      <c r="D19" s="16" t="s">
        <v>55</v>
      </c>
      <c r="E19" s="16" t="s">
        <v>38</v>
      </c>
      <c r="F19" s="27" t="s">
        <v>50</v>
      </c>
      <c r="G19" s="27"/>
      <c r="H19" s="15" t="s">
        <v>39</v>
      </c>
      <c r="I19" s="15" t="s">
        <v>39</v>
      </c>
      <c r="J19" s="16" t="s">
        <v>46</v>
      </c>
      <c r="K19" s="16"/>
      <c r="L19" s="17" t="s">
        <v>83</v>
      </c>
      <c r="M19" s="17" t="s">
        <v>61</v>
      </c>
      <c r="N19" s="17" t="s">
        <v>38</v>
      </c>
      <c r="O19" s="18" t="str">
        <f t="shared" si="2"/>
        <v>Wheeling Power Co.West VirginiaElectric</v>
      </c>
      <c r="P19" s="15" t="str">
        <f t="shared" si="0"/>
        <v>West Virginia</v>
      </c>
    </row>
    <row r="20" spans="2:16" s="67" customFormat="1" x14ac:dyDescent="0.45">
      <c r="B20" s="62" t="s">
        <v>84</v>
      </c>
      <c r="C20" s="62" t="s">
        <v>60</v>
      </c>
      <c r="D20" s="63" t="s">
        <v>85</v>
      </c>
      <c r="E20" s="63" t="s">
        <v>38</v>
      </c>
      <c r="F20" s="64">
        <v>0.52039999999999997</v>
      </c>
      <c r="G20" s="64"/>
      <c r="H20" s="65" t="s">
        <v>51</v>
      </c>
      <c r="I20" s="65"/>
      <c r="J20" s="63" t="s">
        <v>41</v>
      </c>
      <c r="K20" s="63"/>
      <c r="L20" s="62" t="s">
        <v>86</v>
      </c>
      <c r="M20" s="62" t="s">
        <v>60</v>
      </c>
      <c r="N20" s="62" t="s">
        <v>38</v>
      </c>
      <c r="O20" s="66" t="s">
        <v>87</v>
      </c>
      <c r="P20" s="65" t="str">
        <f t="shared" si="0"/>
        <v>Virginia</v>
      </c>
    </row>
    <row r="21" spans="2:16" x14ac:dyDescent="0.45">
      <c r="B21" s="17" t="s">
        <v>84</v>
      </c>
      <c r="C21" s="17" t="str">
        <f t="shared" si="1"/>
        <v>North Carolina</v>
      </c>
      <c r="D21" s="16" t="s">
        <v>85</v>
      </c>
      <c r="E21" s="16" t="s">
        <v>38</v>
      </c>
      <c r="F21" s="27">
        <v>0.52500000000000002</v>
      </c>
      <c r="G21" s="27"/>
      <c r="H21" s="15" t="s">
        <v>51</v>
      </c>
      <c r="I21" s="15" t="s">
        <v>39</v>
      </c>
      <c r="J21" s="16" t="s">
        <v>41</v>
      </c>
      <c r="K21" s="16"/>
      <c r="L21" s="17" t="s">
        <v>86</v>
      </c>
      <c r="M21" s="17" t="s">
        <v>88</v>
      </c>
      <c r="N21" s="17" t="s">
        <v>38</v>
      </c>
      <c r="O21" s="18" t="str">
        <f t="shared" si="2"/>
        <v>Virginia Electric &amp; Power Co.North CarolinaElectric</v>
      </c>
      <c r="P21" s="15" t="str">
        <f t="shared" si="0"/>
        <v>North Carolina</v>
      </c>
    </row>
    <row r="22" spans="2:16" x14ac:dyDescent="0.45">
      <c r="B22" s="17" t="s">
        <v>89</v>
      </c>
      <c r="C22" s="17" t="str">
        <f t="shared" si="1"/>
        <v>South Carolina</v>
      </c>
      <c r="D22" s="16" t="s">
        <v>85</v>
      </c>
      <c r="E22" s="16" t="s">
        <v>38</v>
      </c>
      <c r="F22" s="27">
        <v>0.52510000000000001</v>
      </c>
      <c r="G22" s="27"/>
      <c r="H22" s="15" t="s">
        <v>51</v>
      </c>
      <c r="I22" s="15" t="s">
        <v>39</v>
      </c>
      <c r="J22" s="16" t="s">
        <v>90</v>
      </c>
      <c r="K22" s="16"/>
      <c r="L22" s="17" t="s">
        <v>89</v>
      </c>
      <c r="M22" s="17" t="s">
        <v>91</v>
      </c>
      <c r="N22" s="17" t="s">
        <v>38</v>
      </c>
      <c r="O22" s="18" t="str">
        <f t="shared" si="2"/>
        <v>Dominion Energy South CarolinaSouth CarolinaElectric</v>
      </c>
      <c r="P22" s="15" t="str">
        <f t="shared" si="0"/>
        <v>South Carolina</v>
      </c>
    </row>
    <row r="23" spans="2:16" x14ac:dyDescent="0.45">
      <c r="B23" s="17" t="s">
        <v>92</v>
      </c>
      <c r="C23" s="17" t="str">
        <f t="shared" si="1"/>
        <v>North Carolina</v>
      </c>
      <c r="D23" s="16" t="s">
        <v>93</v>
      </c>
      <c r="E23" s="16" t="s">
        <v>38</v>
      </c>
      <c r="F23" s="27">
        <v>0.53</v>
      </c>
      <c r="G23" s="27"/>
      <c r="H23" s="15" t="s">
        <v>51</v>
      </c>
      <c r="I23" s="15" t="s">
        <v>40</v>
      </c>
      <c r="J23" s="16" t="s">
        <v>41</v>
      </c>
      <c r="K23" s="16"/>
      <c r="L23" s="17" t="s">
        <v>94</v>
      </c>
      <c r="M23" s="17" t="s">
        <v>88</v>
      </c>
      <c r="N23" s="17" t="s">
        <v>38</v>
      </c>
      <c r="O23" s="18" t="str">
        <f t="shared" si="2"/>
        <v>Duke Energy Carolinas LLCNorth CarolinaElectric</v>
      </c>
      <c r="P23" s="15" t="str">
        <f t="shared" si="0"/>
        <v>North Carolina</v>
      </c>
    </row>
    <row r="24" spans="2:16" x14ac:dyDescent="0.45">
      <c r="B24" s="17" t="s">
        <v>92</v>
      </c>
      <c r="C24" s="17" t="str">
        <f t="shared" si="1"/>
        <v>South Carolina</v>
      </c>
      <c r="D24" s="16" t="s">
        <v>93</v>
      </c>
      <c r="E24" s="16" t="s">
        <v>38</v>
      </c>
      <c r="F24" s="27">
        <v>0.5121</v>
      </c>
      <c r="G24" s="27"/>
      <c r="H24" s="15" t="s">
        <v>51</v>
      </c>
      <c r="I24" s="15" t="s">
        <v>40</v>
      </c>
      <c r="J24" s="16" t="s">
        <v>90</v>
      </c>
      <c r="K24" s="16"/>
      <c r="L24" s="17" t="s">
        <v>94</v>
      </c>
      <c r="M24" s="17" t="s">
        <v>91</v>
      </c>
      <c r="N24" s="17" t="s">
        <v>38</v>
      </c>
      <c r="O24" s="18" t="str">
        <f t="shared" si="2"/>
        <v>Duke Energy Carolinas LLCSouth CarolinaElectric</v>
      </c>
      <c r="P24" s="15" t="str">
        <f t="shared" si="0"/>
        <v>South Carolina</v>
      </c>
    </row>
    <row r="25" spans="2:16" x14ac:dyDescent="0.45">
      <c r="B25" s="17" t="s">
        <v>95</v>
      </c>
      <c r="C25" s="17" t="str">
        <f t="shared" si="1"/>
        <v>Florida</v>
      </c>
      <c r="D25" s="16" t="s">
        <v>93</v>
      </c>
      <c r="E25" s="16" t="s">
        <v>38</v>
      </c>
      <c r="F25" s="27" t="s">
        <v>50</v>
      </c>
      <c r="G25" s="27"/>
      <c r="H25" s="15" t="s">
        <v>39</v>
      </c>
      <c r="I25" s="15" t="s">
        <v>39</v>
      </c>
      <c r="J25" s="16" t="s">
        <v>65</v>
      </c>
      <c r="K25" s="16"/>
      <c r="L25" s="17" t="s">
        <v>96</v>
      </c>
      <c r="M25" s="17" t="s">
        <v>97</v>
      </c>
      <c r="N25" s="17" t="s">
        <v>38</v>
      </c>
      <c r="O25" s="18" t="str">
        <f t="shared" si="2"/>
        <v>Duke Energy Florida LLCFloridaElectric</v>
      </c>
      <c r="P25" s="15" t="str">
        <f t="shared" si="0"/>
        <v>Florida</v>
      </c>
    </row>
    <row r="26" spans="2:16" x14ac:dyDescent="0.45">
      <c r="B26" s="17" t="s">
        <v>98</v>
      </c>
      <c r="C26" s="17" t="str">
        <f t="shared" si="1"/>
        <v>Indiana</v>
      </c>
      <c r="D26" s="16" t="s">
        <v>93</v>
      </c>
      <c r="E26" s="16" t="s">
        <v>38</v>
      </c>
      <c r="F26" s="27" t="s">
        <v>50</v>
      </c>
      <c r="G26" s="27"/>
      <c r="H26" s="15" t="s">
        <v>39</v>
      </c>
      <c r="I26" s="15" t="s">
        <v>39</v>
      </c>
      <c r="J26" s="16" t="s">
        <v>41</v>
      </c>
      <c r="K26" s="16"/>
      <c r="L26" s="17" t="s">
        <v>98</v>
      </c>
      <c r="M26" s="17" t="s">
        <v>64</v>
      </c>
      <c r="N26" s="17" t="s">
        <v>38</v>
      </c>
      <c r="O26" s="18" t="str">
        <f t="shared" si="2"/>
        <v>Duke Energy Indiana, LLCIndianaElectric</v>
      </c>
      <c r="P26" s="15" t="str">
        <f t="shared" si="0"/>
        <v>Indiana</v>
      </c>
    </row>
    <row r="27" spans="2:16" x14ac:dyDescent="0.45">
      <c r="B27" s="17" t="s">
        <v>99</v>
      </c>
      <c r="C27" s="17" t="str">
        <f t="shared" si="1"/>
        <v>Kentucky</v>
      </c>
      <c r="D27" s="16" t="s">
        <v>93</v>
      </c>
      <c r="E27" s="16" t="s">
        <v>38</v>
      </c>
      <c r="F27" s="27">
        <v>0.52149999999999996</v>
      </c>
      <c r="G27" s="27"/>
      <c r="H27" s="15" t="s">
        <v>39</v>
      </c>
      <c r="I27" s="15" t="s">
        <v>39</v>
      </c>
      <c r="J27" s="16" t="s">
        <v>65</v>
      </c>
      <c r="K27" s="16"/>
      <c r="L27" s="17" t="s">
        <v>100</v>
      </c>
      <c r="M27" s="17" t="s">
        <v>69</v>
      </c>
      <c r="N27" s="17" t="s">
        <v>38</v>
      </c>
      <c r="O27" s="18" t="str">
        <f t="shared" si="2"/>
        <v>Duke Energy Kentucky Inc.KentuckyElectric</v>
      </c>
      <c r="P27" s="15" t="str">
        <f t="shared" si="0"/>
        <v>Kentucky</v>
      </c>
    </row>
    <row r="28" spans="2:16" x14ac:dyDescent="0.45">
      <c r="B28" s="17" t="s">
        <v>101</v>
      </c>
      <c r="C28" s="17" t="str">
        <f t="shared" si="1"/>
        <v>Ohio</v>
      </c>
      <c r="D28" s="16" t="s">
        <v>93</v>
      </c>
      <c r="E28" s="16" t="s">
        <v>38</v>
      </c>
      <c r="F28" s="27">
        <v>0.505</v>
      </c>
      <c r="G28" s="27"/>
      <c r="H28" s="15" t="s">
        <v>39</v>
      </c>
      <c r="I28" s="15" t="s">
        <v>39</v>
      </c>
      <c r="J28" s="16" t="s">
        <v>46</v>
      </c>
      <c r="K28" s="16"/>
      <c r="L28" s="17" t="s">
        <v>102</v>
      </c>
      <c r="M28" s="17" t="s">
        <v>74</v>
      </c>
      <c r="N28" s="17" t="s">
        <v>38</v>
      </c>
      <c r="O28" s="18" t="str">
        <f t="shared" si="2"/>
        <v>Duke Energy Ohio Inc.OhioElectric</v>
      </c>
      <c r="P28" s="15" t="str">
        <f t="shared" si="0"/>
        <v>Ohio</v>
      </c>
    </row>
    <row r="29" spans="2:16" x14ac:dyDescent="0.45">
      <c r="B29" s="17" t="s">
        <v>103</v>
      </c>
      <c r="C29" s="17" t="str">
        <f t="shared" si="1"/>
        <v>North Carolina</v>
      </c>
      <c r="D29" s="16" t="s">
        <v>93</v>
      </c>
      <c r="E29" s="16" t="s">
        <v>38</v>
      </c>
      <c r="F29" s="27">
        <v>0.53</v>
      </c>
      <c r="G29" s="27"/>
      <c r="H29" s="15" t="s">
        <v>51</v>
      </c>
      <c r="I29" s="15" t="s">
        <v>39</v>
      </c>
      <c r="J29" s="16" t="s">
        <v>41</v>
      </c>
      <c r="K29" s="16"/>
      <c r="L29" s="17" t="s">
        <v>104</v>
      </c>
      <c r="M29" s="17" t="s">
        <v>88</v>
      </c>
      <c r="N29" s="17" t="s">
        <v>38</v>
      </c>
      <c r="O29" s="18" t="str">
        <f t="shared" si="2"/>
        <v>Duke Energy Progress LLCNorth CarolinaElectric</v>
      </c>
      <c r="P29" s="15" t="str">
        <f t="shared" si="0"/>
        <v>North Carolina</v>
      </c>
    </row>
    <row r="30" spans="2:16" x14ac:dyDescent="0.45">
      <c r="B30" s="17" t="s">
        <v>103</v>
      </c>
      <c r="C30" s="17" t="str">
        <f t="shared" si="1"/>
        <v>South Carolina</v>
      </c>
      <c r="D30" s="16" t="s">
        <v>93</v>
      </c>
      <c r="E30" s="16" t="s">
        <v>38</v>
      </c>
      <c r="F30" s="27">
        <v>0.52429999999999999</v>
      </c>
      <c r="G30" s="27"/>
      <c r="H30" s="15" t="s">
        <v>51</v>
      </c>
      <c r="I30" s="15" t="s">
        <v>39</v>
      </c>
      <c r="J30" s="16" t="s">
        <v>90</v>
      </c>
      <c r="K30" s="16"/>
      <c r="L30" s="17" t="s">
        <v>104</v>
      </c>
      <c r="M30" s="17" t="s">
        <v>91</v>
      </c>
      <c r="N30" s="17" t="s">
        <v>38</v>
      </c>
      <c r="O30" s="18" t="str">
        <f t="shared" si="2"/>
        <v>Duke Energy Progress LLCSouth CarolinaElectric</v>
      </c>
      <c r="P30" s="15" t="str">
        <f t="shared" si="0"/>
        <v>South Carolina</v>
      </c>
    </row>
    <row r="31" spans="2:16" x14ac:dyDescent="0.45">
      <c r="B31" s="17" t="s">
        <v>105</v>
      </c>
      <c r="C31" s="17" t="str">
        <f t="shared" si="1"/>
        <v>California</v>
      </c>
      <c r="D31" s="16" t="s">
        <v>106</v>
      </c>
      <c r="E31" s="16" t="s">
        <v>38</v>
      </c>
      <c r="F31" s="27" t="s">
        <v>50</v>
      </c>
      <c r="G31" s="27"/>
      <c r="H31" s="15" t="s">
        <v>51</v>
      </c>
      <c r="I31" s="15" t="s">
        <v>40</v>
      </c>
      <c r="J31" s="16" t="s">
        <v>90</v>
      </c>
      <c r="K31" s="16"/>
      <c r="L31" s="17" t="s">
        <v>107</v>
      </c>
      <c r="M31" s="17" t="s">
        <v>108</v>
      </c>
      <c r="N31" s="17" t="s">
        <v>38</v>
      </c>
      <c r="O31" s="18" t="str">
        <f t="shared" si="2"/>
        <v>Southern California Edison Co.CaliforniaElectric</v>
      </c>
      <c r="P31" s="15" t="str">
        <f t="shared" si="0"/>
        <v>California</v>
      </c>
    </row>
    <row r="32" spans="2:16" x14ac:dyDescent="0.45">
      <c r="B32" s="17" t="s">
        <v>109</v>
      </c>
      <c r="C32" s="17" t="str">
        <f t="shared" si="1"/>
        <v>Arkansas</v>
      </c>
      <c r="D32" s="16" t="s">
        <v>110</v>
      </c>
      <c r="E32" s="16" t="s">
        <v>38</v>
      </c>
      <c r="F32" s="27" t="s">
        <v>50</v>
      </c>
      <c r="G32" s="27"/>
      <c r="H32" s="15" t="s">
        <v>51</v>
      </c>
      <c r="I32" s="15" t="s">
        <v>39</v>
      </c>
      <c r="J32" s="16" t="s">
        <v>41</v>
      </c>
      <c r="K32" s="16"/>
      <c r="L32" s="17" t="s">
        <v>111</v>
      </c>
      <c r="M32" s="17" t="s">
        <v>81</v>
      </c>
      <c r="N32" s="17" t="s">
        <v>38</v>
      </c>
      <c r="O32" s="18" t="str">
        <f t="shared" si="2"/>
        <v>Entergy Arkansas LLCArkansasElectric</v>
      </c>
      <c r="P32" s="15" t="str">
        <f t="shared" si="0"/>
        <v>Arkansas</v>
      </c>
    </row>
    <row r="33" spans="2:16" x14ac:dyDescent="0.45">
      <c r="B33" s="17" t="s">
        <v>112</v>
      </c>
      <c r="C33" s="17" t="str">
        <f t="shared" si="1"/>
        <v>Louisiana</v>
      </c>
      <c r="D33" s="16" t="s">
        <v>110</v>
      </c>
      <c r="E33" s="16" t="s">
        <v>38</v>
      </c>
      <c r="F33" s="27" t="s">
        <v>50</v>
      </c>
      <c r="G33" s="27"/>
      <c r="H33" s="15" t="s">
        <v>51</v>
      </c>
      <c r="I33" s="15" t="s">
        <v>39</v>
      </c>
      <c r="J33" s="16" t="s">
        <v>41</v>
      </c>
      <c r="K33" s="16"/>
      <c r="L33" s="17" t="s">
        <v>113</v>
      </c>
      <c r="M33" s="28" t="s">
        <v>80</v>
      </c>
      <c r="N33" s="17" t="s">
        <v>38</v>
      </c>
      <c r="O33" s="18" t="str">
        <f t="shared" si="2"/>
        <v>Entergy Louisiana LLCLouisianaElectric</v>
      </c>
      <c r="P33" s="15" t="str">
        <f t="shared" si="0"/>
        <v>Louisiana</v>
      </c>
    </row>
    <row r="34" spans="2:16" x14ac:dyDescent="0.45">
      <c r="B34" s="17" t="s">
        <v>114</v>
      </c>
      <c r="C34" s="17" t="str">
        <f t="shared" si="1"/>
        <v>Mississippi</v>
      </c>
      <c r="D34" s="16" t="s">
        <v>110</v>
      </c>
      <c r="E34" s="16" t="s">
        <v>38</v>
      </c>
      <c r="F34" s="27" t="s">
        <v>50</v>
      </c>
      <c r="G34" s="27"/>
      <c r="H34" s="15" t="s">
        <v>39</v>
      </c>
      <c r="I34" s="15" t="s">
        <v>39</v>
      </c>
      <c r="J34" s="16" t="s">
        <v>41</v>
      </c>
      <c r="K34" s="16"/>
      <c r="L34" s="17" t="s">
        <v>115</v>
      </c>
      <c r="M34" s="28" t="s">
        <v>116</v>
      </c>
      <c r="N34" s="17" t="s">
        <v>38</v>
      </c>
      <c r="O34" s="18" t="str">
        <f t="shared" si="2"/>
        <v>Entergy Mississippi LLCMississippiElectric</v>
      </c>
      <c r="P34" s="15" t="str">
        <f t="shared" si="0"/>
        <v>Mississippi</v>
      </c>
    </row>
    <row r="35" spans="2:16" x14ac:dyDescent="0.45">
      <c r="B35" s="17" t="s">
        <v>117</v>
      </c>
      <c r="C35" s="17" t="str">
        <f t="shared" si="1"/>
        <v>Louisiana</v>
      </c>
      <c r="D35" s="16" t="s">
        <v>110</v>
      </c>
      <c r="E35" s="16" t="s">
        <v>38</v>
      </c>
      <c r="F35" s="27">
        <v>0.5</v>
      </c>
      <c r="G35" s="27"/>
      <c r="H35" s="15" t="s">
        <v>39</v>
      </c>
      <c r="I35" s="15" t="s">
        <v>39</v>
      </c>
      <c r="J35" s="16" t="s">
        <v>90</v>
      </c>
      <c r="K35" s="16"/>
      <c r="L35" s="28" t="s">
        <v>118</v>
      </c>
      <c r="M35" s="28" t="s">
        <v>80</v>
      </c>
      <c r="N35" s="17" t="s">
        <v>38</v>
      </c>
      <c r="O35" s="18" t="str">
        <f t="shared" si="2"/>
        <v>Entergy New Orleans LLCLouisianaElectric</v>
      </c>
      <c r="P35" s="15" t="s">
        <v>119</v>
      </c>
    </row>
    <row r="36" spans="2:16" x14ac:dyDescent="0.45">
      <c r="B36" s="17" t="s">
        <v>120</v>
      </c>
      <c r="C36" s="17" t="str">
        <f t="shared" si="1"/>
        <v>Texas</v>
      </c>
      <c r="D36" s="16" t="s">
        <v>110</v>
      </c>
      <c r="E36" s="16" t="s">
        <v>38</v>
      </c>
      <c r="F36" s="27">
        <v>0.5121</v>
      </c>
      <c r="G36" s="27"/>
      <c r="H36" s="15" t="s">
        <v>39</v>
      </c>
      <c r="I36" s="15" t="s">
        <v>39</v>
      </c>
      <c r="J36" s="16" t="s">
        <v>46</v>
      </c>
      <c r="K36" s="16"/>
      <c r="L36" s="28" t="s">
        <v>121</v>
      </c>
      <c r="M36" s="28" t="s">
        <v>57</v>
      </c>
      <c r="N36" s="17" t="s">
        <v>38</v>
      </c>
      <c r="O36" s="18" t="str">
        <f t="shared" si="2"/>
        <v>Entergy Texas Inc.TexasElectric</v>
      </c>
      <c r="P36" s="15" t="str">
        <f t="shared" ref="P36:P73" si="3">C36</f>
        <v>Texas</v>
      </c>
    </row>
    <row r="37" spans="2:16" x14ac:dyDescent="0.45">
      <c r="B37" s="17" t="s">
        <v>122</v>
      </c>
      <c r="C37" s="17" t="str">
        <f t="shared" si="1"/>
        <v>Kansas</v>
      </c>
      <c r="D37" s="16" t="s">
        <v>123</v>
      </c>
      <c r="E37" s="16" t="s">
        <v>38</v>
      </c>
      <c r="F37" s="27" t="s">
        <v>50</v>
      </c>
      <c r="G37" s="27"/>
      <c r="H37" s="15" t="s">
        <v>51</v>
      </c>
      <c r="I37" s="15" t="s">
        <v>39</v>
      </c>
      <c r="J37" s="16" t="s">
        <v>41</v>
      </c>
      <c r="K37" s="16"/>
      <c r="L37" s="28" t="s">
        <v>124</v>
      </c>
      <c r="M37" s="28" t="s">
        <v>125</v>
      </c>
      <c r="N37" s="17" t="s">
        <v>38</v>
      </c>
      <c r="O37" s="18" t="str">
        <f t="shared" si="2"/>
        <v>Evergy Metro IncKansasElectric</v>
      </c>
      <c r="P37" s="15" t="str">
        <f t="shared" si="3"/>
        <v>Kansas</v>
      </c>
    </row>
    <row r="38" spans="2:16" x14ac:dyDescent="0.45">
      <c r="B38" s="17" t="s">
        <v>122</v>
      </c>
      <c r="C38" s="17" t="str">
        <f t="shared" si="1"/>
        <v>Missouri</v>
      </c>
      <c r="D38" s="16" t="s">
        <v>123</v>
      </c>
      <c r="E38" s="16" t="s">
        <v>38</v>
      </c>
      <c r="F38" s="27" t="s">
        <v>50</v>
      </c>
      <c r="G38" s="27"/>
      <c r="H38" s="15" t="s">
        <v>51</v>
      </c>
      <c r="I38" s="15" t="s">
        <v>39</v>
      </c>
      <c r="J38" s="16" t="s">
        <v>46</v>
      </c>
      <c r="K38" s="16"/>
      <c r="L38" s="28" t="s">
        <v>124</v>
      </c>
      <c r="M38" s="28" t="s">
        <v>53</v>
      </c>
      <c r="N38" s="17" t="s">
        <v>38</v>
      </c>
      <c r="O38" s="18" t="str">
        <f t="shared" si="2"/>
        <v>Evergy Metro IncMissouriElectric</v>
      </c>
      <c r="P38" s="15" t="str">
        <f t="shared" si="3"/>
        <v>Missouri</v>
      </c>
    </row>
    <row r="39" spans="2:16" x14ac:dyDescent="0.45">
      <c r="B39" s="17" t="s">
        <v>126</v>
      </c>
      <c r="C39" s="17" t="str">
        <f t="shared" si="1"/>
        <v>Kansas</v>
      </c>
      <c r="D39" s="16" t="s">
        <v>123</v>
      </c>
      <c r="E39" s="16" t="s">
        <v>38</v>
      </c>
      <c r="F39" s="27">
        <v>0.50130000000000008</v>
      </c>
      <c r="G39" s="27"/>
      <c r="H39" s="15" t="s">
        <v>51</v>
      </c>
      <c r="I39" s="15" t="s">
        <v>39</v>
      </c>
      <c r="J39" s="16" t="s">
        <v>41</v>
      </c>
      <c r="K39" s="16"/>
      <c r="L39" s="28" t="s">
        <v>126</v>
      </c>
      <c r="M39" s="28" t="s">
        <v>125</v>
      </c>
      <c r="N39" s="17" t="s">
        <v>38</v>
      </c>
      <c r="O39" s="18" t="str">
        <f t="shared" si="2"/>
        <v>Evergy Kansas SouthKansasElectric</v>
      </c>
      <c r="P39" s="15" t="str">
        <f t="shared" si="3"/>
        <v>Kansas</v>
      </c>
    </row>
    <row r="40" spans="2:16" x14ac:dyDescent="0.45">
      <c r="B40" s="17" t="s">
        <v>127</v>
      </c>
      <c r="C40" s="17" t="str">
        <f t="shared" si="1"/>
        <v>Missouri</v>
      </c>
      <c r="D40" s="16" t="s">
        <v>123</v>
      </c>
      <c r="E40" s="16" t="s">
        <v>38</v>
      </c>
      <c r="F40" s="27" t="s">
        <v>50</v>
      </c>
      <c r="G40" s="27"/>
      <c r="H40" s="15" t="s">
        <v>39</v>
      </c>
      <c r="I40" s="15" t="s">
        <v>39</v>
      </c>
      <c r="J40" s="16" t="s">
        <v>46</v>
      </c>
      <c r="K40" s="16"/>
      <c r="L40" s="28" t="s">
        <v>128</v>
      </c>
      <c r="M40" s="28" t="s">
        <v>53</v>
      </c>
      <c r="N40" s="17" t="s">
        <v>38</v>
      </c>
      <c r="O40" s="18" t="str">
        <f t="shared" si="2"/>
        <v>Evergy Missouri WestMissouriElectric</v>
      </c>
      <c r="P40" s="15" t="str">
        <f t="shared" si="3"/>
        <v>Missouri</v>
      </c>
    </row>
    <row r="41" spans="2:16" x14ac:dyDescent="0.45">
      <c r="B41" s="17" t="s">
        <v>129</v>
      </c>
      <c r="C41" s="17" t="str">
        <f t="shared" si="1"/>
        <v>Kansas</v>
      </c>
      <c r="D41" s="16" t="s">
        <v>123</v>
      </c>
      <c r="E41" s="16" t="s">
        <v>38</v>
      </c>
      <c r="F41" s="27" t="s">
        <v>50</v>
      </c>
      <c r="G41" s="27"/>
      <c r="H41" s="15" t="s">
        <v>39</v>
      </c>
      <c r="I41" s="15" t="s">
        <v>39</v>
      </c>
      <c r="J41" s="16" t="s">
        <v>41</v>
      </c>
      <c r="K41" s="16"/>
      <c r="L41" s="28" t="s">
        <v>130</v>
      </c>
      <c r="M41" s="28" t="s">
        <v>125</v>
      </c>
      <c r="N41" s="17" t="s">
        <v>38</v>
      </c>
      <c r="O41" s="18" t="str">
        <f t="shared" si="2"/>
        <v>Evergy Kansas Central Inc.KansasElectric</v>
      </c>
      <c r="P41" s="15" t="str">
        <f t="shared" si="3"/>
        <v>Kansas</v>
      </c>
    </row>
    <row r="42" spans="2:16" x14ac:dyDescent="0.45">
      <c r="B42" s="17" t="s">
        <v>131</v>
      </c>
      <c r="C42" s="17" t="str">
        <f t="shared" si="1"/>
        <v>Idaho</v>
      </c>
      <c r="D42" s="16" t="s">
        <v>132</v>
      </c>
      <c r="E42" s="16" t="s">
        <v>38</v>
      </c>
      <c r="F42" s="27" t="s">
        <v>50</v>
      </c>
      <c r="G42" s="27"/>
      <c r="H42" s="15" t="s">
        <v>39</v>
      </c>
      <c r="I42" s="15" t="s">
        <v>40</v>
      </c>
      <c r="J42" s="16" t="s">
        <v>46</v>
      </c>
      <c r="K42" s="16"/>
      <c r="L42" s="28" t="s">
        <v>131</v>
      </c>
      <c r="M42" s="28" t="s">
        <v>133</v>
      </c>
      <c r="N42" s="17" t="s">
        <v>38</v>
      </c>
      <c r="O42" s="18" t="str">
        <f t="shared" si="2"/>
        <v>Idaho Power Co.IdahoElectric</v>
      </c>
      <c r="P42" s="15" t="str">
        <f t="shared" si="3"/>
        <v>Idaho</v>
      </c>
    </row>
    <row r="43" spans="2:16" x14ac:dyDescent="0.45">
      <c r="B43" s="17" t="s">
        <v>131</v>
      </c>
      <c r="C43" s="17" t="str">
        <f t="shared" si="1"/>
        <v>Oregon</v>
      </c>
      <c r="D43" s="16" t="s">
        <v>132</v>
      </c>
      <c r="E43" s="16" t="s">
        <v>38</v>
      </c>
      <c r="F43" s="27">
        <v>0.5</v>
      </c>
      <c r="G43" s="27"/>
      <c r="H43" s="15" t="s">
        <v>39</v>
      </c>
      <c r="I43" s="15" t="s">
        <v>40</v>
      </c>
      <c r="J43" s="16" t="s">
        <v>90</v>
      </c>
      <c r="K43" s="16"/>
      <c r="L43" s="28" t="s">
        <v>131</v>
      </c>
      <c r="M43" s="28" t="s">
        <v>134</v>
      </c>
      <c r="N43" s="17" t="s">
        <v>38</v>
      </c>
      <c r="O43" s="18" t="str">
        <f t="shared" si="2"/>
        <v>Idaho Power Co.OregonElectric</v>
      </c>
      <c r="P43" s="15" t="str">
        <f t="shared" si="3"/>
        <v>Oregon</v>
      </c>
    </row>
    <row r="44" spans="2:16" x14ac:dyDescent="0.45">
      <c r="B44" s="17" t="s">
        <v>135</v>
      </c>
      <c r="C44" s="17" t="str">
        <f t="shared" si="1"/>
        <v>Florida</v>
      </c>
      <c r="D44" s="16" t="s">
        <v>136</v>
      </c>
      <c r="E44" s="16" t="s">
        <v>38</v>
      </c>
      <c r="F44" s="29">
        <v>0.59599999999999997</v>
      </c>
      <c r="G44" s="29"/>
      <c r="H44" s="15" t="s">
        <v>51</v>
      </c>
      <c r="I44" s="15" t="s">
        <v>39</v>
      </c>
      <c r="J44" s="16" t="s">
        <v>65</v>
      </c>
      <c r="K44" s="16"/>
      <c r="L44" s="28" t="s">
        <v>137</v>
      </c>
      <c r="M44" s="28" t="s">
        <v>97</v>
      </c>
      <c r="N44" s="17" t="s">
        <v>38</v>
      </c>
      <c r="O44" s="18" t="str">
        <f t="shared" si="2"/>
        <v>Florida Power &amp; Light Co.FloridaElectric</v>
      </c>
      <c r="P44" s="15" t="str">
        <f t="shared" si="3"/>
        <v>Florida</v>
      </c>
    </row>
    <row r="45" spans="2:16" x14ac:dyDescent="0.45">
      <c r="B45" s="17" t="s">
        <v>138</v>
      </c>
      <c r="C45" s="17" t="str">
        <f t="shared" si="1"/>
        <v>Arizona</v>
      </c>
      <c r="D45" s="16" t="s">
        <v>139</v>
      </c>
      <c r="E45" s="16" t="s">
        <v>38</v>
      </c>
      <c r="F45" s="27">
        <v>0.51929999999999998</v>
      </c>
      <c r="G45" s="27"/>
      <c r="H45" s="15" t="s">
        <v>51</v>
      </c>
      <c r="I45" s="15" t="s">
        <v>39</v>
      </c>
      <c r="J45" s="16" t="s">
        <v>90</v>
      </c>
      <c r="K45" s="16"/>
      <c r="L45" s="28" t="s">
        <v>140</v>
      </c>
      <c r="M45" s="28" t="s">
        <v>141</v>
      </c>
      <c r="N45" s="17" t="s">
        <v>38</v>
      </c>
      <c r="O45" s="18" t="str">
        <f t="shared" si="2"/>
        <v>Arizona Public Service Co.ArizonaElectric</v>
      </c>
      <c r="P45" s="15" t="str">
        <f t="shared" si="3"/>
        <v>Arizona</v>
      </c>
    </row>
    <row r="46" spans="2:16" x14ac:dyDescent="0.45">
      <c r="B46" s="17" t="s">
        <v>142</v>
      </c>
      <c r="C46" s="17" t="str">
        <f t="shared" si="1"/>
        <v>New Mexico</v>
      </c>
      <c r="D46" s="16" t="s">
        <v>143</v>
      </c>
      <c r="E46" s="16" t="s">
        <v>38</v>
      </c>
      <c r="F46" s="27">
        <v>0.51</v>
      </c>
      <c r="G46" s="27"/>
      <c r="H46" s="15" t="s">
        <v>51</v>
      </c>
      <c r="I46" s="15" t="s">
        <v>39</v>
      </c>
      <c r="J46" s="16" t="s">
        <v>144</v>
      </c>
      <c r="K46" s="16"/>
      <c r="L46" s="28" t="s">
        <v>145</v>
      </c>
      <c r="M46" s="28" t="s">
        <v>146</v>
      </c>
      <c r="N46" s="17" t="s">
        <v>38</v>
      </c>
      <c r="O46" s="18" t="str">
        <f t="shared" si="2"/>
        <v>Public Service Co. of NMNew MexicoElectric</v>
      </c>
      <c r="P46" s="15" t="str">
        <f t="shared" si="3"/>
        <v>New Mexico</v>
      </c>
    </row>
    <row r="47" spans="2:16" x14ac:dyDescent="0.45">
      <c r="B47" s="17" t="s">
        <v>147</v>
      </c>
      <c r="C47" s="17" t="str">
        <f t="shared" si="1"/>
        <v>Texas</v>
      </c>
      <c r="D47" s="16" t="s">
        <v>143</v>
      </c>
      <c r="E47" s="16" t="s">
        <v>38</v>
      </c>
      <c r="F47" s="27">
        <v>0.45</v>
      </c>
      <c r="G47" s="27"/>
      <c r="H47" s="15" t="s">
        <v>39</v>
      </c>
      <c r="I47" s="15" t="s">
        <v>39</v>
      </c>
      <c r="J47" s="16" t="s">
        <v>46</v>
      </c>
      <c r="K47" s="16"/>
      <c r="L47" s="28" t="s">
        <v>148</v>
      </c>
      <c r="M47" s="28" t="s">
        <v>57</v>
      </c>
      <c r="N47" s="17" t="s">
        <v>38</v>
      </c>
      <c r="O47" s="18" t="str">
        <f t="shared" si="2"/>
        <v>Texas-New Mexico Power Co.TexasElectric</v>
      </c>
      <c r="P47" s="15" t="str">
        <f t="shared" si="3"/>
        <v>Texas</v>
      </c>
    </row>
    <row r="48" spans="2:16" x14ac:dyDescent="0.45">
      <c r="B48" s="17" t="s">
        <v>149</v>
      </c>
      <c r="C48" s="17" t="str">
        <f t="shared" si="1"/>
        <v>Oregon</v>
      </c>
      <c r="D48" s="16" t="s">
        <v>150</v>
      </c>
      <c r="E48" s="16" t="s">
        <v>38</v>
      </c>
      <c r="F48" s="27">
        <v>0.5</v>
      </c>
      <c r="G48" s="27"/>
      <c r="H48" s="15" t="s">
        <v>39</v>
      </c>
      <c r="I48" s="15" t="s">
        <v>40</v>
      </c>
      <c r="J48" s="16" t="s">
        <v>90</v>
      </c>
      <c r="K48" s="16"/>
      <c r="L48" s="28" t="s">
        <v>151</v>
      </c>
      <c r="M48" s="28" t="s">
        <v>134</v>
      </c>
      <c r="N48" s="17" t="s">
        <v>38</v>
      </c>
      <c r="O48" s="18" t="str">
        <f t="shared" si="2"/>
        <v>Portland General Electric Co.OregonElectric</v>
      </c>
      <c r="P48" s="15" t="str">
        <f t="shared" si="3"/>
        <v>Oregon</v>
      </c>
    </row>
    <row r="49" spans="2:16" x14ac:dyDescent="0.45">
      <c r="B49" s="17" t="s">
        <v>152</v>
      </c>
      <c r="C49" s="17" t="str">
        <f t="shared" si="1"/>
        <v>Alabama</v>
      </c>
      <c r="D49" s="16" t="s">
        <v>153</v>
      </c>
      <c r="E49" s="16" t="s">
        <v>38</v>
      </c>
      <c r="F49" s="27" t="s">
        <v>50</v>
      </c>
      <c r="G49" s="27"/>
      <c r="H49" s="15" t="s">
        <v>51</v>
      </c>
      <c r="I49" s="15" t="s">
        <v>40</v>
      </c>
      <c r="J49" s="16" t="s">
        <v>65</v>
      </c>
      <c r="K49" s="16"/>
      <c r="L49" s="28" t="s">
        <v>152</v>
      </c>
      <c r="M49" s="28" t="s">
        <v>154</v>
      </c>
      <c r="N49" s="17" t="s">
        <v>38</v>
      </c>
      <c r="O49" s="18" t="str">
        <f t="shared" si="2"/>
        <v>Alabama Power CompanyAlabamaElectric</v>
      </c>
      <c r="P49" s="15" t="str">
        <f t="shared" si="3"/>
        <v>Alabama</v>
      </c>
    </row>
    <row r="50" spans="2:16" x14ac:dyDescent="0.45">
      <c r="B50" s="17" t="s">
        <v>155</v>
      </c>
      <c r="C50" s="17" t="str">
        <f t="shared" si="1"/>
        <v>Georgia</v>
      </c>
      <c r="D50" s="16" t="s">
        <v>153</v>
      </c>
      <c r="E50" s="16" t="s">
        <v>38</v>
      </c>
      <c r="F50" s="27">
        <v>0.56000000000000005</v>
      </c>
      <c r="G50" s="27"/>
      <c r="H50" s="15" t="s">
        <v>51</v>
      </c>
      <c r="I50" s="15" t="s">
        <v>39</v>
      </c>
      <c r="J50" s="16" t="s">
        <v>41</v>
      </c>
      <c r="K50" s="16"/>
      <c r="L50" s="28" t="s">
        <v>156</v>
      </c>
      <c r="M50" s="28" t="s">
        <v>157</v>
      </c>
      <c r="N50" s="17" t="s">
        <v>38</v>
      </c>
      <c r="O50" s="18" t="str">
        <f t="shared" si="2"/>
        <v>Georgia Power Co.GeorgiaElectric</v>
      </c>
      <c r="P50" s="15" t="str">
        <f t="shared" si="3"/>
        <v>Georgia</v>
      </c>
    </row>
    <row r="51" spans="2:16" x14ac:dyDescent="0.45">
      <c r="B51" s="17" t="s">
        <v>158</v>
      </c>
      <c r="C51" s="17" t="str">
        <f t="shared" si="1"/>
        <v>Mississippi</v>
      </c>
      <c r="D51" s="16" t="s">
        <v>153</v>
      </c>
      <c r="E51" s="16" t="s">
        <v>38</v>
      </c>
      <c r="F51" s="27">
        <v>0.53</v>
      </c>
      <c r="G51" s="27"/>
      <c r="H51" s="15" t="s">
        <v>39</v>
      </c>
      <c r="I51" s="15" t="s">
        <v>39</v>
      </c>
      <c r="J51" s="16" t="s">
        <v>41</v>
      </c>
      <c r="K51" s="16"/>
      <c r="L51" s="28" t="s">
        <v>159</v>
      </c>
      <c r="M51" s="28" t="s">
        <v>116</v>
      </c>
      <c r="N51" s="17" t="s">
        <v>38</v>
      </c>
      <c r="O51" s="18" t="str">
        <f t="shared" si="2"/>
        <v>Mississippi Power Co.MississippiElectric</v>
      </c>
      <c r="P51" s="15" t="str">
        <f t="shared" si="3"/>
        <v>Mississippi</v>
      </c>
    </row>
    <row r="52" spans="2:16" x14ac:dyDescent="0.45">
      <c r="B52" s="17" t="s">
        <v>160</v>
      </c>
      <c r="C52" s="17" t="str">
        <f t="shared" si="1"/>
        <v>Minnesota</v>
      </c>
      <c r="D52" s="15" t="s">
        <v>161</v>
      </c>
      <c r="E52" s="15" t="s">
        <v>38</v>
      </c>
      <c r="F52" s="27">
        <v>0.52500000000000002</v>
      </c>
      <c r="G52" s="27"/>
      <c r="H52" s="15" t="s">
        <v>51</v>
      </c>
      <c r="I52" s="15" t="s">
        <v>39</v>
      </c>
      <c r="J52" s="16" t="s">
        <v>41</v>
      </c>
      <c r="K52" s="16"/>
      <c r="L52" s="28" t="s">
        <v>162</v>
      </c>
      <c r="M52" s="28" t="s">
        <v>43</v>
      </c>
      <c r="N52" s="17" t="s">
        <v>38</v>
      </c>
      <c r="O52" s="18" t="str">
        <f t="shared" si="2"/>
        <v>Northern States Power Co.MinnesotaElectric</v>
      </c>
      <c r="P52" s="15" t="str">
        <f t="shared" si="3"/>
        <v>Minnesota</v>
      </c>
    </row>
    <row r="53" spans="2:16" x14ac:dyDescent="0.45">
      <c r="B53" s="17" t="s">
        <v>160</v>
      </c>
      <c r="C53" s="17" t="str">
        <f t="shared" si="1"/>
        <v>North Dakota</v>
      </c>
      <c r="D53" s="15" t="s">
        <v>161</v>
      </c>
      <c r="E53" s="15" t="s">
        <v>38</v>
      </c>
      <c r="F53" s="27">
        <v>0.52500000000000002</v>
      </c>
      <c r="G53" s="27"/>
      <c r="H53" s="15" t="s">
        <v>51</v>
      </c>
      <c r="I53" s="15" t="s">
        <v>39</v>
      </c>
      <c r="J53" s="16" t="s">
        <v>41</v>
      </c>
      <c r="K53" s="16"/>
      <c r="L53" s="28" t="s">
        <v>162</v>
      </c>
      <c r="M53" s="28" t="s">
        <v>163</v>
      </c>
      <c r="N53" s="17" t="s">
        <v>38</v>
      </c>
      <c r="O53" s="18" t="str">
        <f t="shared" si="2"/>
        <v>Northern States Power Co.North DakotaElectric</v>
      </c>
      <c r="P53" s="15" t="str">
        <f t="shared" si="3"/>
        <v>North Dakota</v>
      </c>
    </row>
    <row r="54" spans="2:16" x14ac:dyDescent="0.45">
      <c r="B54" s="17" t="s">
        <v>160</v>
      </c>
      <c r="C54" s="17" t="str">
        <f t="shared" si="1"/>
        <v>Wisconsin</v>
      </c>
      <c r="D54" s="15" t="s">
        <v>161</v>
      </c>
      <c r="E54" s="15" t="s">
        <v>38</v>
      </c>
      <c r="F54" s="27">
        <v>0.52500000000000002</v>
      </c>
      <c r="G54" s="27"/>
      <c r="H54" s="15" t="s">
        <v>51</v>
      </c>
      <c r="I54" s="15" t="s">
        <v>39</v>
      </c>
      <c r="J54" s="16" t="s">
        <v>65</v>
      </c>
      <c r="K54" s="16"/>
      <c r="L54" s="28" t="s">
        <v>162</v>
      </c>
      <c r="M54" s="28" t="s">
        <v>164</v>
      </c>
      <c r="N54" s="17" t="s">
        <v>38</v>
      </c>
      <c r="O54" s="18" t="str">
        <f t="shared" si="2"/>
        <v>Northern States Power Co.WisconsinElectric</v>
      </c>
      <c r="P54" s="15" t="str">
        <f t="shared" si="3"/>
        <v>Wisconsin</v>
      </c>
    </row>
    <row r="55" spans="2:16" x14ac:dyDescent="0.45">
      <c r="B55" s="17" t="s">
        <v>160</v>
      </c>
      <c r="C55" s="17" t="str">
        <f t="shared" si="1"/>
        <v>South Dakota</v>
      </c>
      <c r="D55" s="15" t="s">
        <v>161</v>
      </c>
      <c r="E55" s="15" t="s">
        <v>38</v>
      </c>
      <c r="F55" s="27" t="s">
        <v>50</v>
      </c>
      <c r="G55" s="27"/>
      <c r="H55" s="15" t="s">
        <v>51</v>
      </c>
      <c r="I55" s="15" t="s">
        <v>39</v>
      </c>
      <c r="J55" s="16" t="s">
        <v>46</v>
      </c>
      <c r="K55" s="16"/>
      <c r="L55" s="28" t="s">
        <v>162</v>
      </c>
      <c r="M55" s="28" t="s">
        <v>165</v>
      </c>
      <c r="N55" s="17" t="s">
        <v>38</v>
      </c>
      <c r="O55" s="18" t="str">
        <f t="shared" si="2"/>
        <v>Northern States Power Co.South DakotaElectric</v>
      </c>
      <c r="P55" s="15" t="str">
        <f t="shared" si="3"/>
        <v>South Dakota</v>
      </c>
    </row>
    <row r="56" spans="2:16" x14ac:dyDescent="0.45">
      <c r="B56" s="17" t="s">
        <v>166</v>
      </c>
      <c r="C56" s="17" t="str">
        <f t="shared" si="1"/>
        <v>Colorado</v>
      </c>
      <c r="D56" s="15" t="s">
        <v>161</v>
      </c>
      <c r="E56" s="15" t="s">
        <v>38</v>
      </c>
      <c r="F56" s="27">
        <v>0.55689999999999995</v>
      </c>
      <c r="G56" s="27"/>
      <c r="H56" s="15" t="s">
        <v>39</v>
      </c>
      <c r="I56" s="15" t="s">
        <v>39</v>
      </c>
      <c r="J56" s="16" t="s">
        <v>46</v>
      </c>
      <c r="K56" s="16"/>
      <c r="L56" s="28" t="s">
        <v>167</v>
      </c>
      <c r="M56" s="28" t="s">
        <v>168</v>
      </c>
      <c r="N56" s="17" t="s">
        <v>38</v>
      </c>
      <c r="O56" s="18" t="str">
        <f t="shared" si="2"/>
        <v>Public Service Co. of COColoradoElectric</v>
      </c>
      <c r="P56" s="15" t="str">
        <f t="shared" si="3"/>
        <v>Colorado</v>
      </c>
    </row>
    <row r="57" spans="2:16" x14ac:dyDescent="0.45">
      <c r="B57" s="17" t="s">
        <v>169</v>
      </c>
      <c r="C57" s="17" t="str">
        <f t="shared" si="1"/>
        <v>Texas</v>
      </c>
      <c r="D57" s="15" t="s">
        <v>161</v>
      </c>
      <c r="E57" s="15" t="s">
        <v>38</v>
      </c>
      <c r="F57" s="27" t="s">
        <v>50</v>
      </c>
      <c r="G57" s="27"/>
      <c r="H57" s="15" t="s">
        <v>39</v>
      </c>
      <c r="I57" s="15" t="s">
        <v>39</v>
      </c>
      <c r="J57" s="16" t="s">
        <v>46</v>
      </c>
      <c r="K57" s="16"/>
      <c r="L57" s="28" t="s">
        <v>170</v>
      </c>
      <c r="M57" s="28" t="s">
        <v>57</v>
      </c>
      <c r="N57" s="17" t="s">
        <v>38</v>
      </c>
      <c r="O57" s="18" t="str">
        <f t="shared" si="2"/>
        <v>Southwestern Public Svc Co.TexasElectric</v>
      </c>
      <c r="P57" s="15" t="str">
        <f t="shared" si="3"/>
        <v>Texas</v>
      </c>
    </row>
    <row r="58" spans="2:16" x14ac:dyDescent="0.45">
      <c r="B58" s="17" t="s">
        <v>169</v>
      </c>
      <c r="C58" s="17" t="str">
        <f t="shared" si="1"/>
        <v>New Mexico</v>
      </c>
      <c r="D58" s="15" t="s">
        <v>161</v>
      </c>
      <c r="E58" s="15" t="s">
        <v>38</v>
      </c>
      <c r="F58" s="27">
        <v>0.54700000000000004</v>
      </c>
      <c r="G58" s="27"/>
      <c r="H58" s="15" t="s">
        <v>39</v>
      </c>
      <c r="I58" s="15" t="s">
        <v>39</v>
      </c>
      <c r="J58" s="16" t="s">
        <v>144</v>
      </c>
      <c r="K58" s="16"/>
      <c r="L58" s="28" t="s">
        <v>170</v>
      </c>
      <c r="M58" s="28" t="s">
        <v>146</v>
      </c>
      <c r="N58" s="17" t="s">
        <v>38</v>
      </c>
      <c r="O58" s="18" t="str">
        <f t="shared" si="2"/>
        <v>Southwestern Public Svc Co.New MexicoElectric</v>
      </c>
      <c r="P58" s="15" t="str">
        <f t="shared" si="3"/>
        <v>New Mexico</v>
      </c>
    </row>
    <row r="59" spans="2:16" x14ac:dyDescent="0.45">
      <c r="B59" s="17" t="s">
        <v>171</v>
      </c>
      <c r="C59" s="17" t="str">
        <f t="shared" si="1"/>
        <v>California</v>
      </c>
      <c r="D59" s="16" t="s">
        <v>172</v>
      </c>
      <c r="E59" s="16" t="s">
        <v>38</v>
      </c>
      <c r="F59" s="27">
        <v>0.52500000000000002</v>
      </c>
      <c r="G59" s="27"/>
      <c r="H59" s="15" t="s">
        <v>39</v>
      </c>
      <c r="I59" s="15" t="s">
        <v>39</v>
      </c>
      <c r="J59" s="16" t="s">
        <v>90</v>
      </c>
      <c r="K59" s="16"/>
      <c r="L59" s="28" t="s">
        <v>173</v>
      </c>
      <c r="M59" s="28" t="s">
        <v>108</v>
      </c>
      <c r="N59" s="17" t="s">
        <v>38</v>
      </c>
      <c r="O59" s="18" t="str">
        <f t="shared" si="2"/>
        <v>Liberty Utilities (CalPeco EleCaliforniaElectric</v>
      </c>
      <c r="P59" s="15" t="str">
        <f t="shared" si="3"/>
        <v>California</v>
      </c>
    </row>
    <row r="60" spans="2:16" x14ac:dyDescent="0.45">
      <c r="B60" s="17" t="s">
        <v>174</v>
      </c>
      <c r="C60" s="17" t="str">
        <f t="shared" si="1"/>
        <v>New Hampshire</v>
      </c>
      <c r="D60" s="16" t="s">
        <v>172</v>
      </c>
      <c r="E60" s="16" t="s">
        <v>38</v>
      </c>
      <c r="F60" s="27">
        <v>0.52</v>
      </c>
      <c r="G60" s="27"/>
      <c r="H60" s="15" t="s">
        <v>39</v>
      </c>
      <c r="I60" s="15" t="s">
        <v>39</v>
      </c>
      <c r="J60" s="16" t="s">
        <v>41</v>
      </c>
      <c r="K60" s="16"/>
      <c r="L60" s="28" t="s">
        <v>175</v>
      </c>
      <c r="M60" s="28" t="s">
        <v>176</v>
      </c>
      <c r="N60" s="17" t="s">
        <v>38</v>
      </c>
      <c r="O60" s="18" t="str">
        <f t="shared" si="2"/>
        <v>Liberty Utilities Granite StNew HampshireElectric</v>
      </c>
      <c r="P60" s="15" t="str">
        <f t="shared" si="3"/>
        <v>New Hampshire</v>
      </c>
    </row>
    <row r="61" spans="2:16" x14ac:dyDescent="0.45">
      <c r="B61" s="17" t="s">
        <v>177</v>
      </c>
      <c r="C61" s="17" t="str">
        <f t="shared" si="1"/>
        <v>Arkansas</v>
      </c>
      <c r="D61" s="16" t="s">
        <v>172</v>
      </c>
      <c r="E61" s="16" t="s">
        <v>38</v>
      </c>
      <c r="F61" s="27" t="s">
        <v>50</v>
      </c>
      <c r="G61" s="27"/>
      <c r="H61" s="15" t="s">
        <v>39</v>
      </c>
      <c r="I61" s="15" t="s">
        <v>39</v>
      </c>
      <c r="J61" s="16" t="s">
        <v>41</v>
      </c>
      <c r="K61" s="16"/>
      <c r="L61" s="28" t="s">
        <v>178</v>
      </c>
      <c r="M61" s="28" t="s">
        <v>81</v>
      </c>
      <c r="N61" s="17" t="s">
        <v>38</v>
      </c>
      <c r="O61" s="18" t="str">
        <f t="shared" si="2"/>
        <v>The Empire District Electric CArkansasElectric</v>
      </c>
      <c r="P61" s="15" t="str">
        <f t="shared" si="3"/>
        <v>Arkansas</v>
      </c>
    </row>
    <row r="62" spans="2:16" x14ac:dyDescent="0.45">
      <c r="B62" s="17" t="s">
        <v>177</v>
      </c>
      <c r="C62" s="17" t="str">
        <f t="shared" si="1"/>
        <v>Oklahoma</v>
      </c>
      <c r="D62" s="16" t="s">
        <v>172</v>
      </c>
      <c r="E62" s="16" t="s">
        <v>38</v>
      </c>
      <c r="F62" s="27" t="s">
        <v>50</v>
      </c>
      <c r="G62" s="27"/>
      <c r="H62" s="15" t="s">
        <v>39</v>
      </c>
      <c r="I62" s="15" t="s">
        <v>39</v>
      </c>
      <c r="J62" s="16" t="s">
        <v>46</v>
      </c>
      <c r="K62" s="16"/>
      <c r="L62" s="28" t="s">
        <v>178</v>
      </c>
      <c r="M62" s="28" t="s">
        <v>77</v>
      </c>
      <c r="N62" s="17" t="s">
        <v>38</v>
      </c>
      <c r="O62" s="18" t="str">
        <f t="shared" si="2"/>
        <v>The Empire District Electric COklahomaElectric</v>
      </c>
      <c r="P62" s="15" t="str">
        <f t="shared" si="3"/>
        <v>Oklahoma</v>
      </c>
    </row>
    <row r="63" spans="2:16" x14ac:dyDescent="0.45">
      <c r="B63" s="17" t="s">
        <v>177</v>
      </c>
      <c r="C63" s="17" t="str">
        <f t="shared" si="1"/>
        <v>Missouri</v>
      </c>
      <c r="D63" s="16" t="s">
        <v>172</v>
      </c>
      <c r="E63" s="16" t="s">
        <v>38</v>
      </c>
      <c r="F63" s="27" t="s">
        <v>50</v>
      </c>
      <c r="G63" s="27"/>
      <c r="H63" s="15" t="s">
        <v>39</v>
      </c>
      <c r="I63" s="15" t="s">
        <v>39</v>
      </c>
      <c r="J63" s="16" t="s">
        <v>46</v>
      </c>
      <c r="K63" s="16"/>
      <c r="L63" s="28" t="s">
        <v>178</v>
      </c>
      <c r="M63" s="28" t="s">
        <v>53</v>
      </c>
      <c r="N63" s="17" t="s">
        <v>38</v>
      </c>
      <c r="O63" s="18" t="str">
        <f t="shared" si="2"/>
        <v>The Empire District Electric CMissouriElectric</v>
      </c>
      <c r="P63" s="15" t="str">
        <f t="shared" si="3"/>
        <v>Missouri</v>
      </c>
    </row>
    <row r="64" spans="2:16" x14ac:dyDescent="0.45">
      <c r="B64" s="17" t="s">
        <v>177</v>
      </c>
      <c r="C64" s="17" t="str">
        <f t="shared" si="1"/>
        <v>Kansas</v>
      </c>
      <c r="D64" s="16" t="s">
        <v>172</v>
      </c>
      <c r="E64" s="16" t="s">
        <v>38</v>
      </c>
      <c r="F64" s="27" t="s">
        <v>50</v>
      </c>
      <c r="G64" s="27"/>
      <c r="H64" s="15" t="s">
        <v>39</v>
      </c>
      <c r="I64" s="15" t="s">
        <v>39</v>
      </c>
      <c r="J64" s="16" t="s">
        <v>41</v>
      </c>
      <c r="K64" s="16"/>
      <c r="L64" s="28" t="s">
        <v>178</v>
      </c>
      <c r="M64" s="28" t="s">
        <v>125</v>
      </c>
      <c r="N64" s="17" t="s">
        <v>38</v>
      </c>
      <c r="O64" s="18" t="str">
        <f t="shared" si="2"/>
        <v>The Empire District Electric CKansasElectric</v>
      </c>
      <c r="P64" s="15" t="str">
        <f t="shared" si="3"/>
        <v>Kansas</v>
      </c>
    </row>
    <row r="65" spans="2:16" x14ac:dyDescent="0.45">
      <c r="B65" s="17" t="s">
        <v>179</v>
      </c>
      <c r="C65" s="17" t="str">
        <f t="shared" si="1"/>
        <v>Florida</v>
      </c>
      <c r="D65" s="15" t="s">
        <v>180</v>
      </c>
      <c r="E65" s="15" t="s">
        <v>38</v>
      </c>
      <c r="F65" s="27" t="s">
        <v>50</v>
      </c>
      <c r="G65" s="27"/>
      <c r="H65" s="15" t="s">
        <v>39</v>
      </c>
      <c r="I65" s="15" t="s">
        <v>39</v>
      </c>
      <c r="J65" s="16" t="s">
        <v>65</v>
      </c>
      <c r="K65" s="16"/>
      <c r="L65" s="28" t="s">
        <v>179</v>
      </c>
      <c r="M65" s="28" t="s">
        <v>97</v>
      </c>
      <c r="N65" s="17" t="s">
        <v>38</v>
      </c>
      <c r="O65" s="18" t="str">
        <f t="shared" si="2"/>
        <v>Tampa Electric CompanyFloridaElectric</v>
      </c>
      <c r="P65" s="15" t="str">
        <f t="shared" si="3"/>
        <v>Florida</v>
      </c>
    </row>
    <row r="66" spans="2:16" x14ac:dyDescent="0.45">
      <c r="B66" s="17" t="s">
        <v>181</v>
      </c>
      <c r="C66" s="17" t="str">
        <f t="shared" si="1"/>
        <v>Nova Scotia</v>
      </c>
      <c r="D66" s="15" t="s">
        <v>180</v>
      </c>
      <c r="E66" s="15" t="s">
        <v>38</v>
      </c>
      <c r="F66" s="27">
        <v>0.4</v>
      </c>
      <c r="G66" s="27"/>
      <c r="H66" s="15" t="s">
        <v>39</v>
      </c>
      <c r="I66" s="15" t="s">
        <v>39</v>
      </c>
      <c r="J66" s="16" t="s">
        <v>144</v>
      </c>
      <c r="K66" s="16"/>
      <c r="L66" s="28" t="s">
        <v>182</v>
      </c>
      <c r="M66" s="28" t="s">
        <v>183</v>
      </c>
      <c r="N66" s="17" t="s">
        <v>38</v>
      </c>
      <c r="O66" s="18" t="str">
        <f t="shared" si="2"/>
        <v>Nova Scotia Power Inc.Nova ScotiaElectric</v>
      </c>
      <c r="P66" s="15" t="str">
        <f t="shared" si="3"/>
        <v>Nova Scotia</v>
      </c>
    </row>
    <row r="67" spans="2:16" x14ac:dyDescent="0.45">
      <c r="B67" s="17" t="s">
        <v>184</v>
      </c>
      <c r="C67" s="17" t="str">
        <f t="shared" si="1"/>
        <v>New York</v>
      </c>
      <c r="D67" s="15" t="s">
        <v>185</v>
      </c>
      <c r="E67" s="15" t="s">
        <v>38</v>
      </c>
      <c r="F67" s="27">
        <v>0.48</v>
      </c>
      <c r="G67" s="27"/>
      <c r="H67" s="15" t="s">
        <v>39</v>
      </c>
      <c r="I67" s="15" t="s">
        <v>40</v>
      </c>
      <c r="J67" s="16" t="s">
        <v>46</v>
      </c>
      <c r="K67" s="16"/>
      <c r="L67" s="28" t="s">
        <v>186</v>
      </c>
      <c r="M67" s="28" t="s">
        <v>187</v>
      </c>
      <c r="N67" s="17" t="s">
        <v>38</v>
      </c>
      <c r="O67" s="18" t="str">
        <f t="shared" si="2"/>
        <v>Central Hudson Gas &amp; ElectricNew YorkElectric</v>
      </c>
      <c r="P67" s="15" t="str">
        <f t="shared" si="3"/>
        <v>New York</v>
      </c>
    </row>
    <row r="68" spans="2:16" x14ac:dyDescent="0.45">
      <c r="B68" s="17" t="s">
        <v>188</v>
      </c>
      <c r="C68" s="17" t="str">
        <f t="shared" si="1"/>
        <v>Arizona</v>
      </c>
      <c r="D68" s="15" t="s">
        <v>185</v>
      </c>
      <c r="E68" s="15" t="s">
        <v>38</v>
      </c>
      <c r="F68" s="27">
        <v>0.54320000000000002</v>
      </c>
      <c r="G68" s="27"/>
      <c r="H68" s="15" t="s">
        <v>39</v>
      </c>
      <c r="I68" s="15" t="s">
        <v>39</v>
      </c>
      <c r="J68" s="16" t="s">
        <v>90</v>
      </c>
      <c r="K68" s="16"/>
      <c r="L68" s="28" t="s">
        <v>189</v>
      </c>
      <c r="M68" s="28" t="s">
        <v>141</v>
      </c>
      <c r="N68" s="17" t="s">
        <v>38</v>
      </c>
      <c r="O68" s="18" t="str">
        <f t="shared" si="2"/>
        <v>Tucson Electric Power Co.ArizonaElectric</v>
      </c>
      <c r="P68" s="15" t="str">
        <f t="shared" si="3"/>
        <v>Arizona</v>
      </c>
    </row>
    <row r="69" spans="2:16" x14ac:dyDescent="0.45">
      <c r="B69" s="17" t="s">
        <v>190</v>
      </c>
      <c r="C69" s="17" t="str">
        <f t="shared" ref="C69:C73" si="4">M69</f>
        <v>Arizona</v>
      </c>
      <c r="D69" s="15" t="s">
        <v>185</v>
      </c>
      <c r="E69" s="15" t="s">
        <v>38</v>
      </c>
      <c r="F69" s="27">
        <v>0.53720000000000001</v>
      </c>
      <c r="G69" s="27"/>
      <c r="H69" s="15" t="s">
        <v>39</v>
      </c>
      <c r="I69" s="15" t="s">
        <v>39</v>
      </c>
      <c r="J69" s="16" t="s">
        <v>90</v>
      </c>
      <c r="K69" s="16"/>
      <c r="L69" s="28" t="s">
        <v>191</v>
      </c>
      <c r="M69" s="28" t="s">
        <v>141</v>
      </c>
      <c r="N69" s="17" t="s">
        <v>38</v>
      </c>
      <c r="O69" s="18" t="str">
        <f t="shared" ref="O69:O73" si="5">L69&amp;M69&amp;N69</f>
        <v>UNS Electric Inc.ArizonaElectric</v>
      </c>
      <c r="P69" s="15" t="str">
        <f t="shared" si="3"/>
        <v>Arizona</v>
      </c>
    </row>
    <row r="70" spans="2:16" x14ac:dyDescent="0.45">
      <c r="B70" s="17" t="s">
        <v>192</v>
      </c>
      <c r="C70" s="17" t="str">
        <f t="shared" si="4"/>
        <v>Alberta</v>
      </c>
      <c r="D70" s="15" t="s">
        <v>185</v>
      </c>
      <c r="E70" s="15" t="s">
        <v>38</v>
      </c>
      <c r="F70" s="29">
        <v>0.37</v>
      </c>
      <c r="G70" s="29"/>
      <c r="H70" s="15" t="s">
        <v>39</v>
      </c>
      <c r="I70" s="15" t="s">
        <v>39</v>
      </c>
      <c r="J70" s="16" t="s">
        <v>41</v>
      </c>
      <c r="K70" s="16"/>
      <c r="L70" s="28" t="s">
        <v>193</v>
      </c>
      <c r="M70" s="28" t="s">
        <v>194</v>
      </c>
      <c r="N70" s="17" t="s">
        <v>38</v>
      </c>
      <c r="O70" s="18" t="str">
        <f t="shared" si="5"/>
        <v>FortisAlberta Inc.AlbertaElectric</v>
      </c>
      <c r="P70" s="15" t="str">
        <f t="shared" si="3"/>
        <v>Alberta</v>
      </c>
    </row>
    <row r="71" spans="2:16" x14ac:dyDescent="0.45">
      <c r="B71" s="17" t="s">
        <v>195</v>
      </c>
      <c r="C71" s="17" t="str">
        <f t="shared" si="4"/>
        <v>British Columbia</v>
      </c>
      <c r="D71" s="15" t="s">
        <v>185</v>
      </c>
      <c r="E71" s="15" t="s">
        <v>38</v>
      </c>
      <c r="F71" s="29">
        <v>0.41</v>
      </c>
      <c r="G71" s="29"/>
      <c r="H71" s="15" t="s">
        <v>39</v>
      </c>
      <c r="I71" s="15" t="s">
        <v>39</v>
      </c>
      <c r="J71" s="16" t="s">
        <v>65</v>
      </c>
      <c r="K71" s="16"/>
      <c r="L71" s="28" t="s">
        <v>195</v>
      </c>
      <c r="M71" s="28" t="s">
        <v>196</v>
      </c>
      <c r="N71" s="17" t="s">
        <v>38</v>
      </c>
      <c r="O71" s="18" t="str">
        <f t="shared" si="5"/>
        <v>FortisBC Inc.British ColumbiaElectric</v>
      </c>
      <c r="P71" s="15" t="str">
        <f t="shared" si="3"/>
        <v>British Columbia</v>
      </c>
    </row>
    <row r="72" spans="2:16" x14ac:dyDescent="0.45">
      <c r="B72" s="17" t="s">
        <v>197</v>
      </c>
      <c r="C72" s="17" t="str">
        <f t="shared" si="4"/>
        <v>Newfoundland and Labrador</v>
      </c>
      <c r="D72" s="15" t="s">
        <v>185</v>
      </c>
      <c r="E72" s="15" t="s">
        <v>38</v>
      </c>
      <c r="F72" s="29">
        <v>0.45</v>
      </c>
      <c r="G72" s="29"/>
      <c r="H72" s="15" t="s">
        <v>39</v>
      </c>
      <c r="I72" s="15" t="s">
        <v>39</v>
      </c>
      <c r="J72" s="16" t="s">
        <v>41</v>
      </c>
      <c r="K72" s="16"/>
      <c r="L72" s="28" t="s">
        <v>198</v>
      </c>
      <c r="M72" s="28" t="s">
        <v>199</v>
      </c>
      <c r="N72" s="17" t="s">
        <v>38</v>
      </c>
      <c r="O72" s="18" t="str">
        <f t="shared" si="5"/>
        <v>Newfoundland Power Inc.Newfoundland and LabradorElectric</v>
      </c>
      <c r="P72" s="15" t="str">
        <f t="shared" si="3"/>
        <v>Newfoundland and Labrador</v>
      </c>
    </row>
    <row r="73" spans="2:16" x14ac:dyDescent="0.45">
      <c r="B73" s="30" t="s">
        <v>200</v>
      </c>
      <c r="C73" s="30" t="str">
        <f t="shared" si="4"/>
        <v>Prince Edward Island</v>
      </c>
      <c r="D73" s="31" t="s">
        <v>185</v>
      </c>
      <c r="E73" s="31" t="s">
        <v>38</v>
      </c>
      <c r="F73" s="32">
        <v>0.4</v>
      </c>
      <c r="G73" s="29"/>
      <c r="H73" s="15" t="s">
        <v>39</v>
      </c>
      <c r="I73" s="15" t="s">
        <v>39</v>
      </c>
      <c r="J73" s="16" t="s">
        <v>144</v>
      </c>
      <c r="K73" s="16"/>
      <c r="L73" s="28" t="s">
        <v>201</v>
      </c>
      <c r="M73" s="28" t="s">
        <v>202</v>
      </c>
      <c r="N73" s="17" t="s">
        <v>38</v>
      </c>
      <c r="O73" s="18" t="str">
        <f t="shared" si="5"/>
        <v>Maritime Electric Company LimitedPrince Edward IslandElectric</v>
      </c>
      <c r="P73" s="15" t="str">
        <f t="shared" si="3"/>
        <v>Prince Edward Island</v>
      </c>
    </row>
    <row r="74" spans="2:16" s="38" customFormat="1" x14ac:dyDescent="0.45">
      <c r="B74" s="33"/>
      <c r="C74" s="33"/>
      <c r="D74" s="34" t="s">
        <v>203</v>
      </c>
      <c r="E74" s="34"/>
      <c r="F74" s="35">
        <f>AVERAGE(F4:F73)</f>
        <v>0.50173255813953477</v>
      </c>
      <c r="G74" s="35"/>
      <c r="H74" s="15"/>
      <c r="I74" s="15"/>
      <c r="J74" s="16"/>
      <c r="K74" s="16"/>
      <c r="L74" s="36"/>
      <c r="M74" s="36"/>
      <c r="N74" s="37"/>
      <c r="O74" s="37"/>
      <c r="P74" s="15"/>
    </row>
    <row r="75" spans="2:16" x14ac:dyDescent="0.45">
      <c r="B75" s="14"/>
      <c r="C75" s="14"/>
      <c r="D75" s="14" t="s">
        <v>10</v>
      </c>
      <c r="E75" s="14"/>
      <c r="F75" s="39">
        <f>MEDIAN(F4:F73)</f>
        <v>0.51929999999999998</v>
      </c>
      <c r="G75" s="14"/>
      <c r="J75" s="16"/>
      <c r="K75" s="16"/>
      <c r="L75" s="17"/>
      <c r="M75" s="17"/>
      <c r="N75" s="17"/>
      <c r="O75" s="18"/>
    </row>
    <row r="76" spans="2:16" x14ac:dyDescent="0.45">
      <c r="B76" s="14"/>
      <c r="C76" s="14"/>
      <c r="D76" s="14" t="s">
        <v>11</v>
      </c>
      <c r="E76" s="14"/>
      <c r="F76" s="39">
        <f>MIN(F4:F73)</f>
        <v>0.37</v>
      </c>
      <c r="G76" s="14"/>
      <c r="J76" s="16"/>
      <c r="K76" s="16"/>
      <c r="L76" s="17"/>
      <c r="M76" s="17"/>
      <c r="N76" s="17"/>
      <c r="O76" s="18"/>
    </row>
    <row r="77" spans="2:16" x14ac:dyDescent="0.45">
      <c r="B77" s="14"/>
      <c r="C77" s="14"/>
      <c r="D77" s="14" t="s">
        <v>12</v>
      </c>
      <c r="E77" s="14"/>
      <c r="F77" s="39">
        <f>MAX(F4:F73)</f>
        <v>0.59599999999999997</v>
      </c>
      <c r="G77" s="14"/>
      <c r="J77" s="16"/>
      <c r="K77" s="16"/>
      <c r="L77" s="17"/>
      <c r="M77" s="17"/>
      <c r="N77" s="17"/>
      <c r="O77" s="18"/>
    </row>
    <row r="78" spans="2:16" x14ac:dyDescent="0.45">
      <c r="B78" s="16"/>
      <c r="C78" s="16"/>
      <c r="D78" s="16"/>
      <c r="E78" s="16"/>
      <c r="F78" s="40"/>
      <c r="G78" s="16"/>
      <c r="J78" s="16"/>
      <c r="K78" s="16"/>
      <c r="L78" s="17"/>
      <c r="M78" s="17"/>
      <c r="N78" s="17"/>
      <c r="O78" s="18"/>
    </row>
    <row r="79" spans="2:16" x14ac:dyDescent="0.45">
      <c r="B79" s="16"/>
      <c r="C79" s="16"/>
      <c r="D79" s="16" t="s">
        <v>204</v>
      </c>
      <c r="E79" s="16"/>
      <c r="F79" s="40">
        <f>AVERAGEIF(H:H, "Nuclear", F:F)</f>
        <v>0.52856666666666674</v>
      </c>
      <c r="G79" s="16"/>
      <c r="J79" s="16"/>
      <c r="K79" s="16"/>
      <c r="L79" s="41"/>
      <c r="M79" s="17"/>
      <c r="N79" s="17"/>
      <c r="O79" s="18"/>
    </row>
    <row r="80" spans="2:16" x14ac:dyDescent="0.45">
      <c r="B80" s="16"/>
      <c r="C80" s="16"/>
      <c r="D80" s="16" t="s">
        <v>205</v>
      </c>
      <c r="E80" s="16"/>
      <c r="F80" s="40" cm="1">
        <f t="array" ref="F80">MEDIAN(IF(H4:H73="Nuclear", F4:F73))</f>
        <v>0.52500000000000002</v>
      </c>
      <c r="G80" s="16"/>
      <c r="J80" s="16"/>
      <c r="K80" s="16"/>
      <c r="L80" s="41"/>
      <c r="M80" s="17"/>
      <c r="N80" s="17"/>
      <c r="O80" s="18"/>
    </row>
    <row r="81" spans="2:15" x14ac:dyDescent="0.45">
      <c r="B81" s="16"/>
      <c r="C81" s="16"/>
      <c r="D81" s="16" t="s">
        <v>206</v>
      </c>
      <c r="E81" s="16"/>
      <c r="F81" s="40" cm="1">
        <f t="array" ref="F81">MIN(IF(H4:H73="Nuclear", F4:F73))</f>
        <v>0.50130000000000008</v>
      </c>
      <c r="G81" s="16"/>
      <c r="J81" s="16"/>
      <c r="K81" s="16"/>
      <c r="L81" s="41"/>
      <c r="M81" s="17"/>
      <c r="N81" s="17"/>
      <c r="O81" s="18"/>
    </row>
    <row r="82" spans="2:15" x14ac:dyDescent="0.45">
      <c r="B82" s="16"/>
      <c r="C82" s="16"/>
      <c r="D82" s="16" t="s">
        <v>207</v>
      </c>
      <c r="E82" s="16"/>
      <c r="F82" s="40" cm="1">
        <f t="array" ref="F82">MAX(IF(H4:H73="Nuclear", F4:F73))</f>
        <v>0.59599999999999997</v>
      </c>
      <c r="G82" s="16"/>
      <c r="J82" s="16"/>
      <c r="K82" s="16"/>
      <c r="L82" s="41"/>
      <c r="M82" s="17"/>
      <c r="N82" s="17"/>
      <c r="O82" s="18"/>
    </row>
    <row r="83" spans="2:15" x14ac:dyDescent="0.45">
      <c r="B83" s="16"/>
      <c r="C83" s="16"/>
      <c r="D83" s="16"/>
      <c r="E83" s="16"/>
      <c r="F83" s="40"/>
      <c r="G83" s="16"/>
      <c r="J83" s="16"/>
      <c r="K83" s="16"/>
      <c r="L83" s="41"/>
      <c r="M83" s="17"/>
      <c r="N83" s="17"/>
      <c r="O83" s="18"/>
    </row>
    <row r="84" spans="2:15" x14ac:dyDescent="0.45">
      <c r="B84" s="16"/>
      <c r="C84" s="16"/>
      <c r="D84" s="16" t="s">
        <v>208</v>
      </c>
      <c r="E84" s="16"/>
      <c r="F84" s="40">
        <f>AVERAGEIF(I:I, "Hydro", F:F)</f>
        <v>0.50492857142857139</v>
      </c>
      <c r="G84" s="16"/>
      <c r="J84" s="16"/>
      <c r="K84" s="16"/>
      <c r="L84" s="41"/>
      <c r="M84" s="17"/>
      <c r="N84" s="17"/>
      <c r="O84" s="18"/>
    </row>
    <row r="85" spans="2:15" x14ac:dyDescent="0.45">
      <c r="B85" s="16"/>
      <c r="C85" s="16"/>
      <c r="D85" s="16" t="s">
        <v>209</v>
      </c>
      <c r="E85" s="16"/>
      <c r="F85" s="40" cm="1">
        <f t="array" ref="F85">MEDIAN(IF(I$4:I$73="Hydro", F$4:F$73))</f>
        <v>0.5</v>
      </c>
      <c r="G85" s="16"/>
      <c r="J85" s="16"/>
      <c r="K85" s="16"/>
      <c r="L85" s="41"/>
      <c r="M85" s="17"/>
      <c r="N85" s="17"/>
      <c r="O85" s="18"/>
    </row>
    <row r="86" spans="2:15" x14ac:dyDescent="0.45">
      <c r="B86" s="16"/>
      <c r="C86" s="16"/>
      <c r="D86" s="16" t="s">
        <v>210</v>
      </c>
      <c r="E86" s="16"/>
      <c r="F86" s="40" cm="1">
        <f t="array" ref="F86">MIN(IF(I$4:I$73="Hydro", F$4:F$73))</f>
        <v>0.48</v>
      </c>
      <c r="G86" s="16"/>
      <c r="J86" s="16"/>
      <c r="K86" s="16"/>
      <c r="L86" s="41"/>
      <c r="M86" s="17"/>
      <c r="N86" s="17"/>
      <c r="O86" s="18"/>
    </row>
    <row r="87" spans="2:15" x14ac:dyDescent="0.45">
      <c r="B87" s="16"/>
      <c r="C87" s="16"/>
      <c r="D87" s="16" t="s">
        <v>211</v>
      </c>
      <c r="E87" s="16"/>
      <c r="F87" s="40" cm="1">
        <f t="array" ref="F87">MAX(IF(I$4:I$73="Hydro", F$4:F$73))</f>
        <v>0.53</v>
      </c>
      <c r="G87" s="16"/>
      <c r="J87" s="16"/>
      <c r="K87" s="16"/>
      <c r="L87" s="41"/>
      <c r="M87" s="17"/>
      <c r="N87" s="17"/>
      <c r="O87" s="18"/>
    </row>
    <row r="88" spans="2:15" x14ac:dyDescent="0.45">
      <c r="B88" s="16"/>
      <c r="C88" s="16"/>
      <c r="D88" s="16" t="s">
        <v>212</v>
      </c>
      <c r="E88" s="16"/>
      <c r="F88" s="40">
        <f>AVERAGEIF(J:J, "Most Credit Supportive", F:F)</f>
        <v>0.49299999999999999</v>
      </c>
      <c r="G88" s="16"/>
      <c r="J88" s="16"/>
      <c r="K88" s="16"/>
      <c r="L88" s="17"/>
      <c r="M88" s="17"/>
      <c r="N88" s="17"/>
      <c r="O88" s="18"/>
    </row>
    <row r="89" spans="2:15" x14ac:dyDescent="0.45">
      <c r="B89" s="16"/>
      <c r="C89" s="16"/>
      <c r="D89" s="16" t="s">
        <v>213</v>
      </c>
      <c r="E89" s="16"/>
      <c r="F89" s="40" cm="1">
        <f t="array" ref="F89">MEDIAN(IF(J4:J73="Most Credit Supportive", F4:F73))</f>
        <v>0.52149999999999996</v>
      </c>
      <c r="G89" s="16"/>
      <c r="J89" s="16"/>
      <c r="K89" s="16"/>
      <c r="L89" s="17"/>
      <c r="M89" s="17"/>
      <c r="N89" s="17"/>
      <c r="O89" s="18"/>
    </row>
    <row r="90" spans="2:15" x14ac:dyDescent="0.45">
      <c r="B90" s="16"/>
      <c r="C90" s="16"/>
      <c r="D90" s="16" t="s">
        <v>214</v>
      </c>
      <c r="E90" s="16"/>
      <c r="F90" s="40" cm="1">
        <f t="array" ref="F90">MIN(IF(J4:J73="Most Credit Supportive", F4:F73))</f>
        <v>0.41</v>
      </c>
      <c r="G90" s="16"/>
      <c r="J90" s="16"/>
      <c r="K90" s="16"/>
      <c r="L90" s="17"/>
      <c r="M90" s="17"/>
      <c r="N90" s="17"/>
      <c r="O90" s="18"/>
    </row>
    <row r="91" spans="2:15" x14ac:dyDescent="0.45">
      <c r="B91" s="16"/>
      <c r="C91" s="16"/>
      <c r="D91" s="16" t="s">
        <v>215</v>
      </c>
      <c r="E91" s="16"/>
      <c r="F91" s="40" cm="1">
        <f t="array" ref="F91">MAX(IF(J4:J73="Most Credit Supportive", F4:F73))</f>
        <v>0.59599999999999997</v>
      </c>
      <c r="G91" s="16"/>
      <c r="J91" s="16"/>
      <c r="K91" s="16"/>
      <c r="L91" s="17"/>
      <c r="M91" s="17"/>
      <c r="N91" s="17"/>
      <c r="O91" s="18"/>
    </row>
    <row r="92" spans="2:15" x14ac:dyDescent="0.45">
      <c r="B92" s="16"/>
      <c r="C92" s="16"/>
      <c r="D92" s="16"/>
      <c r="E92" s="16"/>
      <c r="F92" s="40"/>
      <c r="G92" s="16"/>
      <c r="J92" s="16"/>
      <c r="K92" s="16"/>
      <c r="L92" s="17"/>
      <c r="M92" s="17"/>
      <c r="N92" s="17"/>
      <c r="O92" s="18"/>
    </row>
    <row r="93" spans="2:15" x14ac:dyDescent="0.45">
      <c r="B93" s="18" t="s">
        <v>216</v>
      </c>
      <c r="C93" s="14"/>
      <c r="D93" s="14"/>
      <c r="E93" s="14"/>
      <c r="F93" s="14"/>
      <c r="G93" s="14"/>
      <c r="J93" s="16"/>
      <c r="K93" s="16"/>
      <c r="L93" s="17"/>
      <c r="M93" s="17"/>
      <c r="N93" s="17"/>
      <c r="O93" s="18"/>
    </row>
    <row r="94" spans="2:15" x14ac:dyDescent="0.45">
      <c r="B94" s="42" t="s">
        <v>217</v>
      </c>
      <c r="C94" s="14"/>
      <c r="D94" s="14"/>
      <c r="E94" s="14"/>
      <c r="F94" s="14"/>
      <c r="G94" s="14"/>
      <c r="J94" s="16"/>
      <c r="K94" s="16"/>
      <c r="L94" s="17"/>
      <c r="M94" s="17"/>
      <c r="N94" s="17"/>
      <c r="O94" s="18"/>
    </row>
    <row r="95" spans="2:15" x14ac:dyDescent="0.45">
      <c r="B95" s="42" t="s">
        <v>218</v>
      </c>
      <c r="C95" s="14"/>
      <c r="D95" s="14"/>
      <c r="E95" s="14"/>
      <c r="F95" s="14"/>
      <c r="G95" s="14"/>
      <c r="J95" s="16"/>
      <c r="K95" s="16"/>
      <c r="L95" s="17"/>
      <c r="M95" s="17"/>
      <c r="N95" s="17"/>
      <c r="O95" s="18"/>
    </row>
    <row r="96" spans="2:15" x14ac:dyDescent="0.45">
      <c r="B96" s="42" t="s">
        <v>219</v>
      </c>
    </row>
    <row r="97" spans="2:2" x14ac:dyDescent="0.45">
      <c r="B97" s="42" t="s">
        <v>220</v>
      </c>
    </row>
    <row r="100" spans="2:2" x14ac:dyDescent="0.45">
      <c r="B100" s="42"/>
    </row>
  </sheetData>
  <mergeCells count="1">
    <mergeCell ref="B2:F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7CC6B-BE43-4E6A-B91A-D846D23FECE5}">
  <dimension ref="B1:P40"/>
  <sheetViews>
    <sheetView zoomScale="80" zoomScaleNormal="80" workbookViewId="0">
      <pane ySplit="5" topLeftCell="A6" activePane="bottomLeft" state="frozen"/>
      <selection activeCell="F45" sqref="F45"/>
      <selection pane="bottomLeft" activeCell="B1" sqref="B1"/>
    </sheetView>
  </sheetViews>
  <sheetFormatPr defaultRowHeight="14.25" x14ac:dyDescent="0.45"/>
  <cols>
    <col min="1" max="1" width="2.59765625" customWidth="1"/>
    <col min="2" max="2" width="38.73046875" customWidth="1"/>
    <col min="4" max="4" width="2.59765625" customWidth="1"/>
    <col min="10" max="10" width="2.59765625" customWidth="1"/>
    <col min="11" max="11" width="23" style="1" customWidth="1"/>
    <col min="12" max="13" width="9.06640625" style="46"/>
  </cols>
  <sheetData>
    <row r="1" spans="2:16" x14ac:dyDescent="0.45">
      <c r="B1" s="43" t="s">
        <v>221</v>
      </c>
      <c r="C1" s="43"/>
      <c r="D1" s="43"/>
      <c r="E1" s="43"/>
      <c r="F1" s="43"/>
      <c r="G1" s="43"/>
      <c r="H1" s="43"/>
      <c r="I1" s="43"/>
      <c r="J1" s="43"/>
      <c r="K1" s="44"/>
      <c r="L1" s="45"/>
      <c r="M1" s="45"/>
      <c r="N1" s="43"/>
      <c r="O1" s="43"/>
      <c r="P1" s="43"/>
    </row>
    <row r="2" spans="2:16" x14ac:dyDescent="0.45">
      <c r="B2" s="72" t="s">
        <v>222</v>
      </c>
      <c r="C2" s="72"/>
      <c r="D2" s="72"/>
      <c r="E2" s="72"/>
      <c r="F2" s="72"/>
      <c r="G2" s="72"/>
      <c r="H2" s="72"/>
      <c r="I2" s="72"/>
      <c r="J2" s="72"/>
    </row>
    <row r="4" spans="2:16" x14ac:dyDescent="0.45">
      <c r="E4" s="47" t="s">
        <v>223</v>
      </c>
      <c r="F4" s="47"/>
      <c r="G4" s="47"/>
      <c r="H4" s="47"/>
      <c r="I4" s="47"/>
      <c r="J4" s="47"/>
      <c r="K4" s="1" t="s">
        <v>223</v>
      </c>
    </row>
    <row r="5" spans="2:16" x14ac:dyDescent="0.45">
      <c r="B5" s="4" t="s">
        <v>224</v>
      </c>
      <c r="C5" s="5" t="s">
        <v>28</v>
      </c>
      <c r="D5" s="5"/>
      <c r="E5" s="5">
        <f>'Actual Equity Ratios Data'!E3</f>
        <v>2024</v>
      </c>
      <c r="F5" s="5">
        <f>'Actual Equity Ratios Data'!F3</f>
        <v>2023</v>
      </c>
      <c r="G5" s="5">
        <f>'Actual Equity Ratios Data'!G3</f>
        <v>2022</v>
      </c>
      <c r="H5" s="5">
        <f>'Actual Equity Ratios Data'!H3</f>
        <v>2021</v>
      </c>
      <c r="I5" s="5">
        <f>'Actual Equity Ratios Data'!I3</f>
        <v>2020</v>
      </c>
      <c r="J5" s="5"/>
      <c r="K5" s="5" t="s">
        <v>225</v>
      </c>
      <c r="L5" s="48" t="s">
        <v>31</v>
      </c>
      <c r="M5" s="48" t="s">
        <v>31</v>
      </c>
    </row>
    <row r="6" spans="2:16" x14ac:dyDescent="0.45">
      <c r="B6" t="s">
        <v>226</v>
      </c>
      <c r="C6" s="1" t="s">
        <v>37</v>
      </c>
      <c r="D6" s="1"/>
      <c r="E6" s="49">
        <f>IFERROR('Actual Equity Ratios Data'!E4/('Actual Equity Ratios Data'!E4+'Actual Equity Ratios Data'!K4), "")</f>
        <v>0.62066436843680051</v>
      </c>
      <c r="F6" s="49">
        <f>IFERROR('Actual Equity Ratios Data'!F4/('Actual Equity Ratios Data'!F4+'Actual Equity Ratios Data'!L4), "")</f>
        <v>0.62547760804320329</v>
      </c>
      <c r="G6" s="49">
        <f>IFERROR('Actual Equity Ratios Data'!G4/('Actual Equity Ratios Data'!G4+'Actual Equity Ratios Data'!M4), "")</f>
        <v>0.59705078145355261</v>
      </c>
      <c r="H6" s="49">
        <f>IFERROR('Actual Equity Ratios Data'!H4/('Actual Equity Ratios Data'!H4+'Actual Equity Ratios Data'!N4), "")</f>
        <v>0.56078509704549229</v>
      </c>
      <c r="I6" s="49">
        <f>IFERROR('Actual Equity Ratios Data'!I4/('Actual Equity Ratios Data'!I4+'Actual Equity Ratios Data'!O4), "")</f>
        <v>0.58118540443618483</v>
      </c>
      <c r="J6" s="49"/>
      <c r="K6" s="2">
        <f>IFERROR(AVERAGE(E6:I6), "")</f>
        <v>0.59703265188304666</v>
      </c>
      <c r="L6" s="46" t="s">
        <v>39</v>
      </c>
      <c r="M6" s="46" t="s">
        <v>40</v>
      </c>
    </row>
    <row r="7" spans="2:16" x14ac:dyDescent="0.45">
      <c r="B7" t="s">
        <v>227</v>
      </c>
      <c r="C7" s="1" t="s">
        <v>45</v>
      </c>
      <c r="D7" s="1"/>
      <c r="E7" s="49" t="str">
        <f>IFERROR('Actual Equity Ratios Data'!E5/('Actual Equity Ratios Data'!E5+'Actual Equity Ratios Data'!K5), "")</f>
        <v/>
      </c>
      <c r="F7" s="49" t="str">
        <f>IFERROR('Actual Equity Ratios Data'!F5/('Actual Equity Ratios Data'!F5+'Actual Equity Ratios Data'!L5), "")</f>
        <v/>
      </c>
      <c r="G7" s="49" t="str">
        <f>IFERROR('Actual Equity Ratios Data'!G5/('Actual Equity Ratios Data'!G5+'Actual Equity Ratios Data'!M5), "")</f>
        <v/>
      </c>
      <c r="H7" s="49" t="str">
        <f>IFERROR('Actual Equity Ratios Data'!H5/('Actual Equity Ratios Data'!H5+'Actual Equity Ratios Data'!N5), "")</f>
        <v/>
      </c>
      <c r="I7" s="49" t="str">
        <f>IFERROR('Actual Equity Ratios Data'!I5/('Actual Equity Ratios Data'!I5+'Actual Equity Ratios Data'!O5), "")</f>
        <v/>
      </c>
      <c r="J7" s="49"/>
      <c r="K7" s="2" t="str">
        <f t="shared" ref="K7:K23" si="0">IFERROR(AVERAGE(E7:I7), "")</f>
        <v/>
      </c>
      <c r="L7" s="46" t="s">
        <v>51</v>
      </c>
      <c r="M7" s="46" t="s">
        <v>39</v>
      </c>
    </row>
    <row r="8" spans="2:16" x14ac:dyDescent="0.45">
      <c r="B8" t="s">
        <v>228</v>
      </c>
      <c r="C8" s="1" t="s">
        <v>55</v>
      </c>
      <c r="D8" s="1"/>
      <c r="E8" s="49">
        <f>IFERROR('Actual Equity Ratios Data'!E6/('Actual Equity Ratios Data'!E6+'Actual Equity Ratios Data'!K6), "")</f>
        <v>0.48577281582375892</v>
      </c>
      <c r="F8" s="49">
        <f>IFERROR('Actual Equity Ratios Data'!F6/('Actual Equity Ratios Data'!F6+'Actual Equity Ratios Data'!L6), "")</f>
        <v>0.4845197166459026</v>
      </c>
      <c r="G8" s="49">
        <f>IFERROR('Actual Equity Ratios Data'!G6/('Actual Equity Ratios Data'!G6+'Actual Equity Ratios Data'!M6), "")</f>
        <v>0.48558089258432874</v>
      </c>
      <c r="H8" s="49">
        <f>IFERROR('Actual Equity Ratios Data'!H6/('Actual Equity Ratios Data'!H6+'Actual Equity Ratios Data'!N6), "")</f>
        <v>0.47759645753771063</v>
      </c>
      <c r="I8" s="49">
        <f>IFERROR('Actual Equity Ratios Data'!I6/('Actual Equity Ratios Data'!I6+'Actual Equity Ratios Data'!O6), "")</f>
        <v>0.48153865613592706</v>
      </c>
      <c r="J8" s="49"/>
      <c r="K8" s="2">
        <f t="shared" si="0"/>
        <v>0.48300170774552553</v>
      </c>
      <c r="L8" s="46" t="s">
        <v>51</v>
      </c>
      <c r="M8" s="46" t="s">
        <v>39</v>
      </c>
    </row>
    <row r="9" spans="2:16" x14ac:dyDescent="0.45">
      <c r="B9" t="s">
        <v>229</v>
      </c>
      <c r="C9" s="1" t="s">
        <v>85</v>
      </c>
      <c r="D9" s="1"/>
      <c r="E9" s="49">
        <f>IFERROR('Actual Equity Ratios Data'!E7/('Actual Equity Ratios Data'!E7+'Actual Equity Ratios Data'!K7), "")</f>
        <v>0.53404611280753811</v>
      </c>
      <c r="F9" s="49">
        <f>IFERROR('Actual Equity Ratios Data'!F7/('Actual Equity Ratios Data'!F7+'Actual Equity Ratios Data'!L7), "")</f>
        <v>0.55079539183740833</v>
      </c>
      <c r="G9" s="49">
        <f>IFERROR('Actual Equity Ratios Data'!G7/('Actual Equity Ratios Data'!G7+'Actual Equity Ratios Data'!M7), "")</f>
        <v>0.52246501398719836</v>
      </c>
      <c r="H9" s="49">
        <f>IFERROR('Actual Equity Ratios Data'!H7/('Actual Equity Ratios Data'!H7+'Actual Equity Ratios Data'!N7), "")</f>
        <v>0.5303722332090649</v>
      </c>
      <c r="I9" s="49">
        <f>IFERROR('Actual Equity Ratios Data'!I7/('Actual Equity Ratios Data'!I7+'Actual Equity Ratios Data'!O7), "")</f>
        <v>0.53164086241895059</v>
      </c>
      <c r="J9" s="49"/>
      <c r="K9" s="2">
        <f t="shared" si="0"/>
        <v>0.53386392285203199</v>
      </c>
      <c r="L9" s="46" t="s">
        <v>51</v>
      </c>
      <c r="M9" s="46" t="s">
        <v>39</v>
      </c>
    </row>
    <row r="10" spans="2:16" x14ac:dyDescent="0.45">
      <c r="B10" t="s">
        <v>230</v>
      </c>
      <c r="C10" s="1" t="s">
        <v>93</v>
      </c>
      <c r="D10" s="1"/>
      <c r="E10" s="49">
        <f>IFERROR('Actual Equity Ratios Data'!E8/('Actual Equity Ratios Data'!E8+'Actual Equity Ratios Data'!K8), "")</f>
        <v>0.5308287695629833</v>
      </c>
      <c r="F10" s="49">
        <f>IFERROR('Actual Equity Ratios Data'!F8/('Actual Equity Ratios Data'!F8+'Actual Equity Ratios Data'!L8), "")</f>
        <v>0.52867477757114656</v>
      </c>
      <c r="G10" s="49">
        <f>IFERROR('Actual Equity Ratios Data'!G8/('Actual Equity Ratios Data'!G8+'Actual Equity Ratios Data'!M8), "")</f>
        <v>0.5303925249338739</v>
      </c>
      <c r="H10" s="49">
        <f>IFERROR('Actual Equity Ratios Data'!H8/('Actual Equity Ratios Data'!H8+'Actual Equity Ratios Data'!N8), "")</f>
        <v>0.53388950211019082</v>
      </c>
      <c r="I10" s="49">
        <f>IFERROR('Actual Equity Ratios Data'!I8/('Actual Equity Ratios Data'!I8+'Actual Equity Ratios Data'!O8), "")</f>
        <v>0.52951624062229374</v>
      </c>
      <c r="J10" s="49"/>
      <c r="K10" s="2">
        <f t="shared" si="0"/>
        <v>0.53066036296009766</v>
      </c>
      <c r="L10" s="46" t="s">
        <v>51</v>
      </c>
      <c r="M10" s="46" t="s">
        <v>39</v>
      </c>
    </row>
    <row r="11" spans="2:16" x14ac:dyDescent="0.45">
      <c r="B11" t="s">
        <v>231</v>
      </c>
      <c r="C11" s="1" t="s">
        <v>106</v>
      </c>
      <c r="D11" s="1"/>
      <c r="E11" s="49">
        <f>IFERROR('Actual Equity Ratios Data'!E9/('Actual Equity Ratios Data'!E9+'Actual Equity Ratios Data'!K9), "")</f>
        <v>0.43271901671125351</v>
      </c>
      <c r="F11" s="49">
        <f>IFERROR('Actual Equity Ratios Data'!F9/('Actual Equity Ratios Data'!F9+'Actual Equity Ratios Data'!L9), "")</f>
        <v>0.44773438645436686</v>
      </c>
      <c r="G11" s="49">
        <f>IFERROR('Actual Equity Ratios Data'!G9/('Actual Equity Ratios Data'!G9+'Actual Equity Ratios Data'!M9), "")</f>
        <v>0.4481746858597826</v>
      </c>
      <c r="H11" s="49">
        <f>IFERROR('Actual Equity Ratios Data'!H9/('Actual Equity Ratios Data'!H9+'Actual Equity Ratios Data'!N9), "")</f>
        <v>0.48087844978559308</v>
      </c>
      <c r="I11" s="49">
        <f>IFERROR('Actual Equity Ratios Data'!I9/('Actual Equity Ratios Data'!I9+'Actual Equity Ratios Data'!O9), "")</f>
        <v>0.5184914336841675</v>
      </c>
      <c r="J11" s="49"/>
      <c r="K11" s="2">
        <f t="shared" si="0"/>
        <v>0.46559959449903265</v>
      </c>
      <c r="L11" s="46" t="s">
        <v>51</v>
      </c>
      <c r="M11" s="46" t="s">
        <v>40</v>
      </c>
    </row>
    <row r="12" spans="2:16" x14ac:dyDescent="0.45">
      <c r="B12" t="s">
        <v>232</v>
      </c>
      <c r="C12" s="1" t="s">
        <v>110</v>
      </c>
      <c r="D12" s="1"/>
      <c r="E12" s="49">
        <f>IFERROR('Actual Equity Ratios Data'!E10/('Actual Equity Ratios Data'!E10+'Actual Equity Ratios Data'!K10), "")</f>
        <v>0.5134249607110396</v>
      </c>
      <c r="F12" s="49">
        <f>IFERROR('Actual Equity Ratios Data'!F10/('Actual Equity Ratios Data'!F10+'Actual Equity Ratios Data'!L10), "")</f>
        <v>0.52007526008771943</v>
      </c>
      <c r="G12" s="49">
        <f>IFERROR('Actual Equity Ratios Data'!G10/('Actual Equity Ratios Data'!G10+'Actual Equity Ratios Data'!M10), "")</f>
        <v>0.47703656547751816</v>
      </c>
      <c r="H12" s="49">
        <f>IFERROR('Actual Equity Ratios Data'!H10/('Actual Equity Ratios Data'!H10+'Actual Equity Ratios Data'!N10), "")</f>
        <v>0.4553561018122716</v>
      </c>
      <c r="I12" s="49">
        <f>IFERROR('Actual Equity Ratios Data'!I10/('Actual Equity Ratios Data'!I10+'Actual Equity Ratios Data'!O10), "")</f>
        <v>0.46378468276970025</v>
      </c>
      <c r="J12" s="49"/>
      <c r="K12" s="2">
        <f t="shared" si="0"/>
        <v>0.48593551417164982</v>
      </c>
      <c r="L12" s="46" t="s">
        <v>51</v>
      </c>
      <c r="M12" s="46" t="s">
        <v>39</v>
      </c>
    </row>
    <row r="13" spans="2:16" x14ac:dyDescent="0.45">
      <c r="B13" t="s">
        <v>233</v>
      </c>
      <c r="C13" s="1" t="s">
        <v>123</v>
      </c>
      <c r="D13" s="1"/>
      <c r="E13" s="49">
        <f>IFERROR('Actual Equity Ratios Data'!E11/('Actual Equity Ratios Data'!E11+'Actual Equity Ratios Data'!K11), "")</f>
        <v>0.59434689003993912</v>
      </c>
      <c r="F13" s="49">
        <f>IFERROR('Actual Equity Ratios Data'!F11/('Actual Equity Ratios Data'!F11+'Actual Equity Ratios Data'!L11), "")</f>
        <v>0.58841989017143792</v>
      </c>
      <c r="G13" s="49">
        <f>IFERROR('Actual Equity Ratios Data'!G11/('Actual Equity Ratios Data'!G11+'Actual Equity Ratios Data'!M11), "")</f>
        <v>0.60195340841662381</v>
      </c>
      <c r="H13" s="49">
        <f>IFERROR('Actual Equity Ratios Data'!H11/('Actual Equity Ratios Data'!H11+'Actual Equity Ratios Data'!N11), "")</f>
        <v>0.6003722869766247</v>
      </c>
      <c r="I13" s="49">
        <f>IFERROR('Actual Equity Ratios Data'!I11/('Actual Equity Ratios Data'!I11+'Actual Equity Ratios Data'!O11), "")</f>
        <v>0.58660068811022326</v>
      </c>
      <c r="J13" s="49"/>
      <c r="K13" s="2">
        <f t="shared" si="0"/>
        <v>0.59433863274296983</v>
      </c>
      <c r="L13" s="46" t="s">
        <v>51</v>
      </c>
      <c r="M13" s="46" t="s">
        <v>39</v>
      </c>
    </row>
    <row r="14" spans="2:16" x14ac:dyDescent="0.45">
      <c r="B14" t="s">
        <v>234</v>
      </c>
      <c r="C14" s="1" t="s">
        <v>132</v>
      </c>
      <c r="D14" s="1"/>
      <c r="E14" s="49">
        <f>IFERROR('Actual Equity Ratios Data'!E12/('Actual Equity Ratios Data'!E12+'Actual Equity Ratios Data'!K12), "")</f>
        <v>0.49945539155892471</v>
      </c>
      <c r="F14" s="49">
        <f>IFERROR('Actual Equity Ratios Data'!F12/('Actual Equity Ratios Data'!F12+'Actual Equity Ratios Data'!L12), "")</f>
        <v>0.49415513842504272</v>
      </c>
      <c r="G14" s="49">
        <f>IFERROR('Actual Equity Ratios Data'!G12/('Actual Equity Ratios Data'!G12+'Actual Equity Ratios Data'!M12), "")</f>
        <v>0.54368497590186959</v>
      </c>
      <c r="H14" s="49">
        <f>IFERROR('Actual Equity Ratios Data'!H12/('Actual Equity Ratios Data'!H12+'Actual Equity Ratios Data'!N12), "")</f>
        <v>0.55003254257988998</v>
      </c>
      <c r="I14" s="49">
        <f>IFERROR('Actual Equity Ratios Data'!I12/('Actual Equity Ratios Data'!I12+'Actual Equity Ratios Data'!O12), "")</f>
        <v>0.5396041073056661</v>
      </c>
      <c r="J14" s="49"/>
      <c r="K14" s="2">
        <f t="shared" si="0"/>
        <v>0.52538643115427863</v>
      </c>
      <c r="L14" s="46" t="s">
        <v>39</v>
      </c>
      <c r="M14" s="46" t="s">
        <v>40</v>
      </c>
    </row>
    <row r="15" spans="2:16" x14ac:dyDescent="0.45">
      <c r="B15" t="s">
        <v>235</v>
      </c>
      <c r="C15" s="1" t="s">
        <v>136</v>
      </c>
      <c r="D15" s="1"/>
      <c r="E15" s="49">
        <f>IFERROR('Actual Equity Ratios Data'!E13/('Actual Equity Ratios Data'!E13+'Actual Equity Ratios Data'!K13), "")</f>
        <v>0.59978026428122933</v>
      </c>
      <c r="F15" s="49">
        <f>IFERROR('Actual Equity Ratios Data'!F13/('Actual Equity Ratios Data'!F13+'Actual Equity Ratios Data'!L13), "")</f>
        <v>0.58671645963879981</v>
      </c>
      <c r="G15" s="49">
        <f>IFERROR('Actual Equity Ratios Data'!G13/('Actual Equity Ratios Data'!G13+'Actual Equity Ratios Data'!M13), "")</f>
        <v>0.63143087055530422</v>
      </c>
      <c r="H15" s="49">
        <f>IFERROR('Actual Equity Ratios Data'!H13/('Actual Equity Ratios Data'!H13+'Actual Equity Ratios Data'!N13), "")</f>
        <v>0.62118203839705777</v>
      </c>
      <c r="I15" s="49">
        <f>IFERROR('Actual Equity Ratios Data'!I13/('Actual Equity Ratios Data'!I13+'Actual Equity Ratios Data'!O13), "")</f>
        <v>0.60044945346475875</v>
      </c>
      <c r="J15" s="49"/>
      <c r="K15" s="2">
        <f t="shared" si="0"/>
        <v>0.60791181726743004</v>
      </c>
      <c r="L15" s="46" t="s">
        <v>51</v>
      </c>
      <c r="M15" s="46" t="s">
        <v>39</v>
      </c>
    </row>
    <row r="16" spans="2:16" x14ac:dyDescent="0.45">
      <c r="B16" t="s">
        <v>236</v>
      </c>
      <c r="C16" s="1" t="s">
        <v>139</v>
      </c>
      <c r="D16" s="1"/>
      <c r="E16" s="49">
        <f>IFERROR('Actual Equity Ratios Data'!E14/('Actual Equity Ratios Data'!E14+'Actual Equity Ratios Data'!K14), "")</f>
        <v>0.52218582766822763</v>
      </c>
      <c r="F16" s="49">
        <f>IFERROR('Actual Equity Ratios Data'!F14/('Actual Equity Ratios Data'!F14+'Actual Equity Ratios Data'!L14), "")</f>
        <v>0.49555827629095334</v>
      </c>
      <c r="G16" s="49">
        <f>IFERROR('Actual Equity Ratios Data'!G14/('Actual Equity Ratios Data'!G14+'Actual Equity Ratios Data'!M14), "")</f>
        <v>0.50251891940413473</v>
      </c>
      <c r="H16" s="49">
        <f>IFERROR('Actual Equity Ratios Data'!H14/('Actual Equity Ratios Data'!H14+'Actual Equity Ratios Data'!N14), "")</f>
        <v>0.51117385554852357</v>
      </c>
      <c r="I16" s="49">
        <f>IFERROR('Actual Equity Ratios Data'!I14/('Actual Equity Ratios Data'!I14+'Actual Equity Ratios Data'!O14), "")</f>
        <v>0.51354851428470094</v>
      </c>
      <c r="J16" s="49"/>
      <c r="K16" s="2">
        <f t="shared" si="0"/>
        <v>0.50899707863930799</v>
      </c>
      <c r="L16" s="46" t="s">
        <v>51</v>
      </c>
      <c r="M16" s="46" t="s">
        <v>39</v>
      </c>
    </row>
    <row r="17" spans="2:13" x14ac:dyDescent="0.45">
      <c r="B17" t="s">
        <v>237</v>
      </c>
      <c r="C17" s="1" t="s">
        <v>143</v>
      </c>
      <c r="D17" s="1"/>
      <c r="E17" s="49">
        <f>IFERROR('Actual Equity Ratios Data'!E15/('Actual Equity Ratios Data'!E15+'Actual Equity Ratios Data'!K15), "")</f>
        <v>0.50230417331646693</v>
      </c>
      <c r="F17" s="49">
        <f>IFERROR('Actual Equity Ratios Data'!F15/('Actual Equity Ratios Data'!F15+'Actual Equity Ratios Data'!L15), "")</f>
        <v>0.50022539751712602</v>
      </c>
      <c r="G17" s="49">
        <f>IFERROR('Actual Equity Ratios Data'!G15/('Actual Equity Ratios Data'!G15+'Actual Equity Ratios Data'!M15), "")</f>
        <v>0.49409501976395781</v>
      </c>
      <c r="H17" s="49">
        <f>IFERROR('Actual Equity Ratios Data'!H15/('Actual Equity Ratios Data'!H15+'Actual Equity Ratios Data'!N15), "")</f>
        <v>0.50853824421159066</v>
      </c>
      <c r="I17" s="49">
        <f>IFERROR('Actual Equity Ratios Data'!I15/('Actual Equity Ratios Data'!I15+'Actual Equity Ratios Data'!O15), "")</f>
        <v>0.50730824626091175</v>
      </c>
      <c r="J17" s="49"/>
      <c r="K17" s="2">
        <f t="shared" si="0"/>
        <v>0.50249421621401058</v>
      </c>
      <c r="L17" s="46" t="s">
        <v>51</v>
      </c>
      <c r="M17" s="46" t="s">
        <v>39</v>
      </c>
    </row>
    <row r="18" spans="2:13" x14ac:dyDescent="0.45">
      <c r="B18" t="s">
        <v>149</v>
      </c>
      <c r="C18" s="1" t="s">
        <v>150</v>
      </c>
      <c r="D18" s="1"/>
      <c r="E18" s="49">
        <f>IFERROR('Actual Equity Ratios Data'!E16/('Actual Equity Ratios Data'!E16+'Actual Equity Ratios Data'!K16), "")</f>
        <v>0.4556953979379475</v>
      </c>
      <c r="F18" s="49">
        <f>IFERROR('Actual Equity Ratios Data'!F16/('Actual Equity Ratios Data'!F16+'Actual Equity Ratios Data'!L16), "")</f>
        <v>0.45372019946717673</v>
      </c>
      <c r="G18" s="49">
        <f>IFERROR('Actual Equity Ratios Data'!G16/('Actual Equity Ratios Data'!G16+'Actual Equity Ratios Data'!M16), "")</f>
        <v>0.43237653952738153</v>
      </c>
      <c r="H18" s="49">
        <f>IFERROR('Actual Equity Ratios Data'!H16/('Actual Equity Ratios Data'!H16+'Actual Equity Ratios Data'!N16), "")</f>
        <v>0.45089385821759076</v>
      </c>
      <c r="I18" s="49">
        <f>IFERROR('Actual Equity Ratios Data'!I16/('Actual Equity Ratios Data'!I16+'Actual Equity Ratios Data'!O16), "")</f>
        <v>0.46066233821656521</v>
      </c>
      <c r="J18" s="49"/>
      <c r="K18" s="2">
        <f t="shared" si="0"/>
        <v>0.45066966667333236</v>
      </c>
      <c r="L18" s="46" t="s">
        <v>39</v>
      </c>
      <c r="M18" s="46" t="s">
        <v>40</v>
      </c>
    </row>
    <row r="19" spans="2:13" x14ac:dyDescent="0.45">
      <c r="B19" t="s">
        <v>238</v>
      </c>
      <c r="C19" s="1" t="s">
        <v>153</v>
      </c>
      <c r="D19" s="1"/>
      <c r="E19" s="49">
        <f>IFERROR('Actual Equity Ratios Data'!E17/('Actual Equity Ratios Data'!E17+'Actual Equity Ratios Data'!K17), "")</f>
        <v>0.55543837176035848</v>
      </c>
      <c r="F19" s="49">
        <f>IFERROR('Actual Equity Ratios Data'!F17/('Actual Equity Ratios Data'!F17+'Actual Equity Ratios Data'!L17), "")</f>
        <v>0.54816036108165622</v>
      </c>
      <c r="G19" s="49">
        <f>IFERROR('Actual Equity Ratios Data'!G17/('Actual Equity Ratios Data'!G17+'Actual Equity Ratios Data'!M17), "")</f>
        <v>0.54583798830990693</v>
      </c>
      <c r="H19" s="49">
        <f>IFERROR('Actual Equity Ratios Data'!H17/('Actual Equity Ratios Data'!H17+'Actual Equity Ratios Data'!N17), "")</f>
        <v>0.54623644118081571</v>
      </c>
      <c r="I19" s="49">
        <f>IFERROR('Actual Equity Ratios Data'!I17/('Actual Equity Ratios Data'!I17+'Actual Equity Ratios Data'!O17), "")</f>
        <v>0.54921784125309714</v>
      </c>
      <c r="J19" s="49"/>
      <c r="K19" s="2">
        <f t="shared" si="0"/>
        <v>0.54897820071716685</v>
      </c>
      <c r="L19" s="46" t="s">
        <v>51</v>
      </c>
      <c r="M19" s="46" t="s">
        <v>40</v>
      </c>
    </row>
    <row r="20" spans="2:13" x14ac:dyDescent="0.45">
      <c r="B20" t="s">
        <v>239</v>
      </c>
      <c r="C20" s="1" t="s">
        <v>161</v>
      </c>
      <c r="D20" s="1"/>
      <c r="E20" s="49">
        <f>IFERROR('Actual Equity Ratios Data'!E18/('Actual Equity Ratios Data'!E18+'Actual Equity Ratios Data'!K18), "")</f>
        <v>0.543096987435286</v>
      </c>
      <c r="F20" s="49">
        <f>IFERROR('Actual Equity Ratios Data'!F18/('Actual Equity Ratios Data'!F18+'Actual Equity Ratios Data'!L18), "")</f>
        <v>0.54582436738511286</v>
      </c>
      <c r="G20" s="49">
        <f>IFERROR('Actual Equity Ratios Data'!G18/('Actual Equity Ratios Data'!G18+'Actual Equity Ratios Data'!M18), "")</f>
        <v>0.54930875237147114</v>
      </c>
      <c r="H20" s="49">
        <f>IFERROR('Actual Equity Ratios Data'!H18/('Actual Equity Ratios Data'!H18+'Actual Equity Ratios Data'!N18), "")</f>
        <v>0.54519234277535555</v>
      </c>
      <c r="I20" s="49">
        <f>IFERROR('Actual Equity Ratios Data'!I18/('Actual Equity Ratios Data'!I18+'Actual Equity Ratios Data'!O18), "")</f>
        <v>0.54879892390423957</v>
      </c>
      <c r="J20" s="49"/>
      <c r="K20" s="2">
        <f t="shared" si="0"/>
        <v>0.54644427477429303</v>
      </c>
      <c r="L20" s="46" t="s">
        <v>51</v>
      </c>
      <c r="M20" s="46" t="s">
        <v>39</v>
      </c>
    </row>
    <row r="21" spans="2:13" x14ac:dyDescent="0.45">
      <c r="B21" t="s">
        <v>240</v>
      </c>
      <c r="C21" s="1" t="s">
        <v>172</v>
      </c>
      <c r="D21" s="1"/>
      <c r="E21" s="49">
        <f>IFERROR('Actual Equity Ratios Data'!E19/('Actual Equity Ratios Data'!E19+'Actual Equity Ratios Data'!K19), "")</f>
        <v>0.63794791276785312</v>
      </c>
      <c r="F21" s="49">
        <f>IFERROR('Actual Equity Ratios Data'!F19/('Actual Equity Ratios Data'!F19+'Actual Equity Ratios Data'!L19), "")</f>
        <v>0.65912919211216869</v>
      </c>
      <c r="G21" s="49">
        <f>IFERROR('Actual Equity Ratios Data'!G19/('Actual Equity Ratios Data'!G19+'Actual Equity Ratios Data'!M19), "")</f>
        <v>0.63724269764491714</v>
      </c>
      <c r="H21" s="49">
        <f>IFERROR('Actual Equity Ratios Data'!H19/('Actual Equity Ratios Data'!H19+'Actual Equity Ratios Data'!N19), "")</f>
        <v>0.61240340585051212</v>
      </c>
      <c r="I21" s="49">
        <f>IFERROR('Actual Equity Ratios Data'!I19/('Actual Equity Ratios Data'!I19+'Actual Equity Ratios Data'!O19), "")</f>
        <v>0.66799046611983881</v>
      </c>
      <c r="J21" s="49"/>
      <c r="K21" s="2">
        <f t="shared" si="0"/>
        <v>0.64294273489905795</v>
      </c>
      <c r="L21" s="46" t="s">
        <v>39</v>
      </c>
      <c r="M21" s="46" t="s">
        <v>39</v>
      </c>
    </row>
    <row r="22" spans="2:13" x14ac:dyDescent="0.45">
      <c r="B22" t="s">
        <v>241</v>
      </c>
      <c r="C22" s="1" t="s">
        <v>180</v>
      </c>
      <c r="D22" s="1"/>
      <c r="E22" s="49">
        <f>IFERROR('Actual Equity Ratios Data'!E20/('Actual Equity Ratios Data'!E20+'Actual Equity Ratios Data'!K20), "")</f>
        <v>0.50496440148656974</v>
      </c>
      <c r="F22" s="49">
        <f>IFERROR('Actual Equity Ratios Data'!F20/('Actual Equity Ratios Data'!F20+'Actual Equity Ratios Data'!L20), "")</f>
        <v>0.46458764392661012</v>
      </c>
      <c r="G22" s="49">
        <f>IFERROR('Actual Equity Ratios Data'!G20/('Actual Equity Ratios Data'!G20+'Actual Equity Ratios Data'!M20), "")</f>
        <v>0.46821532915080655</v>
      </c>
      <c r="H22" s="49">
        <f>IFERROR('Actual Equity Ratios Data'!H20/('Actual Equity Ratios Data'!H20+'Actual Equity Ratios Data'!N20), "")</f>
        <v>0.48126838719376142</v>
      </c>
      <c r="I22" s="49">
        <f>IFERROR('Actual Equity Ratios Data'!I20/('Actual Equity Ratios Data'!I20+'Actual Equity Ratios Data'!O20), "")</f>
        <v>0.46939949131020431</v>
      </c>
      <c r="J22" s="49"/>
      <c r="K22" s="2">
        <f t="shared" si="0"/>
        <v>0.47768705061359046</v>
      </c>
      <c r="L22" s="46" t="s">
        <v>39</v>
      </c>
      <c r="M22" s="46" t="s">
        <v>39</v>
      </c>
    </row>
    <row r="23" spans="2:13" x14ac:dyDescent="0.45">
      <c r="B23" s="50" t="s">
        <v>242</v>
      </c>
      <c r="C23" s="51" t="s">
        <v>185</v>
      </c>
      <c r="D23" s="51"/>
      <c r="E23" s="52">
        <f>IFERROR('Actual Equity Ratios Data'!E21/('Actual Equity Ratios Data'!E21+'Actual Equity Ratios Data'!K21), "")</f>
        <v>0.50611971101779296</v>
      </c>
      <c r="F23" s="52">
        <f>IFERROR('Actual Equity Ratios Data'!F21/('Actual Equity Ratios Data'!F21+'Actual Equity Ratios Data'!L21), "")</f>
        <v>0.49656778528361911</v>
      </c>
      <c r="G23" s="52">
        <f>IFERROR('Actual Equity Ratios Data'!G21/('Actual Equity Ratios Data'!G21+'Actual Equity Ratios Data'!M21), "")</f>
        <v>0.48671886431993255</v>
      </c>
      <c r="H23" s="52">
        <f>IFERROR('Actual Equity Ratios Data'!H21/('Actual Equity Ratios Data'!H21+'Actual Equity Ratios Data'!N21), "")</f>
        <v>0.48938372976211231</v>
      </c>
      <c r="I23" s="52">
        <f>IFERROR('Actual Equity Ratios Data'!I21/('Actual Equity Ratios Data'!I21+'Actual Equity Ratios Data'!O21), "")</f>
        <v>0.4842208162695904</v>
      </c>
      <c r="J23" s="53"/>
      <c r="K23" s="54">
        <f t="shared" si="0"/>
        <v>0.4926021813306094</v>
      </c>
      <c r="L23" s="46" t="s">
        <v>39</v>
      </c>
      <c r="M23" s="46" t="s">
        <v>39</v>
      </c>
    </row>
    <row r="24" spans="2:13" s="3" customFormat="1" x14ac:dyDescent="0.45">
      <c r="B24" s="3" t="s">
        <v>243</v>
      </c>
      <c r="E24" s="55">
        <f>AVERAGE(E6:E23)</f>
        <v>0.53169361019552763</v>
      </c>
      <c r="F24" s="55">
        <f t="shared" ref="F24:I24" si="1">AVERAGE(F6:F23)</f>
        <v>0.52884363834937953</v>
      </c>
      <c r="G24" s="55">
        <f t="shared" si="1"/>
        <v>0.52671081350956239</v>
      </c>
      <c r="H24" s="55">
        <f t="shared" si="1"/>
        <v>0.52679735142318584</v>
      </c>
      <c r="I24" s="55">
        <f t="shared" si="1"/>
        <v>0.53140930391570718</v>
      </c>
      <c r="K24" s="56">
        <f t="shared" ref="K24" si="2">AVERAGE(K6:K23)</f>
        <v>0.52909094347867247</v>
      </c>
      <c r="L24" s="57"/>
      <c r="M24" s="57"/>
    </row>
    <row r="25" spans="2:13" x14ac:dyDescent="0.45">
      <c r="B25" t="s">
        <v>244</v>
      </c>
      <c r="E25" s="58">
        <f t="shared" ref="E25:I25" si="3">MEDIAN(E6:E23)</f>
        <v>0.52218582766822763</v>
      </c>
      <c r="F25" s="58">
        <f t="shared" si="3"/>
        <v>0.52007526008771943</v>
      </c>
      <c r="G25" s="58">
        <f t="shared" si="3"/>
        <v>0.52246501398719836</v>
      </c>
      <c r="H25" s="58">
        <f t="shared" si="3"/>
        <v>0.5303722332090649</v>
      </c>
      <c r="I25" s="58">
        <f t="shared" si="3"/>
        <v>0.52951624062229374</v>
      </c>
      <c r="K25" s="2">
        <f>MEDIAN(K6:K23)</f>
        <v>0.52538643115427863</v>
      </c>
    </row>
    <row r="26" spans="2:13" x14ac:dyDescent="0.45">
      <c r="B26" t="s">
        <v>245</v>
      </c>
      <c r="E26" s="58">
        <f t="shared" ref="E26:I26" si="4">MIN(E6:E23)</f>
        <v>0.43271901671125351</v>
      </c>
      <c r="F26" s="58">
        <f t="shared" si="4"/>
        <v>0.44773438645436686</v>
      </c>
      <c r="G26" s="58">
        <f t="shared" si="4"/>
        <v>0.43237653952738153</v>
      </c>
      <c r="H26" s="58">
        <f t="shared" si="4"/>
        <v>0.45089385821759076</v>
      </c>
      <c r="I26" s="58">
        <f t="shared" si="4"/>
        <v>0.46066233821656521</v>
      </c>
      <c r="K26" s="2">
        <f>MIN(K6:K23)</f>
        <v>0.45066966667333236</v>
      </c>
    </row>
    <row r="27" spans="2:13" x14ac:dyDescent="0.45">
      <c r="B27" t="s">
        <v>246</v>
      </c>
      <c r="E27" s="58">
        <f t="shared" ref="E27:I27" si="5">MAX(E6:E23)</f>
        <v>0.63794791276785312</v>
      </c>
      <c r="F27" s="58">
        <f t="shared" si="5"/>
        <v>0.65912919211216869</v>
      </c>
      <c r="G27" s="58">
        <f t="shared" si="5"/>
        <v>0.63724269764491714</v>
      </c>
      <c r="H27" s="58">
        <f t="shared" si="5"/>
        <v>0.62118203839705777</v>
      </c>
      <c r="I27" s="58">
        <f t="shared" si="5"/>
        <v>0.66799046611983881</v>
      </c>
      <c r="K27" s="2">
        <f>MAX(K6:K23)</f>
        <v>0.64294273489905795</v>
      </c>
    </row>
    <row r="29" spans="2:13" x14ac:dyDescent="0.45">
      <c r="B29" t="s">
        <v>204</v>
      </c>
      <c r="E29" s="49">
        <f>AVERAGEIF($L:$L, "Nuclear", E:E)</f>
        <v>0.52854038091982547</v>
      </c>
      <c r="F29" s="49">
        <f>AVERAGEIF($L:$L, "Nuclear", F:F)</f>
        <v>0.52697311678923919</v>
      </c>
      <c r="G29" s="49">
        <f>AVERAGEIF($L:$L, "Nuclear", G:G)</f>
        <v>0.52625405833310002</v>
      </c>
      <c r="H29" s="49">
        <f>AVERAGEIF($L:$L, "Nuclear", H:H)</f>
        <v>0.52825345032225457</v>
      </c>
      <c r="I29" s="49">
        <f>AVERAGEIF($L:$L, "Nuclear", I:I)</f>
        <v>0.53008141299172451</v>
      </c>
      <c r="K29" s="2">
        <f>AVERAGEIF($L:$L, "Nuclear", K:K)</f>
        <v>0.52802048387122891</v>
      </c>
    </row>
    <row r="30" spans="2:13" x14ac:dyDescent="0.45">
      <c r="B30" t="s">
        <v>205</v>
      </c>
      <c r="E30" s="49" cm="1">
        <f t="array" ref="E30">MEDIAN( IF($L$6:$L$23="Nuclear",E$6:E$23))</f>
        <v>0.5308287695629833</v>
      </c>
      <c r="F30" s="49" cm="1">
        <f t="array" ref="F30">MEDIAN( IF($L$6:$L$23="Nuclear",F$6:F$23))</f>
        <v>0.52867477757114656</v>
      </c>
      <c r="G30" s="49" cm="1">
        <f t="array" ref="G30">MEDIAN( IF($L$6:$L$23="Nuclear",G$6:G$23))</f>
        <v>0.52246501398719836</v>
      </c>
      <c r="H30" s="49" cm="1">
        <f t="array" ref="H30">MEDIAN( IF($L$6:$L$23="Nuclear",H$6:H$23))</f>
        <v>0.5303722332090649</v>
      </c>
      <c r="I30" s="49" cm="1">
        <f t="array" ref="I30">MEDIAN( IF($L$6:$L$23="Nuclear",I$6:I$23))</f>
        <v>0.52951624062229374</v>
      </c>
      <c r="K30" s="59" cm="1">
        <f t="array" ref="K30">MEDIAN( IF($L$6:$L$23="Nuclear",K$6:K$23))</f>
        <v>0.53066036296009766</v>
      </c>
    </row>
    <row r="31" spans="2:13" x14ac:dyDescent="0.45">
      <c r="B31" t="s">
        <v>206</v>
      </c>
      <c r="E31" s="49" cm="1">
        <f t="array" ref="E31">MIN( IF($L$6:$L$23="Nuclear",E$6:E$23))</f>
        <v>0.43271901671125351</v>
      </c>
      <c r="F31" s="49" cm="1">
        <f t="array" ref="F31">MIN( IF($L$6:$L$23="Nuclear",F$6:F$23))</f>
        <v>0.44773438645436686</v>
      </c>
      <c r="G31" s="49" cm="1">
        <f t="array" ref="G31">MIN( IF($L$6:$L$23="Nuclear",G$6:G$23))</f>
        <v>0.4481746858597826</v>
      </c>
      <c r="H31" s="49" cm="1">
        <f t="array" ref="H31">MIN( IF($L$6:$L$23="Nuclear",H$6:H$23))</f>
        <v>0.4553561018122716</v>
      </c>
      <c r="I31" s="49" cm="1">
        <f t="array" ref="I31">MIN( IF($L$6:$L$23="Nuclear",I$6:I$23))</f>
        <v>0.46378468276970025</v>
      </c>
      <c r="K31" s="59" cm="1">
        <f t="array" ref="K31">MIN( IF($L$6:$L$23="Nuclear",K$6:K$23))</f>
        <v>0.46559959449903265</v>
      </c>
    </row>
    <row r="32" spans="2:13" x14ac:dyDescent="0.45">
      <c r="B32" t="s">
        <v>207</v>
      </c>
      <c r="E32" s="49" cm="1">
        <f t="array" ref="E32">MAX( IF($L$6:$L$23="Nuclear",E$6:E$23))</f>
        <v>0.59978026428122933</v>
      </c>
      <c r="F32" s="49" cm="1">
        <f t="array" ref="F32">MAX( IF($L$6:$L$23="Nuclear",F$6:F$23))</f>
        <v>0.58841989017143792</v>
      </c>
      <c r="G32" s="49" cm="1">
        <f t="array" ref="G32">MAX( IF($L$6:$L$23="Nuclear",G$6:G$23))</f>
        <v>0.63143087055530422</v>
      </c>
      <c r="H32" s="49" cm="1">
        <f t="array" ref="H32">MAX( IF($L$6:$L$23="Nuclear",H$6:H$23))</f>
        <v>0.62118203839705777</v>
      </c>
      <c r="I32" s="49" cm="1">
        <f t="array" ref="I32">MAX( IF($L$6:$L$23="Nuclear",I$6:I$23))</f>
        <v>0.60044945346475875</v>
      </c>
      <c r="K32" s="59" cm="1">
        <f t="array" ref="K32">MAX( IF($L$6:$L$23="Nuclear",K$6:K$23))</f>
        <v>0.60791181726743004</v>
      </c>
    </row>
    <row r="34" spans="2:11" x14ac:dyDescent="0.45">
      <c r="B34" t="s">
        <v>208</v>
      </c>
      <c r="E34" s="49">
        <f>AVERAGEIF($M:$M, "Hydro", E:E)</f>
        <v>0.51279450928105696</v>
      </c>
      <c r="F34" s="49">
        <f>AVERAGEIF($M:$M, "Hydro", F:F)</f>
        <v>0.51384953869428918</v>
      </c>
      <c r="G34" s="49">
        <f>AVERAGEIF($M:$M, "Hydro", G:G)</f>
        <v>0.5134249942104987</v>
      </c>
      <c r="H34" s="49">
        <f>AVERAGEIF($M:$M, "Hydro", H:H)</f>
        <v>0.51776527776187642</v>
      </c>
      <c r="I34" s="49">
        <f>AVERAGEIF($M:$M, "Hydro", I:I)</f>
        <v>0.52983222497913618</v>
      </c>
      <c r="K34" s="2">
        <f>AVERAGEIF($M:$M, "Hydro", K:K)</f>
        <v>0.51753330898537153</v>
      </c>
    </row>
    <row r="35" spans="2:11" x14ac:dyDescent="0.45">
      <c r="B35" t="s">
        <v>209</v>
      </c>
      <c r="E35" s="49" cm="1">
        <f t="array" ref="E35">MEDIAN( IF($M$6:$M$23="Hydro",E$6:E$23))</f>
        <v>0.49945539155892471</v>
      </c>
      <c r="F35" s="49" cm="1">
        <f t="array" ref="F35">MEDIAN( IF($M$6:$M$23="Hydro",F$6:F$23))</f>
        <v>0.49415513842504272</v>
      </c>
      <c r="G35" s="49" cm="1">
        <f t="array" ref="G35">MEDIAN( IF($M$6:$M$23="Hydro",G$6:G$23))</f>
        <v>0.54368497590186959</v>
      </c>
      <c r="H35" s="49" cm="1">
        <f t="array" ref="H35">MEDIAN( IF($M$6:$M$23="Hydro",H$6:H$23))</f>
        <v>0.54623644118081571</v>
      </c>
      <c r="I35" s="49" cm="1">
        <f t="array" ref="I35">MEDIAN( IF($M$6:$M$23="Hydro",I$6:I$23))</f>
        <v>0.5396041073056661</v>
      </c>
      <c r="K35" s="59" cm="1">
        <f t="array" ref="K35">MEDIAN( IF($M$6:$M$23="Hydro",K$6:K$23))</f>
        <v>0.52538643115427863</v>
      </c>
    </row>
    <row r="36" spans="2:11" x14ac:dyDescent="0.45">
      <c r="B36" t="s">
        <v>210</v>
      </c>
      <c r="E36" s="49" cm="1">
        <f t="array" ref="E36">MIN( IF($M$6:$M$23="Hydro",E$6:E$23))</f>
        <v>0.43271901671125351</v>
      </c>
      <c r="F36" s="49" cm="1">
        <f t="array" ref="F36">MIN( IF($M$6:$M$23="Hydro",F$6:F$23))</f>
        <v>0.44773438645436686</v>
      </c>
      <c r="G36" s="49" cm="1">
        <f t="array" ref="G36">MIN( IF($M$6:$M$23="Hydro",G$6:G$23))</f>
        <v>0.43237653952738153</v>
      </c>
      <c r="H36" s="49" cm="1">
        <f t="array" ref="H36">MIN( IF($M$6:$M$23="Hydro",H$6:H$23))</f>
        <v>0.45089385821759076</v>
      </c>
      <c r="I36" s="49" cm="1">
        <f t="array" ref="I36">MIN( IF($M$6:$M$23="Hydro",I$6:I$23))</f>
        <v>0.46066233821656521</v>
      </c>
      <c r="K36" s="59" cm="1">
        <f t="array" ref="K36">MIN( IF($M$6:$M$23="Hydro",K$6:K$23))</f>
        <v>0.45066966667333236</v>
      </c>
    </row>
    <row r="37" spans="2:11" x14ac:dyDescent="0.45">
      <c r="B37" t="s">
        <v>211</v>
      </c>
      <c r="E37" s="49" cm="1">
        <f t="array" ref="E37">MAX( IF($M$6:$M$23="Hydro",E$6:E$23))</f>
        <v>0.62066436843680051</v>
      </c>
      <c r="F37" s="49" cm="1">
        <f t="array" ref="F37">MAX( IF($M$6:$M$23="Hydro",F$6:F$23))</f>
        <v>0.62547760804320329</v>
      </c>
      <c r="G37" s="49" cm="1">
        <f t="array" ref="G37">MAX( IF($M$6:$M$23="Hydro",G$6:G$23))</f>
        <v>0.59705078145355261</v>
      </c>
      <c r="H37" s="49" cm="1">
        <f t="array" ref="H37">MAX( IF($M$6:$M$23="Hydro",H$6:H$23))</f>
        <v>0.56078509704549229</v>
      </c>
      <c r="I37" s="49" cm="1">
        <f t="array" ref="I37">MAX( IF($M$6:$M$23="Hydro",I$6:I$23))</f>
        <v>0.58118540443618483</v>
      </c>
      <c r="K37" s="59" cm="1">
        <f t="array" ref="K37">MAX( IF($M$6:$M$23="Hydro",K$6:K$23))</f>
        <v>0.59703265188304666</v>
      </c>
    </row>
    <row r="40" spans="2:11" x14ac:dyDescent="0.45">
      <c r="E40" s="49"/>
      <c r="F40" s="49"/>
      <c r="G40" s="49"/>
      <c r="H40" s="49"/>
      <c r="I40" s="49"/>
      <c r="J40" s="49"/>
    </row>
  </sheetData>
  <mergeCells count="1">
    <mergeCell ref="B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28253-8A57-4002-8808-70E5A818C79F}">
  <dimension ref="B2:O78"/>
  <sheetViews>
    <sheetView tabSelected="1" topLeftCell="A13" workbookViewId="0">
      <selection activeCell="K26" sqref="K26:O27"/>
    </sheetView>
  </sheetViews>
  <sheetFormatPr defaultRowHeight="14.25" x14ac:dyDescent="0.45"/>
  <cols>
    <col min="1" max="1" width="2.59765625" customWidth="1"/>
    <col min="2" max="2" width="49.86328125" bestFit="1" customWidth="1"/>
    <col min="3" max="3" width="9.06640625" style="1"/>
    <col min="4" max="4" width="2.59765625" style="1" customWidth="1"/>
    <col min="5" max="9" width="12.59765625" customWidth="1"/>
    <col min="10" max="10" width="2.59765625" customWidth="1"/>
    <col min="11" max="15" width="12.59765625" customWidth="1"/>
  </cols>
  <sheetData>
    <row r="2" spans="2:15" x14ac:dyDescent="0.45">
      <c r="E2" s="47" t="s">
        <v>247</v>
      </c>
      <c r="F2" s="47"/>
      <c r="G2" s="47"/>
      <c r="H2" s="47"/>
      <c r="I2" s="47"/>
      <c r="J2" s="47"/>
      <c r="K2" s="47" t="s">
        <v>248</v>
      </c>
      <c r="L2" s="47"/>
      <c r="M2" s="47"/>
      <c r="N2" s="47"/>
      <c r="O2" s="47"/>
    </row>
    <row r="3" spans="2:15" s="3" customFormat="1" x14ac:dyDescent="0.45">
      <c r="B3" s="4" t="s">
        <v>224</v>
      </c>
      <c r="C3" s="5" t="s">
        <v>28</v>
      </c>
      <c r="D3" s="5"/>
      <c r="E3" s="4">
        <v>2024</v>
      </c>
      <c r="F3" s="4">
        <f>E3-1</f>
        <v>2023</v>
      </c>
      <c r="G3" s="4">
        <f t="shared" ref="G3:I3" si="0">F3-1</f>
        <v>2022</v>
      </c>
      <c r="H3" s="4">
        <f t="shared" si="0"/>
        <v>2021</v>
      </c>
      <c r="I3" s="4">
        <f t="shared" si="0"/>
        <v>2020</v>
      </c>
      <c r="J3" s="4"/>
      <c r="K3" s="4">
        <v>2024</v>
      </c>
      <c r="L3" s="4">
        <f>K3-1</f>
        <v>2023</v>
      </c>
      <c r="M3" s="4">
        <f t="shared" ref="M3:O3" si="1">L3-1</f>
        <v>2022</v>
      </c>
      <c r="N3" s="4">
        <f t="shared" si="1"/>
        <v>2021</v>
      </c>
      <c r="O3" s="4">
        <f t="shared" si="1"/>
        <v>2020</v>
      </c>
    </row>
    <row r="4" spans="2:15" x14ac:dyDescent="0.45">
      <c r="B4" t="s">
        <v>226</v>
      </c>
      <c r="C4" s="1" t="s">
        <v>37</v>
      </c>
      <c r="E4" s="60">
        <f t="shared" ref="E4:I19" si="2">SUMIF($C$25:$C$78, $C4, E$25:E$78)</f>
        <v>2848073</v>
      </c>
      <c r="F4" s="60">
        <f t="shared" si="2"/>
        <v>2809920</v>
      </c>
      <c r="G4" s="60">
        <f t="shared" si="2"/>
        <v>2692542</v>
      </c>
      <c r="H4" s="60">
        <f t="shared" si="2"/>
        <v>2414435</v>
      </c>
      <c r="I4" s="60">
        <f t="shared" si="2"/>
        <v>2294198</v>
      </c>
      <c r="J4" s="60"/>
      <c r="K4" s="60">
        <f t="shared" ref="K4:O19" si="3">SUMIF($C$25:$C$78, $C4, K$25:K$78)</f>
        <v>1740676</v>
      </c>
      <c r="L4" s="60">
        <f t="shared" si="3"/>
        <v>1682519</v>
      </c>
      <c r="M4" s="60">
        <f t="shared" si="3"/>
        <v>1817195</v>
      </c>
      <c r="N4" s="60">
        <f t="shared" si="3"/>
        <v>1891020</v>
      </c>
      <c r="O4" s="60">
        <f t="shared" si="3"/>
        <v>1653248</v>
      </c>
    </row>
    <row r="5" spans="2:15" x14ac:dyDescent="0.45">
      <c r="B5" t="s">
        <v>227</v>
      </c>
      <c r="C5" s="1" t="s">
        <v>45</v>
      </c>
      <c r="E5" s="60">
        <f t="shared" si="2"/>
        <v>0</v>
      </c>
      <c r="F5" s="60">
        <f t="shared" si="2"/>
        <v>0</v>
      </c>
      <c r="G5" s="60">
        <f t="shared" si="2"/>
        <v>0</v>
      </c>
      <c r="H5" s="60">
        <f t="shared" si="2"/>
        <v>0</v>
      </c>
      <c r="I5" s="60">
        <f t="shared" si="2"/>
        <v>0</v>
      </c>
      <c r="J5" s="60"/>
      <c r="K5" s="60">
        <f t="shared" si="3"/>
        <v>0</v>
      </c>
      <c r="L5" s="60">
        <f t="shared" si="3"/>
        <v>0</v>
      </c>
      <c r="M5" s="60">
        <f t="shared" si="3"/>
        <v>0</v>
      </c>
      <c r="N5" s="60">
        <f t="shared" si="3"/>
        <v>0</v>
      </c>
      <c r="O5" s="60">
        <f t="shared" si="3"/>
        <v>0</v>
      </c>
    </row>
    <row r="6" spans="2:15" x14ac:dyDescent="0.45">
      <c r="B6" t="s">
        <v>228</v>
      </c>
      <c r="C6" s="1" t="s">
        <v>55</v>
      </c>
      <c r="E6" s="60">
        <f t="shared" si="2"/>
        <v>26167492</v>
      </c>
      <c r="F6" s="60">
        <f t="shared" si="2"/>
        <v>24634278</v>
      </c>
      <c r="G6" s="60">
        <f t="shared" si="2"/>
        <v>22574174</v>
      </c>
      <c r="H6" s="60">
        <f t="shared" si="2"/>
        <v>20677147</v>
      </c>
      <c r="I6" s="60">
        <f t="shared" si="2"/>
        <v>18475275</v>
      </c>
      <c r="J6" s="60"/>
      <c r="K6" s="60">
        <f t="shared" si="3"/>
        <v>27700265</v>
      </c>
      <c r="L6" s="60">
        <f t="shared" si="3"/>
        <v>26208396</v>
      </c>
      <c r="M6" s="60">
        <f t="shared" si="3"/>
        <v>23914834</v>
      </c>
      <c r="N6" s="60">
        <f t="shared" si="3"/>
        <v>22617033</v>
      </c>
      <c r="O6" s="60">
        <f t="shared" si="3"/>
        <v>19891894</v>
      </c>
    </row>
    <row r="7" spans="2:15" x14ac:dyDescent="0.45">
      <c r="B7" t="s">
        <v>229</v>
      </c>
      <c r="C7" s="1" t="s">
        <v>85</v>
      </c>
      <c r="E7" s="60">
        <f t="shared" si="2"/>
        <v>27008117</v>
      </c>
      <c r="F7" s="60">
        <f t="shared" si="2"/>
        <v>26632934</v>
      </c>
      <c r="G7" s="60">
        <f t="shared" si="2"/>
        <v>21748834</v>
      </c>
      <c r="H7" s="60">
        <f t="shared" si="2"/>
        <v>20329269</v>
      </c>
      <c r="I7" s="60">
        <f t="shared" si="2"/>
        <v>19393147</v>
      </c>
      <c r="J7" s="60"/>
      <c r="K7" s="60">
        <f t="shared" si="3"/>
        <v>23564514</v>
      </c>
      <c r="L7" s="60">
        <f t="shared" si="3"/>
        <v>21720655</v>
      </c>
      <c r="M7" s="60">
        <f t="shared" si="3"/>
        <v>19878516</v>
      </c>
      <c r="N7" s="60">
        <f t="shared" si="3"/>
        <v>18000922</v>
      </c>
      <c r="O7" s="60">
        <f t="shared" si="3"/>
        <v>17084762</v>
      </c>
    </row>
    <row r="8" spans="2:15" x14ac:dyDescent="0.45">
      <c r="B8" t="s">
        <v>230</v>
      </c>
      <c r="C8" s="1" t="s">
        <v>93</v>
      </c>
      <c r="E8" s="60">
        <f t="shared" si="2"/>
        <v>52895763</v>
      </c>
      <c r="F8" s="60">
        <f t="shared" si="2"/>
        <v>48989542</v>
      </c>
      <c r="G8" s="60">
        <f t="shared" si="2"/>
        <v>45128902</v>
      </c>
      <c r="H8" s="60">
        <f t="shared" si="2"/>
        <v>42039871</v>
      </c>
      <c r="I8" s="60">
        <f t="shared" si="2"/>
        <v>39407296</v>
      </c>
      <c r="J8" s="60"/>
      <c r="K8" s="60">
        <f t="shared" si="3"/>
        <v>46751743</v>
      </c>
      <c r="L8" s="60">
        <f t="shared" si="3"/>
        <v>43675257</v>
      </c>
      <c r="M8" s="60">
        <f t="shared" si="3"/>
        <v>39956954</v>
      </c>
      <c r="N8" s="60">
        <f t="shared" si="3"/>
        <v>36702773</v>
      </c>
      <c r="O8" s="60">
        <f t="shared" si="3"/>
        <v>35014021</v>
      </c>
    </row>
    <row r="9" spans="2:15" x14ac:dyDescent="0.45">
      <c r="B9" t="s">
        <v>231</v>
      </c>
      <c r="C9" s="1" t="s">
        <v>106</v>
      </c>
      <c r="E9" s="60">
        <f t="shared" si="2"/>
        <v>21710430</v>
      </c>
      <c r="F9" s="60">
        <f t="shared" si="2"/>
        <v>21376541</v>
      </c>
      <c r="G9" s="60">
        <f t="shared" si="2"/>
        <v>20770758</v>
      </c>
      <c r="H9" s="60">
        <f t="shared" si="2"/>
        <v>19826178</v>
      </c>
      <c r="I9" s="60">
        <f t="shared" si="2"/>
        <v>18650477</v>
      </c>
      <c r="J9" s="60"/>
      <c r="K9" s="60">
        <f t="shared" si="3"/>
        <v>28461689</v>
      </c>
      <c r="L9" s="60">
        <f t="shared" si="3"/>
        <v>26367259</v>
      </c>
      <c r="M9" s="60">
        <f t="shared" si="3"/>
        <v>25574470</v>
      </c>
      <c r="N9" s="60">
        <f t="shared" si="3"/>
        <v>21402906</v>
      </c>
      <c r="O9" s="60">
        <f t="shared" si="3"/>
        <v>17320179</v>
      </c>
    </row>
    <row r="10" spans="2:15" x14ac:dyDescent="0.45">
      <c r="B10" t="s">
        <v>232</v>
      </c>
      <c r="C10" s="1" t="s">
        <v>110</v>
      </c>
      <c r="E10" s="60">
        <f t="shared" si="2"/>
        <v>22441211</v>
      </c>
      <c r="F10" s="60">
        <f t="shared" si="2"/>
        <v>21378482</v>
      </c>
      <c r="G10" s="60">
        <f t="shared" si="2"/>
        <v>18630197</v>
      </c>
      <c r="H10" s="60">
        <f t="shared" si="2"/>
        <v>16679893</v>
      </c>
      <c r="I10" s="60">
        <f t="shared" si="2"/>
        <v>15170736</v>
      </c>
      <c r="J10" s="60"/>
      <c r="K10" s="60">
        <f t="shared" si="3"/>
        <v>21267632</v>
      </c>
      <c r="L10" s="60">
        <f t="shared" si="3"/>
        <v>19728034</v>
      </c>
      <c r="M10" s="60">
        <f t="shared" si="3"/>
        <v>20423826</v>
      </c>
      <c r="N10" s="60">
        <f t="shared" si="3"/>
        <v>19950544</v>
      </c>
      <c r="O10" s="60">
        <f t="shared" si="3"/>
        <v>17539995</v>
      </c>
    </row>
    <row r="11" spans="2:15" x14ac:dyDescent="0.45">
      <c r="B11" t="s">
        <v>233</v>
      </c>
      <c r="C11" s="1" t="s">
        <v>123</v>
      </c>
      <c r="E11" s="60">
        <f t="shared" si="2"/>
        <v>19695724</v>
      </c>
      <c r="F11" s="60">
        <f t="shared" si="2"/>
        <v>18357998</v>
      </c>
      <c r="G11" s="60">
        <f t="shared" si="2"/>
        <v>17397038</v>
      </c>
      <c r="H11" s="60">
        <f t="shared" si="2"/>
        <v>17041945</v>
      </c>
      <c r="I11" s="60">
        <f t="shared" si="2"/>
        <v>15993561</v>
      </c>
      <c r="J11" s="60"/>
      <c r="K11" s="60">
        <f t="shared" si="3"/>
        <v>13442708</v>
      </c>
      <c r="L11" s="60">
        <f t="shared" si="3"/>
        <v>12840808</v>
      </c>
      <c r="M11" s="60">
        <f t="shared" si="3"/>
        <v>11503933</v>
      </c>
      <c r="N11" s="60">
        <f t="shared" si="3"/>
        <v>11343684</v>
      </c>
      <c r="O11" s="60">
        <f t="shared" si="3"/>
        <v>11271257</v>
      </c>
    </row>
    <row r="12" spans="2:15" x14ac:dyDescent="0.45">
      <c r="B12" t="s">
        <v>234</v>
      </c>
      <c r="C12" s="1" t="s">
        <v>132</v>
      </c>
      <c r="E12" s="60">
        <f t="shared" si="2"/>
        <v>3090596</v>
      </c>
      <c r="F12" s="60">
        <f t="shared" si="2"/>
        <v>2782172</v>
      </c>
      <c r="G12" s="60">
        <f t="shared" si="2"/>
        <v>2631662</v>
      </c>
      <c r="H12" s="60">
        <f t="shared" si="2"/>
        <v>2464302</v>
      </c>
      <c r="I12" s="60">
        <f t="shared" si="2"/>
        <v>2363834</v>
      </c>
      <c r="J12" s="60"/>
      <c r="K12" s="60">
        <f t="shared" si="3"/>
        <v>3097336</v>
      </c>
      <c r="L12" s="60">
        <f t="shared" si="3"/>
        <v>2847987</v>
      </c>
      <c r="M12" s="60">
        <f t="shared" si="3"/>
        <v>2208755</v>
      </c>
      <c r="N12" s="60">
        <f t="shared" si="3"/>
        <v>2015982</v>
      </c>
      <c r="O12" s="60">
        <f t="shared" si="3"/>
        <v>2016848</v>
      </c>
    </row>
    <row r="13" spans="2:15" x14ac:dyDescent="0.45">
      <c r="B13" t="s">
        <v>235</v>
      </c>
      <c r="C13" s="1" t="s">
        <v>136</v>
      </c>
      <c r="E13" s="60">
        <f t="shared" si="2"/>
        <v>40395199</v>
      </c>
      <c r="F13" s="60">
        <f t="shared" si="2"/>
        <v>36154062</v>
      </c>
      <c r="G13" s="60">
        <f t="shared" si="2"/>
        <v>36239066</v>
      </c>
      <c r="H13" s="60">
        <f t="shared" si="2"/>
        <v>28006391</v>
      </c>
      <c r="I13" s="60">
        <f t="shared" si="2"/>
        <v>23746327</v>
      </c>
      <c r="J13" s="60"/>
      <c r="K13" s="60">
        <f t="shared" si="3"/>
        <v>26954798</v>
      </c>
      <c r="L13" s="60">
        <f t="shared" si="3"/>
        <v>25466950</v>
      </c>
      <c r="M13" s="60">
        <f t="shared" si="3"/>
        <v>21152911</v>
      </c>
      <c r="N13" s="60">
        <f t="shared" si="3"/>
        <v>17079251</v>
      </c>
      <c r="O13" s="60">
        <f t="shared" si="3"/>
        <v>15801260</v>
      </c>
    </row>
    <row r="14" spans="2:15" x14ac:dyDescent="0.45">
      <c r="B14" t="s">
        <v>236</v>
      </c>
      <c r="C14" s="1" t="s">
        <v>139</v>
      </c>
      <c r="E14" s="60">
        <f t="shared" si="2"/>
        <v>8273165</v>
      </c>
      <c r="F14" s="60">
        <f t="shared" si="2"/>
        <v>7241938</v>
      </c>
      <c r="G14" s="60">
        <f t="shared" si="2"/>
        <v>6941726</v>
      </c>
      <c r="H14" s="60">
        <f t="shared" si="2"/>
        <v>6635213</v>
      </c>
      <c r="I14" s="60">
        <f t="shared" si="2"/>
        <v>6225895</v>
      </c>
      <c r="J14" s="60"/>
      <c r="K14" s="60">
        <f t="shared" si="3"/>
        <v>7570170</v>
      </c>
      <c r="L14" s="60">
        <f t="shared" si="3"/>
        <v>7371758</v>
      </c>
      <c r="M14" s="60">
        <f t="shared" si="3"/>
        <v>6872134</v>
      </c>
      <c r="N14" s="60">
        <f t="shared" si="3"/>
        <v>6345132</v>
      </c>
      <c r="O14" s="60">
        <f t="shared" si="3"/>
        <v>5897390</v>
      </c>
    </row>
    <row r="15" spans="2:15" x14ac:dyDescent="0.45">
      <c r="B15" t="s">
        <v>237</v>
      </c>
      <c r="C15" s="1" t="s">
        <v>143</v>
      </c>
      <c r="E15" s="60">
        <f t="shared" si="2"/>
        <v>2149020</v>
      </c>
      <c r="F15" s="60">
        <f t="shared" si="2"/>
        <v>3200235</v>
      </c>
      <c r="G15" s="60">
        <f t="shared" si="2"/>
        <v>3020851</v>
      </c>
      <c r="H15" s="60">
        <f t="shared" si="2"/>
        <v>2913082</v>
      </c>
      <c r="I15" s="60">
        <f t="shared" si="2"/>
        <v>2642072</v>
      </c>
      <c r="J15" s="60"/>
      <c r="K15" s="60">
        <f t="shared" si="3"/>
        <v>2129304</v>
      </c>
      <c r="L15" s="60">
        <f t="shared" si="3"/>
        <v>3197351</v>
      </c>
      <c r="M15" s="60">
        <f t="shared" si="3"/>
        <v>3093056</v>
      </c>
      <c r="N15" s="60">
        <f t="shared" si="3"/>
        <v>2815262</v>
      </c>
      <c r="O15" s="60">
        <f t="shared" si="3"/>
        <v>2565949</v>
      </c>
    </row>
    <row r="16" spans="2:15" x14ac:dyDescent="0.45">
      <c r="B16" t="s">
        <v>149</v>
      </c>
      <c r="C16" s="1" t="s">
        <v>150</v>
      </c>
      <c r="E16" s="60">
        <f t="shared" si="2"/>
        <v>3799678</v>
      </c>
      <c r="F16" s="60">
        <f t="shared" si="2"/>
        <v>3321005</v>
      </c>
      <c r="G16" s="60">
        <f t="shared" si="2"/>
        <v>2786771</v>
      </c>
      <c r="H16" s="60">
        <f t="shared" si="2"/>
        <v>2708491</v>
      </c>
      <c r="I16" s="60">
        <f t="shared" si="2"/>
        <v>2612277</v>
      </c>
      <c r="J16" s="60"/>
      <c r="K16" s="60">
        <f t="shared" si="3"/>
        <v>4538519</v>
      </c>
      <c r="L16" s="60">
        <f t="shared" si="3"/>
        <v>3998495</v>
      </c>
      <c r="M16" s="60">
        <f t="shared" si="3"/>
        <v>3658470</v>
      </c>
      <c r="N16" s="60">
        <f t="shared" si="3"/>
        <v>3298446</v>
      </c>
      <c r="O16" s="60">
        <f t="shared" si="3"/>
        <v>3058421</v>
      </c>
    </row>
    <row r="17" spans="2:15" x14ac:dyDescent="0.45">
      <c r="B17" t="s">
        <v>238</v>
      </c>
      <c r="C17" s="1" t="s">
        <v>153</v>
      </c>
      <c r="E17" s="60">
        <f t="shared" si="2"/>
        <v>38856570</v>
      </c>
      <c r="F17" s="60">
        <f t="shared" si="2"/>
        <v>35717035</v>
      </c>
      <c r="G17" s="60">
        <f t="shared" si="2"/>
        <v>32475374</v>
      </c>
      <c r="H17" s="60">
        <f t="shared" si="2"/>
        <v>30104741</v>
      </c>
      <c r="I17" s="60">
        <f t="shared" si="2"/>
        <v>28343930</v>
      </c>
      <c r="J17" s="60"/>
      <c r="K17" s="60">
        <f t="shared" si="3"/>
        <v>31100012</v>
      </c>
      <c r="L17" s="60">
        <f t="shared" si="3"/>
        <v>29440969</v>
      </c>
      <c r="M17" s="60">
        <f t="shared" si="3"/>
        <v>27020987</v>
      </c>
      <c r="N17" s="60">
        <f t="shared" si="3"/>
        <v>25008281</v>
      </c>
      <c r="O17" s="60">
        <f t="shared" si="3"/>
        <v>23263880</v>
      </c>
    </row>
    <row r="18" spans="2:15" x14ac:dyDescent="0.45">
      <c r="B18" t="s">
        <v>239</v>
      </c>
      <c r="C18" s="1" t="s">
        <v>161</v>
      </c>
      <c r="E18" s="60">
        <f t="shared" si="2"/>
        <v>24245456</v>
      </c>
      <c r="F18" s="60">
        <f t="shared" si="2"/>
        <v>21935933</v>
      </c>
      <c r="G18" s="60">
        <f t="shared" si="2"/>
        <v>20914928</v>
      </c>
      <c r="H18" s="60">
        <f t="shared" si="2"/>
        <v>19619314</v>
      </c>
      <c r="I18" s="60">
        <f t="shared" si="2"/>
        <v>17658737</v>
      </c>
      <c r="J18" s="60"/>
      <c r="K18" s="60">
        <f t="shared" si="3"/>
        <v>20397502</v>
      </c>
      <c r="L18" s="60">
        <f t="shared" si="3"/>
        <v>18252696</v>
      </c>
      <c r="M18" s="60">
        <f t="shared" si="3"/>
        <v>17160067</v>
      </c>
      <c r="N18" s="60">
        <f t="shared" si="3"/>
        <v>16366727</v>
      </c>
      <c r="O18" s="60">
        <f t="shared" si="3"/>
        <v>14518325</v>
      </c>
    </row>
    <row r="19" spans="2:15" x14ac:dyDescent="0.45">
      <c r="B19" t="s">
        <v>240</v>
      </c>
      <c r="C19" s="1" t="s">
        <v>172</v>
      </c>
      <c r="E19" s="60">
        <f t="shared" si="2"/>
        <v>2553250</v>
      </c>
      <c r="F19" s="60">
        <f t="shared" si="2"/>
        <v>2222202</v>
      </c>
      <c r="G19" s="60">
        <f t="shared" si="2"/>
        <v>2041486</v>
      </c>
      <c r="H19" s="60">
        <f t="shared" si="2"/>
        <v>1836212</v>
      </c>
      <c r="I19" s="60">
        <f t="shared" si="2"/>
        <v>1482013</v>
      </c>
      <c r="J19" s="60"/>
      <c r="K19" s="60">
        <f t="shared" si="3"/>
        <v>1449036</v>
      </c>
      <c r="L19" s="60">
        <f t="shared" si="3"/>
        <v>1149219</v>
      </c>
      <c r="M19" s="60">
        <f t="shared" si="3"/>
        <v>1162138</v>
      </c>
      <c r="N19" s="60">
        <f t="shared" si="3"/>
        <v>1162158</v>
      </c>
      <c r="O19" s="60">
        <f t="shared" si="3"/>
        <v>736601</v>
      </c>
    </row>
    <row r="20" spans="2:15" x14ac:dyDescent="0.45">
      <c r="B20" t="s">
        <v>241</v>
      </c>
      <c r="C20" s="1" t="s">
        <v>180</v>
      </c>
      <c r="E20" s="60">
        <f t="shared" ref="E20:I21" si="4">SUMIF($C$25:$C$78, $C20, E$25:E$78)</f>
        <v>7453217</v>
      </c>
      <c r="F20" s="60">
        <f t="shared" si="4"/>
        <v>6622741</v>
      </c>
      <c r="G20" s="60">
        <f t="shared" si="4"/>
        <v>5921398</v>
      </c>
      <c r="H20" s="60">
        <f t="shared" si="4"/>
        <v>5493618</v>
      </c>
      <c r="I20" s="60">
        <f t="shared" si="4"/>
        <v>4864800</v>
      </c>
      <c r="J20" s="60"/>
      <c r="K20" s="60">
        <f t="shared" ref="K20:O21" si="5">SUMIF($C$25:$C$78, $C20, K$25:K$78)</f>
        <v>7306669</v>
      </c>
      <c r="L20" s="60">
        <f t="shared" si="5"/>
        <v>7632354</v>
      </c>
      <c r="M20" s="60">
        <f t="shared" si="5"/>
        <v>6725343</v>
      </c>
      <c r="N20" s="60">
        <f t="shared" si="5"/>
        <v>5921256</v>
      </c>
      <c r="O20" s="60">
        <f t="shared" si="5"/>
        <v>5499080</v>
      </c>
    </row>
    <row r="21" spans="2:15" x14ac:dyDescent="0.45">
      <c r="B21" t="s">
        <v>242</v>
      </c>
      <c r="C21" s="1" t="s">
        <v>185</v>
      </c>
      <c r="E21" s="60">
        <f t="shared" si="4"/>
        <v>11290352</v>
      </c>
      <c r="F21" s="60">
        <f t="shared" si="4"/>
        <v>10506989</v>
      </c>
      <c r="G21" s="60">
        <f t="shared" si="4"/>
        <v>9552800</v>
      </c>
      <c r="H21" s="60">
        <f t="shared" si="4"/>
        <v>9003007</v>
      </c>
      <c r="I21" s="60">
        <f t="shared" si="4"/>
        <v>8535263</v>
      </c>
      <c r="J21" s="60"/>
      <c r="K21" s="60">
        <f t="shared" si="5"/>
        <v>11017319</v>
      </c>
      <c r="L21" s="60">
        <f t="shared" si="5"/>
        <v>10652235</v>
      </c>
      <c r="M21" s="60">
        <f t="shared" si="5"/>
        <v>10074136</v>
      </c>
      <c r="N21" s="60">
        <f t="shared" si="5"/>
        <v>9393614</v>
      </c>
      <c r="O21" s="60">
        <f t="shared" si="5"/>
        <v>9091536</v>
      </c>
    </row>
    <row r="23" spans="2:15" x14ac:dyDescent="0.45">
      <c r="E23" s="47" t="s">
        <v>247</v>
      </c>
      <c r="F23" s="47"/>
      <c r="G23" s="47"/>
      <c r="H23" s="47"/>
      <c r="I23" s="47"/>
      <c r="J23" s="47"/>
      <c r="K23" s="47" t="s">
        <v>248</v>
      </c>
      <c r="L23" s="47"/>
      <c r="M23" s="47"/>
      <c r="N23" s="47"/>
      <c r="O23" s="47"/>
    </row>
    <row r="24" spans="2:15" s="3" customFormat="1" x14ac:dyDescent="0.45">
      <c r="B24" s="4" t="s">
        <v>249</v>
      </c>
      <c r="C24" s="5" t="s">
        <v>28</v>
      </c>
      <c r="D24" s="5"/>
      <c r="E24" s="4">
        <f>E3</f>
        <v>2024</v>
      </c>
      <c r="F24" s="4">
        <f t="shared" ref="F24:O24" si="6">F3</f>
        <v>2023</v>
      </c>
      <c r="G24" s="4">
        <f t="shared" si="6"/>
        <v>2022</v>
      </c>
      <c r="H24" s="4">
        <f t="shared" si="6"/>
        <v>2021</v>
      </c>
      <c r="I24" s="4">
        <f t="shared" si="6"/>
        <v>2020</v>
      </c>
      <c r="J24" s="4"/>
      <c r="K24" s="4">
        <f t="shared" si="6"/>
        <v>2024</v>
      </c>
      <c r="L24" s="4">
        <f t="shared" si="6"/>
        <v>2023</v>
      </c>
      <c r="M24" s="4">
        <f t="shared" si="6"/>
        <v>2022</v>
      </c>
      <c r="N24" s="4">
        <f t="shared" si="6"/>
        <v>2021</v>
      </c>
      <c r="O24" s="4">
        <f t="shared" si="6"/>
        <v>2020</v>
      </c>
    </row>
    <row r="25" spans="2:15" x14ac:dyDescent="0.45">
      <c r="B25" t="s">
        <v>36</v>
      </c>
      <c r="C25" s="1" t="s">
        <v>37</v>
      </c>
      <c r="E25" s="60">
        <v>2848073</v>
      </c>
      <c r="F25" s="60">
        <v>2809920</v>
      </c>
      <c r="G25" s="60">
        <v>2692542</v>
      </c>
      <c r="H25" s="60">
        <v>2414435</v>
      </c>
      <c r="I25" s="60">
        <v>2294198</v>
      </c>
      <c r="J25" s="60"/>
      <c r="K25" s="60">
        <v>1740676</v>
      </c>
      <c r="L25" s="60">
        <v>1682519</v>
      </c>
      <c r="M25" s="60">
        <v>1817195</v>
      </c>
      <c r="N25" s="60">
        <v>1891020</v>
      </c>
      <c r="O25" s="60">
        <v>1653248</v>
      </c>
    </row>
    <row r="26" spans="2:15" s="80" customFormat="1" x14ac:dyDescent="0.45">
      <c r="B26" s="80" t="s">
        <v>44</v>
      </c>
      <c r="C26" s="81" t="s">
        <v>45</v>
      </c>
      <c r="D26" s="81"/>
      <c r="E26" s="82" t="s">
        <v>260</v>
      </c>
      <c r="F26" s="82" t="s">
        <v>260</v>
      </c>
      <c r="G26" s="82" t="s">
        <v>260</v>
      </c>
      <c r="H26" s="82" t="s">
        <v>260</v>
      </c>
      <c r="I26" s="82" t="s">
        <v>260</v>
      </c>
      <c r="J26" s="82"/>
      <c r="K26" s="82" t="s">
        <v>260</v>
      </c>
      <c r="L26" s="82" t="s">
        <v>260</v>
      </c>
      <c r="M26" s="82" t="s">
        <v>260</v>
      </c>
      <c r="N26" s="82" t="s">
        <v>260</v>
      </c>
      <c r="O26" s="82" t="s">
        <v>260</v>
      </c>
    </row>
    <row r="27" spans="2:15" s="80" customFormat="1" x14ac:dyDescent="0.45">
      <c r="B27" s="83" t="s">
        <v>49</v>
      </c>
      <c r="C27" s="81" t="s">
        <v>45</v>
      </c>
      <c r="D27" s="81"/>
      <c r="E27" s="82" t="s">
        <v>260</v>
      </c>
      <c r="F27" s="82" t="s">
        <v>260</v>
      </c>
      <c r="G27" s="82" t="s">
        <v>260</v>
      </c>
      <c r="H27" s="82" t="s">
        <v>260</v>
      </c>
      <c r="I27" s="82" t="s">
        <v>260</v>
      </c>
      <c r="J27" s="82"/>
      <c r="K27" s="82" t="s">
        <v>260</v>
      </c>
      <c r="L27" s="82" t="s">
        <v>260</v>
      </c>
      <c r="M27" s="82" t="s">
        <v>260</v>
      </c>
      <c r="N27" s="82" t="s">
        <v>260</v>
      </c>
      <c r="O27" s="82" t="s">
        <v>260</v>
      </c>
    </row>
    <row r="28" spans="2:15" x14ac:dyDescent="0.45">
      <c r="B28" t="s">
        <v>56</v>
      </c>
      <c r="C28" s="1" t="s">
        <v>55</v>
      </c>
      <c r="E28" s="60">
        <v>4884676</v>
      </c>
      <c r="F28" s="60">
        <v>4796132</v>
      </c>
      <c r="G28" s="60">
        <v>3904337</v>
      </c>
      <c r="H28" s="60">
        <v>3594197</v>
      </c>
      <c r="I28" s="60">
        <v>3205954</v>
      </c>
      <c r="J28" s="60"/>
      <c r="K28" s="60">
        <v>6351846</v>
      </c>
      <c r="L28" s="60">
        <v>5701632</v>
      </c>
      <c r="M28" s="60">
        <v>5376216</v>
      </c>
      <c r="N28" s="60">
        <v>4802323</v>
      </c>
      <c r="O28" s="60">
        <v>4352611</v>
      </c>
    </row>
    <row r="29" spans="2:15" x14ac:dyDescent="0.45">
      <c r="B29" t="s">
        <v>58</v>
      </c>
      <c r="C29" s="1" t="s">
        <v>55</v>
      </c>
      <c r="E29" s="60">
        <v>5748034</v>
      </c>
      <c r="F29" s="60">
        <v>5276802</v>
      </c>
      <c r="G29" s="60">
        <v>4975472</v>
      </c>
      <c r="H29" s="60">
        <v>4648036</v>
      </c>
      <c r="I29" s="60">
        <v>4345141</v>
      </c>
      <c r="J29" s="60"/>
      <c r="K29" s="60">
        <v>5688696</v>
      </c>
      <c r="L29" s="60">
        <v>5616139</v>
      </c>
      <c r="M29" s="60">
        <v>5441526</v>
      </c>
      <c r="N29" s="60">
        <v>4967738</v>
      </c>
      <c r="O29" s="60">
        <v>4861888</v>
      </c>
    </row>
    <row r="30" spans="2:15" x14ac:dyDescent="0.45">
      <c r="B30" t="s">
        <v>62</v>
      </c>
      <c r="C30" s="1" t="s">
        <v>55</v>
      </c>
      <c r="E30" s="60">
        <v>3396595</v>
      </c>
      <c r="F30" s="60">
        <v>3140288</v>
      </c>
      <c r="G30" s="60">
        <v>3008441</v>
      </c>
      <c r="H30" s="60">
        <v>2784781</v>
      </c>
      <c r="I30" s="60">
        <v>2749251</v>
      </c>
      <c r="J30" s="60"/>
      <c r="K30" s="60">
        <v>3372338</v>
      </c>
      <c r="L30" s="60">
        <v>3358384</v>
      </c>
      <c r="M30" s="60">
        <v>3095543</v>
      </c>
      <c r="N30" s="60">
        <v>3092892</v>
      </c>
      <c r="O30" s="60">
        <v>2899770</v>
      </c>
    </row>
    <row r="31" spans="2:15" x14ac:dyDescent="0.45">
      <c r="B31" t="s">
        <v>67</v>
      </c>
      <c r="C31" s="1" t="s">
        <v>55</v>
      </c>
      <c r="E31" s="60">
        <v>990915</v>
      </c>
      <c r="F31" s="60">
        <v>954756</v>
      </c>
      <c r="G31" s="60">
        <v>920309</v>
      </c>
      <c r="H31" s="60">
        <v>874355</v>
      </c>
      <c r="I31" s="60">
        <v>823334</v>
      </c>
      <c r="J31" s="60"/>
      <c r="K31" s="60">
        <v>1214407</v>
      </c>
      <c r="L31" s="60">
        <v>1304340</v>
      </c>
      <c r="M31" s="60">
        <v>1180000</v>
      </c>
      <c r="N31" s="60">
        <v>1105000</v>
      </c>
      <c r="O31" s="60">
        <v>995000</v>
      </c>
    </row>
    <row r="32" spans="2:15" x14ac:dyDescent="0.45">
      <c r="B32" t="s">
        <v>70</v>
      </c>
      <c r="C32" s="1" t="s">
        <v>55</v>
      </c>
      <c r="E32" s="60">
        <v>118374</v>
      </c>
      <c r="F32" s="60">
        <v>109801</v>
      </c>
      <c r="G32" s="60">
        <v>99324</v>
      </c>
      <c r="H32" s="60">
        <v>76868</v>
      </c>
      <c r="I32" s="60">
        <v>74541</v>
      </c>
      <c r="J32" s="60"/>
      <c r="K32" s="60">
        <v>105000</v>
      </c>
      <c r="L32" s="60">
        <v>105000</v>
      </c>
      <c r="M32" s="60">
        <v>85000</v>
      </c>
      <c r="N32" s="60">
        <v>65000</v>
      </c>
      <c r="O32" s="60">
        <v>65000</v>
      </c>
    </row>
    <row r="33" spans="2:15" x14ac:dyDescent="0.45">
      <c r="B33" t="s">
        <v>72</v>
      </c>
      <c r="C33" s="1" t="s">
        <v>55</v>
      </c>
      <c r="E33" s="60">
        <v>3884068</v>
      </c>
      <c r="F33" s="60">
        <v>3571335</v>
      </c>
      <c r="G33" s="60">
        <v>3088102</v>
      </c>
      <c r="H33" s="60">
        <v>2846294</v>
      </c>
      <c r="I33" s="60">
        <v>2692658</v>
      </c>
      <c r="J33" s="60"/>
      <c r="K33" s="60">
        <v>3739755</v>
      </c>
      <c r="L33" s="60">
        <v>3389747</v>
      </c>
      <c r="M33" s="60">
        <v>2991642</v>
      </c>
      <c r="N33" s="60">
        <v>2991239</v>
      </c>
      <c r="O33" s="60">
        <v>2444348</v>
      </c>
    </row>
    <row r="34" spans="2:15" x14ac:dyDescent="0.45">
      <c r="B34" t="s">
        <v>75</v>
      </c>
      <c r="C34" s="1" t="s">
        <v>55</v>
      </c>
      <c r="E34" s="60">
        <v>2685657</v>
      </c>
      <c r="F34" s="60">
        <v>2570612</v>
      </c>
      <c r="G34" s="60">
        <v>2419108</v>
      </c>
      <c r="H34" s="60">
        <v>2291603</v>
      </c>
      <c r="I34" s="60">
        <v>1545605</v>
      </c>
      <c r="J34" s="60"/>
      <c r="K34" s="60">
        <v>2871968</v>
      </c>
      <c r="L34" s="60">
        <v>2397231</v>
      </c>
      <c r="M34" s="60">
        <v>1923848</v>
      </c>
      <c r="N34" s="60">
        <v>1924124</v>
      </c>
      <c r="O34" s="60">
        <v>1377495</v>
      </c>
    </row>
    <row r="35" spans="2:15" x14ac:dyDescent="0.45">
      <c r="B35" t="s">
        <v>78</v>
      </c>
      <c r="C35" s="1" t="s">
        <v>55</v>
      </c>
      <c r="E35" s="60">
        <v>3904652</v>
      </c>
      <c r="F35" s="60">
        <v>3770152</v>
      </c>
      <c r="G35" s="60">
        <v>3674067</v>
      </c>
      <c r="H35" s="60">
        <v>3149971</v>
      </c>
      <c r="I35" s="60">
        <v>2626213</v>
      </c>
      <c r="J35" s="60"/>
      <c r="K35" s="60">
        <v>3669255</v>
      </c>
      <c r="L35" s="60">
        <v>3668923</v>
      </c>
      <c r="M35" s="60">
        <v>3319059</v>
      </c>
      <c r="N35" s="60">
        <v>3318717</v>
      </c>
      <c r="O35" s="60">
        <v>2545782</v>
      </c>
    </row>
    <row r="36" spans="2:15" x14ac:dyDescent="0.45">
      <c r="B36" t="s">
        <v>82</v>
      </c>
      <c r="C36" s="1" t="s">
        <v>55</v>
      </c>
      <c r="E36" s="60">
        <v>554521</v>
      </c>
      <c r="F36" s="60">
        <v>444400</v>
      </c>
      <c r="G36" s="60">
        <v>485014</v>
      </c>
      <c r="H36" s="60">
        <v>411042</v>
      </c>
      <c r="I36" s="60">
        <v>412578</v>
      </c>
      <c r="J36" s="60"/>
      <c r="K36" s="60">
        <v>687000</v>
      </c>
      <c r="L36" s="60">
        <v>667000</v>
      </c>
      <c r="M36" s="60">
        <v>502000</v>
      </c>
      <c r="N36" s="60">
        <v>350000</v>
      </c>
      <c r="O36" s="60">
        <v>350000</v>
      </c>
    </row>
    <row r="37" spans="2:15" x14ac:dyDescent="0.45">
      <c r="B37" t="s">
        <v>84</v>
      </c>
      <c r="C37" s="1" t="s">
        <v>85</v>
      </c>
      <c r="E37" s="60">
        <v>22231387</v>
      </c>
      <c r="F37" s="60">
        <v>21953421</v>
      </c>
      <c r="G37" s="60">
        <v>17244253</v>
      </c>
      <c r="H37" s="60">
        <v>15979212</v>
      </c>
      <c r="I37" s="60">
        <v>15100522</v>
      </c>
      <c r="J37" s="60"/>
      <c r="K37" s="60">
        <v>19352139</v>
      </c>
      <c r="L37" s="60">
        <v>17508483</v>
      </c>
      <c r="M37" s="60">
        <v>16163672</v>
      </c>
      <c r="N37" s="60">
        <v>14286212</v>
      </c>
      <c r="O37" s="60">
        <v>13736930</v>
      </c>
    </row>
    <row r="38" spans="2:15" x14ac:dyDescent="0.45">
      <c r="B38" t="s">
        <v>250</v>
      </c>
      <c r="C38" s="1" t="s">
        <v>85</v>
      </c>
      <c r="E38" s="60">
        <v>4776730</v>
      </c>
      <c r="F38" s="60">
        <v>4679513</v>
      </c>
      <c r="G38" s="60">
        <v>4504581</v>
      </c>
      <c r="H38" s="60">
        <v>4350057</v>
      </c>
      <c r="I38" s="60">
        <v>4292625</v>
      </c>
      <c r="J38" s="60"/>
      <c r="K38" s="60">
        <v>4212375</v>
      </c>
      <c r="L38" s="60">
        <v>4212172</v>
      </c>
      <c r="M38" s="60">
        <v>3714844</v>
      </c>
      <c r="N38" s="60">
        <v>3714710</v>
      </c>
      <c r="O38" s="60">
        <v>3347832</v>
      </c>
    </row>
    <row r="39" spans="2:15" x14ac:dyDescent="0.45">
      <c r="B39" s="61" t="s">
        <v>92</v>
      </c>
      <c r="C39" s="1" t="s">
        <v>93</v>
      </c>
      <c r="E39" s="60">
        <v>17841919</v>
      </c>
      <c r="F39" s="60">
        <v>16894743</v>
      </c>
      <c r="G39" s="60">
        <v>15444556</v>
      </c>
      <c r="H39" s="60">
        <v>13893147</v>
      </c>
      <c r="I39" s="60">
        <v>13156138</v>
      </c>
      <c r="J39" s="60"/>
      <c r="K39" s="60">
        <v>17089357</v>
      </c>
      <c r="L39" s="60">
        <v>15594734</v>
      </c>
      <c r="M39" s="60">
        <v>13818855</v>
      </c>
      <c r="N39" s="60">
        <v>12796305</v>
      </c>
      <c r="O39" s="60">
        <v>11984901</v>
      </c>
    </row>
    <row r="40" spans="2:15" x14ac:dyDescent="0.45">
      <c r="B40" s="61" t="s">
        <v>95</v>
      </c>
      <c r="C40" s="1" t="s">
        <v>93</v>
      </c>
      <c r="E40" s="60">
        <v>10981436</v>
      </c>
      <c r="F40" s="60">
        <v>10042682</v>
      </c>
      <c r="G40" s="60">
        <v>9022898</v>
      </c>
      <c r="H40" s="60">
        <v>8294963</v>
      </c>
      <c r="I40" s="60">
        <v>7558921</v>
      </c>
      <c r="J40" s="60"/>
      <c r="K40" s="60">
        <v>9479395</v>
      </c>
      <c r="L40" s="60">
        <v>9529752</v>
      </c>
      <c r="M40" s="60">
        <v>8759087</v>
      </c>
      <c r="N40" s="60">
        <v>7461396</v>
      </c>
      <c r="O40" s="60">
        <v>6814502</v>
      </c>
    </row>
    <row r="41" spans="2:15" x14ac:dyDescent="0.45">
      <c r="B41" s="61" t="s">
        <v>98</v>
      </c>
      <c r="C41" s="1" t="s">
        <v>93</v>
      </c>
      <c r="E41" s="60">
        <v>5517073</v>
      </c>
      <c r="F41" s="60">
        <v>5002158</v>
      </c>
      <c r="G41" s="60">
        <v>4690604</v>
      </c>
      <c r="H41" s="60">
        <v>5001377</v>
      </c>
      <c r="I41" s="60">
        <v>4768567</v>
      </c>
      <c r="J41" s="60"/>
      <c r="K41" s="60">
        <v>4813138</v>
      </c>
      <c r="L41" s="60">
        <v>4516755</v>
      </c>
      <c r="M41" s="60">
        <v>4319654</v>
      </c>
      <c r="N41" s="60">
        <v>4335904</v>
      </c>
      <c r="O41" s="60">
        <v>4104983</v>
      </c>
    </row>
    <row r="42" spans="2:15" x14ac:dyDescent="0.45">
      <c r="B42" s="61" t="s">
        <v>99</v>
      </c>
      <c r="C42" s="1" t="s">
        <v>93</v>
      </c>
      <c r="E42" s="60">
        <v>1107516</v>
      </c>
      <c r="F42" s="60">
        <v>1130357</v>
      </c>
      <c r="G42" s="60">
        <v>880194</v>
      </c>
      <c r="H42" s="60">
        <v>821642</v>
      </c>
      <c r="I42" s="60">
        <v>718237</v>
      </c>
      <c r="J42" s="60"/>
      <c r="K42" s="60">
        <v>931583</v>
      </c>
      <c r="L42" s="60">
        <v>706570</v>
      </c>
      <c r="M42" s="60">
        <v>781558</v>
      </c>
      <c r="N42" s="60">
        <v>731546</v>
      </c>
      <c r="O42" s="60">
        <v>731534</v>
      </c>
    </row>
    <row r="43" spans="2:15" x14ac:dyDescent="0.45">
      <c r="B43" s="61" t="s">
        <v>101</v>
      </c>
      <c r="C43" s="1" t="s">
        <v>93</v>
      </c>
      <c r="E43" s="60">
        <v>5470279</v>
      </c>
      <c r="F43" s="60">
        <v>5110750</v>
      </c>
      <c r="G43" s="60">
        <v>4776865</v>
      </c>
      <c r="H43" s="60">
        <v>4475239</v>
      </c>
      <c r="I43" s="60">
        <v>3945836</v>
      </c>
      <c r="J43" s="60"/>
      <c r="K43" s="60">
        <v>3252086</v>
      </c>
      <c r="L43" s="60">
        <v>2826369</v>
      </c>
      <c r="M43" s="60">
        <v>2475222</v>
      </c>
      <c r="N43" s="60">
        <v>2473451</v>
      </c>
      <c r="O43" s="60">
        <v>2371679</v>
      </c>
    </row>
    <row r="44" spans="2:15" x14ac:dyDescent="0.45">
      <c r="B44" s="61" t="s">
        <v>103</v>
      </c>
      <c r="C44" s="1" t="s">
        <v>93</v>
      </c>
      <c r="E44" s="60">
        <v>11977540</v>
      </c>
      <c r="F44" s="60">
        <v>10808852</v>
      </c>
      <c r="G44" s="60">
        <v>10313785</v>
      </c>
      <c r="H44" s="60">
        <v>9553503</v>
      </c>
      <c r="I44" s="60">
        <v>9259597</v>
      </c>
      <c r="J44" s="60"/>
      <c r="K44" s="60">
        <v>11186184</v>
      </c>
      <c r="L44" s="60">
        <v>10501077</v>
      </c>
      <c r="M44" s="60">
        <v>9802578</v>
      </c>
      <c r="N44" s="60">
        <v>8904171</v>
      </c>
      <c r="O44" s="60">
        <v>9006422</v>
      </c>
    </row>
    <row r="45" spans="2:15" x14ac:dyDescent="0.45">
      <c r="B45" s="61" t="s">
        <v>105</v>
      </c>
      <c r="C45" s="1" t="s">
        <v>106</v>
      </c>
      <c r="E45" s="60">
        <v>21710430</v>
      </c>
      <c r="F45" s="60">
        <v>21376541</v>
      </c>
      <c r="G45" s="60">
        <v>20770758</v>
      </c>
      <c r="H45" s="60">
        <v>19826178</v>
      </c>
      <c r="I45" s="60">
        <v>18650477</v>
      </c>
      <c r="J45" s="60"/>
      <c r="K45" s="60">
        <v>28461689</v>
      </c>
      <c r="L45" s="60">
        <v>26367259</v>
      </c>
      <c r="M45" s="60">
        <v>25574470</v>
      </c>
      <c r="N45" s="60">
        <v>21402906</v>
      </c>
      <c r="O45" s="60">
        <v>17320179</v>
      </c>
    </row>
    <row r="46" spans="2:15" x14ac:dyDescent="0.45">
      <c r="B46" t="s">
        <v>251</v>
      </c>
      <c r="C46" s="1" t="s">
        <v>110</v>
      </c>
      <c r="E46" s="60">
        <v>4444223</v>
      </c>
      <c r="F46" s="60">
        <v>3734457</v>
      </c>
      <c r="G46" s="60">
        <v>3749317</v>
      </c>
      <c r="H46" s="60">
        <v>3538132</v>
      </c>
      <c r="I46" s="60">
        <v>3276170</v>
      </c>
      <c r="J46" s="60"/>
      <c r="K46" s="60">
        <v>4981546</v>
      </c>
      <c r="L46" s="60">
        <v>4549591</v>
      </c>
      <c r="M46" s="60">
        <v>4069508</v>
      </c>
      <c r="N46" s="60">
        <v>3856864</v>
      </c>
      <c r="O46" s="60">
        <v>3855946</v>
      </c>
    </row>
    <row r="47" spans="2:15" x14ac:dyDescent="0.45">
      <c r="B47" t="s">
        <v>112</v>
      </c>
      <c r="C47" s="1" t="s">
        <v>110</v>
      </c>
      <c r="E47" s="60">
        <v>11556580</v>
      </c>
      <c r="F47" s="60">
        <v>11528214</v>
      </c>
      <c r="G47" s="60">
        <v>9461465</v>
      </c>
      <c r="H47" s="60">
        <v>8180271</v>
      </c>
      <c r="I47" s="60">
        <v>7457336</v>
      </c>
      <c r="J47" s="60"/>
      <c r="K47" s="60">
        <v>9757312</v>
      </c>
      <c r="L47" s="60">
        <v>9260690</v>
      </c>
      <c r="M47" s="60">
        <v>10598720</v>
      </c>
      <c r="N47" s="60">
        <v>10809711</v>
      </c>
      <c r="O47" s="60">
        <v>8890412</v>
      </c>
    </row>
    <row r="48" spans="2:15" x14ac:dyDescent="0.45">
      <c r="B48" t="s">
        <v>252</v>
      </c>
      <c r="C48" s="1" t="s">
        <v>110</v>
      </c>
      <c r="E48" s="60">
        <v>2401596</v>
      </c>
      <c r="F48" s="60">
        <v>2190395</v>
      </c>
      <c r="G48" s="60">
        <v>2037138</v>
      </c>
      <c r="H48" s="60">
        <v>1839568</v>
      </c>
      <c r="I48" s="60">
        <v>1672734</v>
      </c>
      <c r="J48" s="60"/>
      <c r="K48" s="60">
        <v>2450283</v>
      </c>
      <c r="L48" s="60">
        <v>2250547</v>
      </c>
      <c r="M48" s="60">
        <v>2350804</v>
      </c>
      <c r="N48" s="60">
        <v>2200853</v>
      </c>
      <c r="O48" s="60">
        <v>1798685</v>
      </c>
    </row>
    <row r="49" spans="2:15" x14ac:dyDescent="0.45">
      <c r="B49" t="s">
        <v>117</v>
      </c>
      <c r="C49" s="1" t="s">
        <v>110</v>
      </c>
      <c r="E49" s="60">
        <v>697600</v>
      </c>
      <c r="F49" s="60">
        <v>806754</v>
      </c>
      <c r="G49" s="60">
        <v>702816</v>
      </c>
      <c r="H49" s="60">
        <v>638715</v>
      </c>
      <c r="I49" s="60">
        <v>606917</v>
      </c>
      <c r="J49" s="60"/>
      <c r="K49" s="60">
        <v>740864</v>
      </c>
      <c r="L49" s="60">
        <v>677004</v>
      </c>
      <c r="M49" s="60">
        <v>763263</v>
      </c>
      <c r="N49" s="60">
        <v>764538</v>
      </c>
      <c r="O49" s="60">
        <v>605852</v>
      </c>
    </row>
    <row r="50" spans="2:15" x14ac:dyDescent="0.45">
      <c r="B50" t="s">
        <v>120</v>
      </c>
      <c r="C50" s="1" t="s">
        <v>110</v>
      </c>
      <c r="E50" s="60">
        <v>3341212</v>
      </c>
      <c r="F50" s="60">
        <v>3118662</v>
      </c>
      <c r="G50" s="60">
        <v>2679461</v>
      </c>
      <c r="H50" s="60">
        <v>2483207</v>
      </c>
      <c r="I50" s="60">
        <v>2157579</v>
      </c>
      <c r="J50" s="60"/>
      <c r="K50" s="60">
        <v>3337627</v>
      </c>
      <c r="L50" s="60">
        <v>2990202</v>
      </c>
      <c r="M50" s="60">
        <v>2641531</v>
      </c>
      <c r="N50" s="60">
        <v>2318578</v>
      </c>
      <c r="O50" s="60">
        <v>2389100</v>
      </c>
    </row>
    <row r="51" spans="2:15" x14ac:dyDescent="0.45">
      <c r="B51" s="61" t="s">
        <v>253</v>
      </c>
      <c r="C51" s="1" t="s">
        <v>123</v>
      </c>
      <c r="E51" s="60">
        <v>9274067</v>
      </c>
      <c r="F51" s="60">
        <v>8607777</v>
      </c>
      <c r="G51" s="60">
        <v>8096455</v>
      </c>
      <c r="H51" s="60">
        <v>8049324</v>
      </c>
      <c r="I51" s="60">
        <v>7669780</v>
      </c>
      <c r="J51" s="60"/>
      <c r="K51" s="60">
        <v>4613532</v>
      </c>
      <c r="L51" s="60">
        <v>4612736</v>
      </c>
      <c r="M51" s="60">
        <v>3964653</v>
      </c>
      <c r="N51" s="60">
        <v>3963968</v>
      </c>
      <c r="O51" s="60">
        <v>3963283</v>
      </c>
    </row>
    <row r="52" spans="2:15" x14ac:dyDescent="0.45">
      <c r="B52" s="61" t="s">
        <v>254</v>
      </c>
      <c r="C52" s="1" t="s">
        <v>123</v>
      </c>
      <c r="E52" s="60">
        <v>3371690</v>
      </c>
      <c r="F52" s="60">
        <v>3189282</v>
      </c>
      <c r="G52" s="60">
        <v>3192655</v>
      </c>
      <c r="H52" s="60">
        <v>3107455</v>
      </c>
      <c r="I52" s="60">
        <v>2792789</v>
      </c>
      <c r="J52" s="60"/>
      <c r="K52" s="60">
        <v>3243651</v>
      </c>
      <c r="L52" s="60">
        <v>2943725</v>
      </c>
      <c r="M52" s="60">
        <v>2943656</v>
      </c>
      <c r="N52" s="60">
        <v>2943214</v>
      </c>
      <c r="O52" s="60">
        <v>2942771</v>
      </c>
    </row>
    <row r="53" spans="2:15" x14ac:dyDescent="0.45">
      <c r="B53" s="61" t="s">
        <v>127</v>
      </c>
      <c r="C53" s="1" t="s">
        <v>123</v>
      </c>
      <c r="E53" s="60">
        <v>1731037</v>
      </c>
      <c r="F53" s="60">
        <v>1646519</v>
      </c>
      <c r="G53" s="60">
        <v>1553626</v>
      </c>
      <c r="H53" s="60">
        <v>1239532</v>
      </c>
      <c r="I53" s="60">
        <v>1160863</v>
      </c>
      <c r="J53" s="60"/>
      <c r="K53" s="60">
        <v>1593021</v>
      </c>
      <c r="L53" s="60">
        <v>1292618</v>
      </c>
      <c r="M53" s="60">
        <v>1301958</v>
      </c>
      <c r="N53" s="60">
        <v>1143500</v>
      </c>
      <c r="O53" s="60">
        <v>1072864</v>
      </c>
    </row>
    <row r="54" spans="2:15" x14ac:dyDescent="0.45">
      <c r="B54" s="61" t="s">
        <v>129</v>
      </c>
      <c r="C54" s="1" t="s">
        <v>123</v>
      </c>
      <c r="E54" s="60">
        <v>5318930</v>
      </c>
      <c r="F54" s="60">
        <v>4914420</v>
      </c>
      <c r="G54" s="60">
        <v>4554302</v>
      </c>
      <c r="H54" s="60">
        <v>4645634</v>
      </c>
      <c r="I54" s="60">
        <v>4370129</v>
      </c>
      <c r="J54" s="60"/>
      <c r="K54" s="60">
        <v>3992504</v>
      </c>
      <c r="L54" s="60">
        <v>3991729</v>
      </c>
      <c r="M54" s="60">
        <v>3293666</v>
      </c>
      <c r="N54" s="60">
        <v>3293002</v>
      </c>
      <c r="O54" s="60">
        <v>3292339</v>
      </c>
    </row>
    <row r="55" spans="2:15" x14ac:dyDescent="0.45">
      <c r="B55" t="s">
        <v>255</v>
      </c>
      <c r="C55" s="1" t="s">
        <v>132</v>
      </c>
      <c r="E55" s="60">
        <v>3090596</v>
      </c>
      <c r="F55" s="60">
        <v>2782172</v>
      </c>
      <c r="G55" s="60">
        <v>2631662</v>
      </c>
      <c r="H55" s="60">
        <v>2464302</v>
      </c>
      <c r="I55" s="60">
        <v>2363834</v>
      </c>
      <c r="J55" s="60"/>
      <c r="K55" s="60">
        <v>3097336</v>
      </c>
      <c r="L55" s="60">
        <v>2847987</v>
      </c>
      <c r="M55" s="60">
        <v>2208755</v>
      </c>
      <c r="N55" s="60">
        <v>2015982</v>
      </c>
      <c r="O55" s="60">
        <v>2016848</v>
      </c>
    </row>
    <row r="56" spans="2:15" x14ac:dyDescent="0.45">
      <c r="B56" t="s">
        <v>135</v>
      </c>
      <c r="C56" s="1" t="s">
        <v>136</v>
      </c>
      <c r="E56" s="68">
        <v>40395199</v>
      </c>
      <c r="F56" s="68">
        <v>36154062</v>
      </c>
      <c r="G56" s="68">
        <v>36239066</v>
      </c>
      <c r="H56" s="68">
        <v>28006391</v>
      </c>
      <c r="I56" s="68">
        <v>23746327</v>
      </c>
      <c r="J56" s="68"/>
      <c r="K56" s="68">
        <v>26954798</v>
      </c>
      <c r="L56" s="68">
        <v>25466950</v>
      </c>
      <c r="M56" s="68">
        <v>21152911</v>
      </c>
      <c r="N56" s="68">
        <v>17079251</v>
      </c>
      <c r="O56" s="68">
        <v>15801260</v>
      </c>
    </row>
    <row r="57" spans="2:15" x14ac:dyDescent="0.45">
      <c r="B57" t="s">
        <v>138</v>
      </c>
      <c r="C57" s="1" t="s">
        <v>139</v>
      </c>
      <c r="E57" s="60">
        <v>8273165</v>
      </c>
      <c r="F57" s="60">
        <v>7241938</v>
      </c>
      <c r="G57" s="60">
        <v>6941726</v>
      </c>
      <c r="H57" s="60">
        <v>6635213</v>
      </c>
      <c r="I57" s="60">
        <v>6225895</v>
      </c>
      <c r="J57" s="60"/>
      <c r="K57" s="60">
        <v>7570170</v>
      </c>
      <c r="L57" s="60">
        <v>7371758</v>
      </c>
      <c r="M57" s="60">
        <v>6872134</v>
      </c>
      <c r="N57" s="60">
        <v>6345132</v>
      </c>
      <c r="O57" s="60">
        <v>5897390</v>
      </c>
    </row>
    <row r="58" spans="2:15" x14ac:dyDescent="0.45">
      <c r="B58" s="61" t="s">
        <v>142</v>
      </c>
      <c r="C58" s="1" t="s">
        <v>143</v>
      </c>
      <c r="E58" s="60">
        <v>2149020</v>
      </c>
      <c r="F58" s="60">
        <v>1962507</v>
      </c>
      <c r="G58" s="60">
        <v>1918975</v>
      </c>
      <c r="H58" s="60">
        <v>1971482</v>
      </c>
      <c r="I58" s="60">
        <v>1816352</v>
      </c>
      <c r="J58" s="60"/>
      <c r="K58" s="60">
        <v>2129304</v>
      </c>
      <c r="L58" s="60">
        <v>1929235</v>
      </c>
      <c r="M58" s="60">
        <v>2009165</v>
      </c>
      <c r="N58" s="60">
        <v>1890596</v>
      </c>
      <c r="O58" s="60">
        <v>1705508</v>
      </c>
    </row>
    <row r="59" spans="2:15" x14ac:dyDescent="0.45">
      <c r="B59" t="s">
        <v>147</v>
      </c>
      <c r="C59" s="1" t="s">
        <v>143</v>
      </c>
      <c r="E59" s="60" t="s">
        <v>256</v>
      </c>
      <c r="F59" s="60">
        <v>1237728</v>
      </c>
      <c r="G59" s="60">
        <v>1101876</v>
      </c>
      <c r="H59" s="60">
        <v>941600</v>
      </c>
      <c r="I59" s="60">
        <v>825720</v>
      </c>
      <c r="J59" s="60"/>
      <c r="K59" s="60" t="s">
        <v>256</v>
      </c>
      <c r="L59" s="60">
        <v>1268116</v>
      </c>
      <c r="M59" s="60">
        <v>1083891</v>
      </c>
      <c r="N59" s="60">
        <v>924666</v>
      </c>
      <c r="O59" s="60">
        <v>860441</v>
      </c>
    </row>
    <row r="60" spans="2:15" x14ac:dyDescent="0.45">
      <c r="B60" s="61" t="s">
        <v>149</v>
      </c>
      <c r="C60" s="1" t="s">
        <v>150</v>
      </c>
      <c r="E60" s="60">
        <v>3799678</v>
      </c>
      <c r="F60" s="60">
        <v>3321005</v>
      </c>
      <c r="G60" s="60">
        <v>2786771</v>
      </c>
      <c r="H60" s="60">
        <v>2708491</v>
      </c>
      <c r="I60" s="60">
        <v>2612277</v>
      </c>
      <c r="J60" s="60"/>
      <c r="K60" s="60">
        <v>4538519</v>
      </c>
      <c r="L60" s="60">
        <v>3998495</v>
      </c>
      <c r="M60" s="60">
        <v>3658470</v>
      </c>
      <c r="N60" s="60">
        <v>3298446</v>
      </c>
      <c r="O60" s="60">
        <v>3058421</v>
      </c>
    </row>
    <row r="61" spans="2:15" x14ac:dyDescent="0.45">
      <c r="B61" s="61" t="s">
        <v>152</v>
      </c>
      <c r="C61" s="1" t="s">
        <v>153</v>
      </c>
      <c r="E61" s="60">
        <v>13086992</v>
      </c>
      <c r="F61" s="60">
        <v>12331691</v>
      </c>
      <c r="G61" s="60">
        <v>11686932</v>
      </c>
      <c r="H61" s="60">
        <v>11004202</v>
      </c>
      <c r="I61" s="60">
        <v>10101152</v>
      </c>
      <c r="J61" s="60"/>
      <c r="K61" s="60">
        <v>11200783</v>
      </c>
      <c r="L61" s="60">
        <v>11220934</v>
      </c>
      <c r="M61" s="60">
        <v>10693808</v>
      </c>
      <c r="N61" s="60">
        <v>9743440</v>
      </c>
      <c r="O61" s="60">
        <v>8916276</v>
      </c>
    </row>
    <row r="62" spans="2:15" x14ac:dyDescent="0.45">
      <c r="B62" s="61" t="s">
        <v>155</v>
      </c>
      <c r="C62" s="1" t="s">
        <v>153</v>
      </c>
      <c r="E62" s="60">
        <v>23680825</v>
      </c>
      <c r="F62" s="60">
        <v>21382772</v>
      </c>
      <c r="G62" s="60">
        <v>18857548</v>
      </c>
      <c r="H62" s="60">
        <v>17233629</v>
      </c>
      <c r="I62" s="60">
        <v>16500827</v>
      </c>
      <c r="J62" s="60"/>
      <c r="K62" s="60">
        <v>18211661</v>
      </c>
      <c r="L62" s="60">
        <v>16582389</v>
      </c>
      <c r="M62" s="60">
        <v>14789456</v>
      </c>
      <c r="N62" s="60">
        <v>13762040</v>
      </c>
      <c r="O62" s="60">
        <v>12940095</v>
      </c>
    </row>
    <row r="63" spans="2:15" x14ac:dyDescent="0.45">
      <c r="B63" s="61" t="s">
        <v>158</v>
      </c>
      <c r="C63" s="1" t="s">
        <v>153</v>
      </c>
      <c r="E63" s="60">
        <v>2088753</v>
      </c>
      <c r="F63" s="60">
        <v>2002572</v>
      </c>
      <c r="G63" s="60">
        <v>1930894</v>
      </c>
      <c r="H63" s="60">
        <v>1866910</v>
      </c>
      <c r="I63" s="60">
        <v>1741951</v>
      </c>
      <c r="J63" s="60"/>
      <c r="K63" s="60">
        <v>1687568</v>
      </c>
      <c r="L63" s="60">
        <v>1637646</v>
      </c>
      <c r="M63" s="60">
        <v>1537723</v>
      </c>
      <c r="N63" s="60">
        <v>1502801</v>
      </c>
      <c r="O63" s="60">
        <v>1407509</v>
      </c>
    </row>
    <row r="64" spans="2:15" x14ac:dyDescent="0.45">
      <c r="B64" t="s">
        <v>160</v>
      </c>
      <c r="C64" s="1" t="s">
        <v>161</v>
      </c>
      <c r="E64" s="60">
        <v>9272399</v>
      </c>
      <c r="F64" s="60">
        <v>8207356</v>
      </c>
      <c r="G64" s="60">
        <v>7835464</v>
      </c>
      <c r="H64" s="60">
        <v>7572665</v>
      </c>
      <c r="I64" s="60">
        <v>6769389</v>
      </c>
      <c r="J64" s="60"/>
      <c r="K64" s="60">
        <v>8102580</v>
      </c>
      <c r="L64" s="60">
        <v>7403309</v>
      </c>
      <c r="M64" s="60">
        <v>7007474</v>
      </c>
      <c r="N64" s="60">
        <v>6809417</v>
      </c>
      <c r="O64" s="60">
        <v>5958065</v>
      </c>
    </row>
    <row r="65" spans="2:15" x14ac:dyDescent="0.45">
      <c r="B65" t="s">
        <v>166</v>
      </c>
      <c r="C65" s="1" t="s">
        <v>161</v>
      </c>
      <c r="E65" s="60">
        <v>10734924</v>
      </c>
      <c r="F65" s="60">
        <v>9742066</v>
      </c>
      <c r="G65" s="60">
        <v>9230020</v>
      </c>
      <c r="H65" s="60">
        <v>8444058</v>
      </c>
      <c r="I65" s="60">
        <v>7591737</v>
      </c>
      <c r="J65" s="60"/>
      <c r="K65" s="60">
        <v>8708581</v>
      </c>
      <c r="L65" s="60">
        <v>7509121</v>
      </c>
      <c r="M65" s="60">
        <v>6912765</v>
      </c>
      <c r="N65" s="60">
        <v>6516852</v>
      </c>
      <c r="O65" s="60">
        <v>5769970</v>
      </c>
    </row>
    <row r="66" spans="2:15" x14ac:dyDescent="0.45">
      <c r="B66" t="s">
        <v>169</v>
      </c>
      <c r="C66" s="1" t="s">
        <v>161</v>
      </c>
      <c r="E66" s="60">
        <v>4238133</v>
      </c>
      <c r="F66" s="60">
        <v>3986511</v>
      </c>
      <c r="G66" s="60">
        <v>3849444</v>
      </c>
      <c r="H66" s="60">
        <v>3602591</v>
      </c>
      <c r="I66" s="60">
        <v>3297611</v>
      </c>
      <c r="J66" s="60"/>
      <c r="K66" s="60">
        <v>3586341</v>
      </c>
      <c r="L66" s="60">
        <v>3340266</v>
      </c>
      <c r="M66" s="60">
        <v>3239828</v>
      </c>
      <c r="N66" s="60">
        <v>3040458</v>
      </c>
      <c r="O66" s="60">
        <v>2790290</v>
      </c>
    </row>
    <row r="67" spans="2:15" x14ac:dyDescent="0.45">
      <c r="B67" t="s">
        <v>171</v>
      </c>
      <c r="C67" s="1" t="s">
        <v>172</v>
      </c>
      <c r="E67" s="60">
        <v>416928</v>
      </c>
      <c r="F67" s="60">
        <v>367609</v>
      </c>
      <c r="G67" s="60">
        <v>331873</v>
      </c>
      <c r="H67" s="60">
        <v>308051</v>
      </c>
      <c r="I67" s="60">
        <v>278247</v>
      </c>
      <c r="J67" s="60"/>
      <c r="K67" s="60">
        <v>24826</v>
      </c>
      <c r="L67" s="60">
        <v>25000</v>
      </c>
      <c r="M67" s="60">
        <v>25000</v>
      </c>
      <c r="N67" s="60">
        <v>25000</v>
      </c>
      <c r="O67" s="60">
        <v>25000</v>
      </c>
    </row>
    <row r="68" spans="2:15" x14ac:dyDescent="0.45">
      <c r="B68" t="s">
        <v>174</v>
      </c>
      <c r="C68" s="1" t="s">
        <v>172</v>
      </c>
      <c r="E68" s="60">
        <v>239229</v>
      </c>
      <c r="F68" s="60">
        <v>170733</v>
      </c>
      <c r="G68" s="60">
        <v>146963</v>
      </c>
      <c r="H68" s="60">
        <v>130755</v>
      </c>
      <c r="I68" s="60">
        <v>115945</v>
      </c>
      <c r="J68" s="60"/>
      <c r="K68" s="60">
        <v>19101</v>
      </c>
      <c r="L68" s="60">
        <v>19101</v>
      </c>
      <c r="M68" s="60">
        <v>32000</v>
      </c>
      <c r="N68" s="60">
        <v>32000</v>
      </c>
      <c r="O68" s="60">
        <v>32000</v>
      </c>
    </row>
    <row r="69" spans="2:15" x14ac:dyDescent="0.45">
      <c r="B69" t="s">
        <v>177</v>
      </c>
      <c r="C69" s="1" t="s">
        <v>172</v>
      </c>
      <c r="E69" s="60">
        <v>1897093</v>
      </c>
      <c r="F69" s="60">
        <v>1683860</v>
      </c>
      <c r="G69" s="60">
        <v>1562650</v>
      </c>
      <c r="H69" s="60">
        <v>1397406</v>
      </c>
      <c r="I69" s="60">
        <v>1087821</v>
      </c>
      <c r="J69" s="60"/>
      <c r="K69" s="60">
        <v>1405109</v>
      </c>
      <c r="L69" s="60">
        <v>1105118</v>
      </c>
      <c r="M69" s="60">
        <v>1105138</v>
      </c>
      <c r="N69" s="60">
        <v>1105158</v>
      </c>
      <c r="O69" s="60">
        <v>679601</v>
      </c>
    </row>
    <row r="70" spans="2:15" x14ac:dyDescent="0.45">
      <c r="B70" t="s">
        <v>179</v>
      </c>
      <c r="C70" s="1" t="s">
        <v>180</v>
      </c>
      <c r="E70" s="60">
        <v>5322217</v>
      </c>
      <c r="F70" s="60">
        <v>4722741</v>
      </c>
      <c r="G70" s="60">
        <v>4429398</v>
      </c>
      <c r="H70" s="60">
        <v>4005618</v>
      </c>
      <c r="I70" s="60">
        <v>3553800</v>
      </c>
      <c r="J70" s="60"/>
      <c r="K70" s="60">
        <v>3964669</v>
      </c>
      <c r="L70" s="60">
        <v>3764354</v>
      </c>
      <c r="M70" s="60">
        <v>3195343</v>
      </c>
      <c r="N70" s="60">
        <v>2895256</v>
      </c>
      <c r="O70" s="60">
        <v>2558080</v>
      </c>
    </row>
    <row r="71" spans="2:15" x14ac:dyDescent="0.45">
      <c r="B71" t="s">
        <v>181</v>
      </c>
      <c r="C71" s="1" t="s">
        <v>180</v>
      </c>
      <c r="E71" s="60">
        <v>2131000</v>
      </c>
      <c r="F71" s="60">
        <v>1900000</v>
      </c>
      <c r="G71" s="60">
        <v>1492000</v>
      </c>
      <c r="H71" s="60">
        <v>1488000</v>
      </c>
      <c r="I71" s="60">
        <v>1311000</v>
      </c>
      <c r="J71" s="60"/>
      <c r="K71" s="60">
        <v>3342000</v>
      </c>
      <c r="L71" s="60">
        <v>3868000</v>
      </c>
      <c r="M71" s="60">
        <v>3530000</v>
      </c>
      <c r="N71" s="60">
        <v>3026000</v>
      </c>
      <c r="O71" s="60">
        <v>2941000</v>
      </c>
    </row>
    <row r="72" spans="2:15" x14ac:dyDescent="0.45">
      <c r="B72" t="s">
        <v>184</v>
      </c>
      <c r="C72" s="1" t="s">
        <v>185</v>
      </c>
      <c r="E72" s="60">
        <v>1282736</v>
      </c>
      <c r="F72" s="60">
        <v>1192156</v>
      </c>
      <c r="G72" s="60">
        <v>1056410</v>
      </c>
      <c r="H72" s="60">
        <v>932186</v>
      </c>
      <c r="I72" s="60">
        <v>852579</v>
      </c>
      <c r="J72" s="60"/>
      <c r="K72" s="60">
        <v>1369700</v>
      </c>
      <c r="L72" s="60">
        <v>1269400</v>
      </c>
      <c r="M72" s="60">
        <v>1119400</v>
      </c>
      <c r="N72" s="60">
        <v>922800</v>
      </c>
      <c r="O72" s="60">
        <v>836950</v>
      </c>
    </row>
    <row r="73" spans="2:15" x14ac:dyDescent="0.45">
      <c r="B73" t="s">
        <v>188</v>
      </c>
      <c r="C73" s="1" t="s">
        <v>185</v>
      </c>
      <c r="E73" s="60">
        <v>3103080</v>
      </c>
      <c r="F73" s="60">
        <v>2849274</v>
      </c>
      <c r="G73" s="60">
        <v>2655666</v>
      </c>
      <c r="H73" s="60">
        <v>2531209</v>
      </c>
      <c r="I73" s="60">
        <v>2341437</v>
      </c>
      <c r="J73" s="60"/>
      <c r="K73" s="60">
        <v>2515479</v>
      </c>
      <c r="L73" s="60">
        <v>2415435</v>
      </c>
      <c r="M73" s="60">
        <v>2281589</v>
      </c>
      <c r="N73" s="60">
        <v>2150619</v>
      </c>
      <c r="O73" s="60">
        <v>2077829</v>
      </c>
    </row>
    <row r="74" spans="2:15" x14ac:dyDescent="0.45">
      <c r="B74" t="s">
        <v>190</v>
      </c>
      <c r="C74" s="1" t="s">
        <v>185</v>
      </c>
      <c r="E74" s="60">
        <v>344690</v>
      </c>
      <c r="F74" s="60">
        <v>332958</v>
      </c>
      <c r="G74" s="60">
        <v>299792</v>
      </c>
      <c r="H74" s="60">
        <v>277699</v>
      </c>
      <c r="I74" s="60">
        <v>263824</v>
      </c>
      <c r="J74" s="60"/>
      <c r="K74" s="60">
        <v>250000</v>
      </c>
      <c r="L74" s="60">
        <v>250000</v>
      </c>
      <c r="M74" s="60">
        <v>250000</v>
      </c>
      <c r="N74" s="60">
        <v>230000</v>
      </c>
      <c r="O74" s="60">
        <v>230000</v>
      </c>
    </row>
    <row r="75" spans="2:15" x14ac:dyDescent="0.45">
      <c r="B75" t="s">
        <v>192</v>
      </c>
      <c r="C75" s="1" t="s">
        <v>185</v>
      </c>
      <c r="E75" s="60">
        <v>1846000</v>
      </c>
      <c r="F75" s="60">
        <v>1740000</v>
      </c>
      <c r="G75" s="60">
        <v>1684000</v>
      </c>
      <c r="H75" s="60">
        <v>1629469</v>
      </c>
      <c r="I75" s="60">
        <v>1572772</v>
      </c>
      <c r="J75" s="60"/>
      <c r="K75" s="60">
        <v>2815000</v>
      </c>
      <c r="L75" s="60">
        <v>2667000</v>
      </c>
      <c r="M75" s="60">
        <v>2467000</v>
      </c>
      <c r="N75" s="60">
        <v>2342798</v>
      </c>
      <c r="O75" s="60">
        <v>2342335</v>
      </c>
    </row>
    <row r="76" spans="2:15" x14ac:dyDescent="0.45">
      <c r="B76" t="s">
        <v>257</v>
      </c>
      <c r="C76" s="1" t="s">
        <v>185</v>
      </c>
      <c r="E76" s="60">
        <v>4070000</v>
      </c>
      <c r="F76" s="60">
        <v>3810000</v>
      </c>
      <c r="G76" s="60">
        <v>3313000</v>
      </c>
      <c r="H76" s="60">
        <v>3106000</v>
      </c>
      <c r="I76" s="60">
        <v>2989000</v>
      </c>
      <c r="J76" s="60"/>
      <c r="K76" s="60">
        <v>3274000</v>
      </c>
      <c r="L76" s="60">
        <v>3274000</v>
      </c>
      <c r="M76" s="60">
        <v>3273000</v>
      </c>
      <c r="N76" s="60">
        <v>3123000</v>
      </c>
      <c r="O76" s="60">
        <v>2973000</v>
      </c>
    </row>
    <row r="77" spans="2:15" x14ac:dyDescent="0.45">
      <c r="B77" t="s">
        <v>197</v>
      </c>
      <c r="C77" s="1" t="s">
        <v>185</v>
      </c>
      <c r="E77" s="60">
        <v>643846</v>
      </c>
      <c r="F77" s="60">
        <v>582601</v>
      </c>
      <c r="G77" s="60">
        <v>543932</v>
      </c>
      <c r="H77" s="60">
        <v>526444</v>
      </c>
      <c r="I77" s="60">
        <v>515651</v>
      </c>
      <c r="J77" s="60"/>
      <c r="K77" s="60">
        <v>793140</v>
      </c>
      <c r="L77" s="60">
        <v>776400</v>
      </c>
      <c r="M77" s="60">
        <v>683147</v>
      </c>
      <c r="N77" s="60">
        <v>624397</v>
      </c>
      <c r="O77" s="60">
        <v>631422</v>
      </c>
    </row>
    <row r="78" spans="2:15" x14ac:dyDescent="0.45">
      <c r="B78" t="s">
        <v>200</v>
      </c>
      <c r="C78" s="1" t="s">
        <v>185</v>
      </c>
      <c r="E78" s="60">
        <v>0</v>
      </c>
      <c r="F78" s="60">
        <v>0</v>
      </c>
      <c r="G78" s="60">
        <v>0</v>
      </c>
      <c r="H78" s="60">
        <v>0</v>
      </c>
      <c r="I78" s="60">
        <v>0</v>
      </c>
      <c r="J78" s="60"/>
      <c r="K78" s="60">
        <v>0</v>
      </c>
      <c r="L78" s="60">
        <v>0</v>
      </c>
      <c r="M78" s="60">
        <v>0</v>
      </c>
      <c r="N78" s="60">
        <v>0</v>
      </c>
      <c r="O78" s="60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09a1fe-d543-41d5-a7bd-5a24856ec748" xsi:nil="true"/>
    <lcf76f155ced4ddcb4097134ff3c332f xmlns="3c32e2f1-9b83-4e10-818f-dddacb8781b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A12F0ED7FFD14AB5FE172055022F86" ma:contentTypeVersion="11" ma:contentTypeDescription="Create a new document." ma:contentTypeScope="" ma:versionID="629d2fd901fa090042dc70e91cd54354">
  <xsd:schema xmlns:xsd="http://www.w3.org/2001/XMLSchema" xmlns:xs="http://www.w3.org/2001/XMLSchema" xmlns:p="http://schemas.microsoft.com/office/2006/metadata/properties" xmlns:ns2="3c32e2f1-9b83-4e10-818f-dddacb8781b0" xmlns:ns3="9909a1fe-d543-41d5-a7bd-5a24856ec748" targetNamespace="http://schemas.microsoft.com/office/2006/metadata/properties" ma:root="true" ma:fieldsID="a5993e025ec559fafdcb103b85ce19b7" ns2:_="" ns3:_="">
    <xsd:import namespace="3c32e2f1-9b83-4e10-818f-dddacb8781b0"/>
    <xsd:import namespace="9909a1fe-d543-41d5-a7bd-5a24856ec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2e2f1-9b83-4e10-818f-dddacb878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9835351-e7e6-449a-a226-ed0f36744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9a1fe-d543-41d5-a7bd-5a24856ec7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8ad76bb-071d-4cee-8557-0b0a240fd8f7}" ma:internalName="TaxCatchAll" ma:showField="CatchAllData" ma:web="9909a1fe-d543-41d5-a7bd-5a24856ec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884E7E-8E6A-436A-911F-66DF202511EE}">
  <ds:schemaRefs>
    <ds:schemaRef ds:uri="http://schemas.openxmlformats.org/package/2006/metadata/core-properties"/>
    <ds:schemaRef ds:uri="76a73a03-073c-4e8a-9fc1-654f7c642b9a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infopath/2007/PartnerControls"/>
    <ds:schemaRef ds:uri="63d7fcb5-7bd1-497a-b94f-6231df271a74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8B8848-6931-4B4B-B1F5-EEA185AF41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E47550-5D85-44D9-A22C-4D12DC03A4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C1-01-Staff-303 Attachment 1</vt:lpstr>
      <vt:lpstr>Authorized Equity Ratios</vt:lpstr>
      <vt:lpstr>Summary Actual Equity Ratios</vt:lpstr>
      <vt:lpstr>Actual Equity Ratios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Bryan Hu</cp:lastModifiedBy>
  <cp:revision/>
  <dcterms:created xsi:type="dcterms:W3CDTF">2025-06-09T01:23:36Z</dcterms:created>
  <dcterms:modified xsi:type="dcterms:W3CDTF">2026-04-16T16:41:30Z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0x0101006AA12F0ED7FFD14AB5FE172055022F86</vt:lpwstr>
  </property>
  <property fmtid="{D5CDD505-2E9C-101B-9397-08002B2CF9AE}" pid="3" name="Industry Segment">
    <vt:lpwstr/>
  </property>
  <property fmtid="{D5CDD505-2E9C-101B-9397-08002B2CF9AE}" pid="4" name="Industry_x0020_Segment">
    <vt:lpwstr/>
  </property>
  <property fmtid="{D5CDD505-2E9C-101B-9397-08002B2CF9AE}" pid="5" name="Practice Areas and Services Provided">
    <vt:lpwstr/>
  </property>
  <property fmtid="{D5CDD505-2E9C-101B-9397-08002B2CF9AE}" pid="6" name="Practice_x0020_Areas_x0020_and_x0020_Services_x0020_Provided">
    <vt:lpwstr/>
  </property>
  <property fmtid="{D5CDD505-2E9C-101B-9397-08002B2CF9AE}" pid="7" name="{A44787D4-0540-4523-9961-78E4036D8C6D}">
    <vt:lpwstr>{03143522-A1B5-48A9-B024-6DF3DF00D631}</vt:lpwstr>
  </property>
  <property fmtid="{D5CDD505-2E9C-101B-9397-08002B2CF9AE}" pid="8" name="MediaServiceImageTags">
    <vt:lpwstr/>
  </property>
  <property fmtid="{D5CDD505-2E9C-101B-9397-08002B2CF9AE}" pid="9" name="Engagement_x0020_Type">
    <vt:lpwstr/>
  </property>
  <property fmtid="{D5CDD505-2E9C-101B-9397-08002B2CF9AE}" pid="10" name="Engagement Type">
    <vt:lpwstr/>
  </property>
</Properties>
</file>