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9" documentId="11_2B5F54EF81051B41B6B0DA8816F623BEAA62D0AD" xr6:coauthVersionLast="47" xr6:coauthVersionMax="47" xr10:uidLastSave="{34A2ECC9-1B88-4C3B-80C9-27702C60E474}"/>
  <bookViews>
    <workbookView xWindow="2505" yWindow="-16320" windowWidth="38640" windowHeight="15720" xr2:uid="{00000000-000D-0000-FFFF-FFFF00000000}"/>
  </bookViews>
  <sheets>
    <sheet name="C1-01-Staff-302 Attachment 2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Ratios'!$B$3:$H$78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4" i="1"/>
  <c r="E5" i="1"/>
  <c r="E6" i="1"/>
  <c r="E7" i="1"/>
  <c r="E4" i="1"/>
  <c r="C5" i="1"/>
  <c r="C6" i="1"/>
  <c r="C7" i="1"/>
  <c r="C4" i="1"/>
  <c r="K24" i="4"/>
  <c r="E24" i="4"/>
  <c r="O21" i="4"/>
  <c r="N21" i="4"/>
  <c r="M21" i="4"/>
  <c r="L21" i="4"/>
  <c r="K21" i="4"/>
  <c r="E23" i="3" s="1"/>
  <c r="I21" i="4"/>
  <c r="I23" i="3" s="1"/>
  <c r="H21" i="4"/>
  <c r="G21" i="4"/>
  <c r="F21" i="4"/>
  <c r="E21" i="4"/>
  <c r="O20" i="4"/>
  <c r="N20" i="4"/>
  <c r="H22" i="3" s="1"/>
  <c r="M20" i="4"/>
  <c r="G22" i="3" s="1"/>
  <c r="L20" i="4"/>
  <c r="F22" i="3" s="1"/>
  <c r="K20" i="4"/>
  <c r="I20" i="4"/>
  <c r="H20" i="4"/>
  <c r="G20" i="4"/>
  <c r="F20" i="4"/>
  <c r="E20" i="4"/>
  <c r="O19" i="4"/>
  <c r="N19" i="4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K18" i="4"/>
  <c r="I18" i="4"/>
  <c r="I20" i="3" s="1"/>
  <c r="H18" i="4"/>
  <c r="H20" i="3" s="1"/>
  <c r="G18" i="4"/>
  <c r="G20" i="3" s="1"/>
  <c r="F18" i="4"/>
  <c r="E18" i="4"/>
  <c r="O17" i="4"/>
  <c r="N17" i="4"/>
  <c r="M17" i="4"/>
  <c r="L17" i="4"/>
  <c r="F19" i="3" s="1"/>
  <c r="K17" i="4"/>
  <c r="E19" i="3" s="1"/>
  <c r="K19" i="3" s="1"/>
  <c r="I17" i="4"/>
  <c r="H17" i="4"/>
  <c r="G17" i="4"/>
  <c r="F17" i="4"/>
  <c r="E17" i="4"/>
  <c r="O16" i="4"/>
  <c r="N16" i="4"/>
  <c r="M16" i="4"/>
  <c r="L16" i="4"/>
  <c r="K16" i="4"/>
  <c r="I16" i="4"/>
  <c r="H16" i="4"/>
  <c r="G16" i="4"/>
  <c r="F16" i="4"/>
  <c r="E16" i="4"/>
  <c r="E18" i="3" s="1"/>
  <c r="K18" i="3" s="1"/>
  <c r="O15" i="4"/>
  <c r="I17" i="3" s="1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F16" i="3" s="1"/>
  <c r="K14" i="4"/>
  <c r="I14" i="4"/>
  <c r="I16" i="3" s="1"/>
  <c r="H14" i="4"/>
  <c r="H16" i="3" s="1"/>
  <c r="G14" i="4"/>
  <c r="G16" i="3" s="1"/>
  <c r="F14" i="4"/>
  <c r="E14" i="4"/>
  <c r="O13" i="4"/>
  <c r="N13" i="4"/>
  <c r="H15" i="3" s="1"/>
  <c r="M13" i="4"/>
  <c r="L13" i="4"/>
  <c r="F15" i="3" s="1"/>
  <c r="K13" i="4"/>
  <c r="E15" i="3" s="1"/>
  <c r="I13" i="4"/>
  <c r="I15" i="3" s="1"/>
  <c r="H13" i="4"/>
  <c r="G13" i="4"/>
  <c r="F13" i="4"/>
  <c r="E13" i="4"/>
  <c r="O12" i="4"/>
  <c r="N12" i="4"/>
  <c r="M12" i="4"/>
  <c r="L12" i="4"/>
  <c r="F14" i="3" s="1"/>
  <c r="K12" i="4"/>
  <c r="I12" i="4"/>
  <c r="H12" i="4"/>
  <c r="G12" i="4"/>
  <c r="F12" i="4"/>
  <c r="E12" i="4"/>
  <c r="O11" i="4"/>
  <c r="I13" i="3" s="1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E13" i="3" s="1"/>
  <c r="O10" i="4"/>
  <c r="N10" i="4"/>
  <c r="M10" i="4"/>
  <c r="L10" i="4"/>
  <c r="F12" i="3" s="1"/>
  <c r="K10" i="4"/>
  <c r="I10" i="4"/>
  <c r="I12" i="3" s="1"/>
  <c r="H10" i="4"/>
  <c r="H12" i="3" s="1"/>
  <c r="G10" i="4"/>
  <c r="G12" i="3" s="1"/>
  <c r="F10" i="4"/>
  <c r="E10" i="4"/>
  <c r="O9" i="4"/>
  <c r="N9" i="4"/>
  <c r="H11" i="3" s="1"/>
  <c r="M9" i="4"/>
  <c r="L9" i="4"/>
  <c r="F11" i="3" s="1"/>
  <c r="K9" i="4"/>
  <c r="E11" i="3" s="1"/>
  <c r="E34" i="3" s="1"/>
  <c r="I9" i="4"/>
  <c r="H9" i="4"/>
  <c r="G9" i="4"/>
  <c r="G11" i="3" s="1"/>
  <c r="F9" i="4"/>
  <c r="E9" i="4"/>
  <c r="O8" i="4"/>
  <c r="N8" i="4"/>
  <c r="H10" i="3" s="1"/>
  <c r="M8" i="4"/>
  <c r="G10" i="3" s="1"/>
  <c r="L8" i="4"/>
  <c r="F10" i="3" s="1"/>
  <c r="K8" i="4"/>
  <c r="I8" i="4"/>
  <c r="I10" i="3" s="1"/>
  <c r="H8" i="4"/>
  <c r="G8" i="4"/>
  <c r="F8" i="4"/>
  <c r="E8" i="4"/>
  <c r="O7" i="4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F8" i="3" s="1"/>
  <c r="K6" i="4"/>
  <c r="I6" i="4"/>
  <c r="I8" i="3" s="1"/>
  <c r="H6" i="4"/>
  <c r="H8" i="3" s="1"/>
  <c r="G6" i="4"/>
  <c r="G8" i="3" s="1"/>
  <c r="G29" i="3" s="1"/>
  <c r="F6" i="4"/>
  <c r="E6" i="4"/>
  <c r="O5" i="4"/>
  <c r="N5" i="4"/>
  <c r="H7" i="3" s="1"/>
  <c r="M5" i="4"/>
  <c r="L5" i="4"/>
  <c r="K5" i="4"/>
  <c r="I5" i="4"/>
  <c r="I7" i="3" s="1"/>
  <c r="H5" i="4"/>
  <c r="G5" i="4"/>
  <c r="F5" i="4"/>
  <c r="E5" i="4"/>
  <c r="O4" i="4"/>
  <c r="N4" i="4"/>
  <c r="H6" i="3" s="1"/>
  <c r="M4" i="4"/>
  <c r="G6" i="3" s="1"/>
  <c r="L4" i="4"/>
  <c r="F6" i="3" s="1"/>
  <c r="K4" i="4"/>
  <c r="I4" i="4"/>
  <c r="I6" i="3" s="1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E22" i="3"/>
  <c r="I21" i="3"/>
  <c r="H21" i="3"/>
  <c r="F20" i="3"/>
  <c r="E20" i="3"/>
  <c r="I19" i="3"/>
  <c r="H19" i="3"/>
  <c r="G19" i="3"/>
  <c r="I18" i="3"/>
  <c r="H18" i="3"/>
  <c r="G18" i="3"/>
  <c r="F18" i="3"/>
  <c r="E16" i="3"/>
  <c r="G15" i="3"/>
  <c r="I14" i="3"/>
  <c r="H14" i="3"/>
  <c r="G14" i="3"/>
  <c r="E14" i="3"/>
  <c r="K14" i="3" s="1"/>
  <c r="E12" i="3"/>
  <c r="I11" i="3"/>
  <c r="E10" i="3"/>
  <c r="I9" i="3"/>
  <c r="E8" i="3"/>
  <c r="G7" i="3"/>
  <c r="F7" i="3"/>
  <c r="E7" i="3"/>
  <c r="H5" i="3"/>
  <c r="G5" i="3"/>
  <c r="F5" i="3"/>
  <c r="E5" i="3"/>
  <c r="F92" i="2" a="1"/>
  <c r="F92" i="2" s="1"/>
  <c r="I7" i="1" s="1"/>
  <c r="F91" i="2" a="1"/>
  <c r="F91" i="2" s="1"/>
  <c r="I6" i="1" s="1"/>
  <c r="I10" i="1" s="1"/>
  <c r="F90" i="2" a="1"/>
  <c r="F90" i="2" s="1"/>
  <c r="I5" i="1" s="1"/>
  <c r="F89" i="2"/>
  <c r="I4" i="1" s="1"/>
  <c r="F88" i="2" a="1"/>
  <c r="F88" i="2" s="1"/>
  <c r="H7" i="1" s="1"/>
  <c r="F87" i="2" a="1"/>
  <c r="F87" i="2" s="1"/>
  <c r="H6" i="1" s="1"/>
  <c r="H10" i="1" s="1"/>
  <c r="F86" i="2" a="1"/>
  <c r="F86" i="2" s="1"/>
  <c r="H5" i="1" s="1"/>
  <c r="F85" i="2"/>
  <c r="H4" i="1" s="1"/>
  <c r="F83" i="2" a="1"/>
  <c r="F83" i="2" s="1"/>
  <c r="F7" i="1" s="1"/>
  <c r="F82" i="2" a="1"/>
  <c r="F82" i="2" s="1"/>
  <c r="F6" i="1" s="1"/>
  <c r="F10" i="1" s="1"/>
  <c r="F81" i="2" a="1"/>
  <c r="F81" i="2" s="1"/>
  <c r="F5" i="1" s="1"/>
  <c r="F80" i="2"/>
  <c r="F4" i="1" s="1"/>
  <c r="F78" i="2"/>
  <c r="D7" i="1" s="1"/>
  <c r="F77" i="2"/>
  <c r="D6" i="1" s="1"/>
  <c r="D10" i="1" s="1"/>
  <c r="F76" i="2"/>
  <c r="D5" i="1" s="1"/>
  <c r="F75" i="2"/>
  <c r="D4" i="1" s="1"/>
  <c r="O74" i="2"/>
  <c r="C74" i="2"/>
  <c r="P74" i="2" s="1"/>
  <c r="O73" i="2"/>
  <c r="C73" i="2"/>
  <c r="P73" i="2" s="1"/>
  <c r="O72" i="2"/>
  <c r="C72" i="2"/>
  <c r="P72" i="2" s="1"/>
  <c r="O71" i="2"/>
  <c r="C71" i="2"/>
  <c r="P71" i="2" s="1"/>
  <c r="O70" i="2"/>
  <c r="C70" i="2"/>
  <c r="P70" i="2" s="1"/>
  <c r="P69" i="2"/>
  <c r="O69" i="2"/>
  <c r="C69" i="2"/>
  <c r="O68" i="2"/>
  <c r="C68" i="2"/>
  <c r="P68" i="2" s="1"/>
  <c r="O67" i="2"/>
  <c r="C67" i="2"/>
  <c r="P67" i="2" s="1"/>
  <c r="O66" i="2"/>
  <c r="C66" i="2"/>
  <c r="P66" i="2" s="1"/>
  <c r="O65" i="2"/>
  <c r="C65" i="2"/>
  <c r="P65" i="2" s="1"/>
  <c r="O64" i="2"/>
  <c r="C64" i="2"/>
  <c r="P64" i="2" s="1"/>
  <c r="O63" i="2"/>
  <c r="C63" i="2"/>
  <c r="P63" i="2" s="1"/>
  <c r="O62" i="2"/>
  <c r="C62" i="2"/>
  <c r="P62" i="2" s="1"/>
  <c r="P61" i="2"/>
  <c r="O61" i="2"/>
  <c r="C61" i="2"/>
  <c r="P60" i="2"/>
  <c r="O60" i="2"/>
  <c r="C60" i="2"/>
  <c r="O59" i="2"/>
  <c r="C59" i="2"/>
  <c r="P59" i="2" s="1"/>
  <c r="O58" i="2"/>
  <c r="C58" i="2"/>
  <c r="P58" i="2" s="1"/>
  <c r="O57" i="2"/>
  <c r="C57" i="2"/>
  <c r="P57" i="2" s="1"/>
  <c r="O56" i="2"/>
  <c r="C56" i="2"/>
  <c r="P56" i="2" s="1"/>
  <c r="O55" i="2"/>
  <c r="C55" i="2"/>
  <c r="P55" i="2" s="1"/>
  <c r="O54" i="2"/>
  <c r="C54" i="2"/>
  <c r="P54" i="2" s="1"/>
  <c r="P53" i="2"/>
  <c r="O53" i="2"/>
  <c r="C53" i="2"/>
  <c r="P52" i="2"/>
  <c r="O52" i="2"/>
  <c r="C52" i="2"/>
  <c r="O51" i="2"/>
  <c r="C51" i="2"/>
  <c r="P51" i="2" s="1"/>
  <c r="O50" i="2"/>
  <c r="C50" i="2"/>
  <c r="P50" i="2" s="1"/>
  <c r="O49" i="2"/>
  <c r="C49" i="2"/>
  <c r="P49" i="2" s="1"/>
  <c r="O48" i="2"/>
  <c r="C48" i="2"/>
  <c r="P48" i="2" s="1"/>
  <c r="O47" i="2"/>
  <c r="C47" i="2"/>
  <c r="P47" i="2" s="1"/>
  <c r="O46" i="2"/>
  <c r="C46" i="2"/>
  <c r="P46" i="2" s="1"/>
  <c r="P45" i="2"/>
  <c r="O45" i="2"/>
  <c r="C45" i="2"/>
  <c r="P44" i="2"/>
  <c r="O44" i="2"/>
  <c r="C44" i="2"/>
  <c r="O43" i="2"/>
  <c r="C43" i="2"/>
  <c r="P43" i="2" s="1"/>
  <c r="O42" i="2"/>
  <c r="C42" i="2"/>
  <c r="P42" i="2" s="1"/>
  <c r="O41" i="2"/>
  <c r="C41" i="2"/>
  <c r="P41" i="2" s="1"/>
  <c r="O40" i="2"/>
  <c r="C40" i="2"/>
  <c r="P40" i="2" s="1"/>
  <c r="O39" i="2"/>
  <c r="C39" i="2"/>
  <c r="P39" i="2" s="1"/>
  <c r="O38" i="2"/>
  <c r="C38" i="2"/>
  <c r="P38" i="2" s="1"/>
  <c r="P37" i="2"/>
  <c r="O37" i="2"/>
  <c r="C37" i="2"/>
  <c r="O36" i="2"/>
  <c r="C36" i="2"/>
  <c r="O35" i="2"/>
  <c r="C35" i="2"/>
  <c r="P35" i="2" s="1"/>
  <c r="P34" i="2"/>
  <c r="O34" i="2"/>
  <c r="C34" i="2"/>
  <c r="O33" i="2"/>
  <c r="C33" i="2"/>
  <c r="P33" i="2" s="1"/>
  <c r="O32" i="2"/>
  <c r="C32" i="2"/>
  <c r="P32" i="2" s="1"/>
  <c r="O31" i="2"/>
  <c r="C31" i="2"/>
  <c r="P31" i="2" s="1"/>
  <c r="O30" i="2"/>
  <c r="C30" i="2"/>
  <c r="P30" i="2" s="1"/>
  <c r="P29" i="2"/>
  <c r="O29" i="2"/>
  <c r="C29" i="2"/>
  <c r="O28" i="2"/>
  <c r="C28" i="2"/>
  <c r="P28" i="2" s="1"/>
  <c r="O27" i="2"/>
  <c r="C27" i="2"/>
  <c r="P27" i="2" s="1"/>
  <c r="O26" i="2"/>
  <c r="C26" i="2"/>
  <c r="P26" i="2" s="1"/>
  <c r="O25" i="2"/>
  <c r="C25" i="2"/>
  <c r="P25" i="2" s="1"/>
  <c r="O24" i="2"/>
  <c r="C24" i="2"/>
  <c r="P24" i="2" s="1"/>
  <c r="O23" i="2"/>
  <c r="C23" i="2"/>
  <c r="P23" i="2" s="1"/>
  <c r="O21" i="2"/>
  <c r="C21" i="2"/>
  <c r="P21" i="2" s="1"/>
  <c r="P20" i="2"/>
  <c r="O19" i="2"/>
  <c r="C19" i="2"/>
  <c r="P19" i="2" s="1"/>
  <c r="P18" i="2"/>
  <c r="O18" i="2"/>
  <c r="C18" i="2"/>
  <c r="O17" i="2"/>
  <c r="C17" i="2"/>
  <c r="P17" i="2" s="1"/>
  <c r="O16" i="2"/>
  <c r="C16" i="2"/>
  <c r="P16" i="2" s="1"/>
  <c r="O15" i="2"/>
  <c r="C15" i="2"/>
  <c r="P15" i="2" s="1"/>
  <c r="O14" i="2"/>
  <c r="C14" i="2"/>
  <c r="P14" i="2" s="1"/>
  <c r="O13" i="2"/>
  <c r="C13" i="2"/>
  <c r="P13" i="2" s="1"/>
  <c r="O12" i="2"/>
  <c r="C12" i="2"/>
  <c r="P12" i="2" s="1"/>
  <c r="O11" i="2"/>
  <c r="C11" i="2"/>
  <c r="P11" i="2" s="1"/>
  <c r="P10" i="2"/>
  <c r="O10" i="2"/>
  <c r="C10" i="2"/>
  <c r="O9" i="2"/>
  <c r="C9" i="2"/>
  <c r="P9" i="2" s="1"/>
  <c r="O8" i="2"/>
  <c r="C8" i="2"/>
  <c r="P8" i="2" s="1"/>
  <c r="P7" i="2"/>
  <c r="O7" i="2"/>
  <c r="C7" i="2"/>
  <c r="O6" i="2"/>
  <c r="C6" i="2"/>
  <c r="P6" i="2" s="1"/>
  <c r="O5" i="2"/>
  <c r="C5" i="2"/>
  <c r="P5" i="2" s="1"/>
  <c r="O4" i="2"/>
  <c r="C4" i="2"/>
  <c r="P4" i="2" s="1"/>
  <c r="G10" i="1"/>
  <c r="F14" i="1"/>
  <c r="J14" i="1"/>
  <c r="D14" i="1"/>
  <c r="G14" i="1" s="1"/>
  <c r="E10" i="1"/>
  <c r="C10" i="1"/>
  <c r="K15" i="3" l="1"/>
  <c r="K23" i="3"/>
  <c r="I37" i="3" a="1"/>
  <c r="I37" i="3" s="1"/>
  <c r="K16" i="3"/>
  <c r="K12" i="3"/>
  <c r="K20" i="3"/>
  <c r="K22" i="3"/>
  <c r="I34" i="3"/>
  <c r="K10" i="3"/>
  <c r="K13" i="3"/>
  <c r="K17" i="3"/>
  <c r="K21" i="3"/>
  <c r="E25" i="3"/>
  <c r="K9" i="3"/>
  <c r="K8" i="3"/>
  <c r="F24" i="3"/>
  <c r="F32" i="3" a="1"/>
  <c r="F32" i="3" s="1"/>
  <c r="F30" i="3" a="1"/>
  <c r="F30" i="3" s="1"/>
  <c r="F36" i="3" a="1"/>
  <c r="F36" i="3" s="1"/>
  <c r="F25" i="3"/>
  <c r="F37" i="3" a="1"/>
  <c r="F37" i="3" s="1"/>
  <c r="F26" i="3"/>
  <c r="F35" i="3" a="1"/>
  <c r="F35" i="3" s="1"/>
  <c r="F31" i="3" a="1"/>
  <c r="F31" i="3" s="1"/>
  <c r="F34" i="3"/>
  <c r="F27" i="3"/>
  <c r="I27" i="3"/>
  <c r="I30" i="3" a="1"/>
  <c r="I30" i="3" s="1"/>
  <c r="I32" i="3" a="1"/>
  <c r="I32" i="3" s="1"/>
  <c r="I25" i="3"/>
  <c r="I29" i="3"/>
  <c r="I31" i="3" a="1"/>
  <c r="I31" i="3" s="1"/>
  <c r="G31" i="3" a="1"/>
  <c r="G31" i="3" s="1"/>
  <c r="G26" i="3"/>
  <c r="G36" i="3" a="1"/>
  <c r="G36" i="3" s="1"/>
  <c r="G25" i="3"/>
  <c r="G32" i="3" a="1"/>
  <c r="G32" i="3" s="1"/>
  <c r="G24" i="3"/>
  <c r="G30" i="3" a="1"/>
  <c r="G30" i="3" s="1"/>
  <c r="G37" i="3" a="1"/>
  <c r="G37" i="3" s="1"/>
  <c r="G35" i="3" a="1"/>
  <c r="G35" i="3" s="1"/>
  <c r="G34" i="3"/>
  <c r="G27" i="3"/>
  <c r="H37" i="3" a="1"/>
  <c r="H37" i="3" s="1"/>
  <c r="H31" i="3" a="1"/>
  <c r="H31" i="3" s="1"/>
  <c r="H35" i="3" a="1"/>
  <c r="H35" i="3" s="1"/>
  <c r="H36" i="3" a="1"/>
  <c r="H36" i="3" s="1"/>
  <c r="H29" i="3"/>
  <c r="H30" i="3" a="1"/>
  <c r="H30" i="3" s="1"/>
  <c r="H24" i="3"/>
  <c r="F29" i="3"/>
  <c r="K6" i="3"/>
  <c r="H25" i="3"/>
  <c r="I24" i="4"/>
  <c r="I5" i="3"/>
  <c r="O3" i="4"/>
  <c r="O24" i="4" s="1"/>
  <c r="H24" i="4"/>
  <c r="I24" i="3"/>
  <c r="E26" i="3"/>
  <c r="H32" i="3" a="1"/>
  <c r="H32" i="3" s="1"/>
  <c r="E36" i="3" a="1"/>
  <c r="E36" i="3" s="1"/>
  <c r="I36" i="3" a="1"/>
  <c r="I36" i="3" s="1"/>
  <c r="E27" i="3"/>
  <c r="H27" i="3"/>
  <c r="H34" i="3"/>
  <c r="E32" i="3" a="1"/>
  <c r="E32" i="3" s="1"/>
  <c r="E30" i="3" a="1"/>
  <c r="E30" i="3" s="1"/>
  <c r="K7" i="3"/>
  <c r="K11" i="3"/>
  <c r="H26" i="3"/>
  <c r="E24" i="3"/>
  <c r="I26" i="3"/>
  <c r="E29" i="3"/>
  <c r="E35" i="3" a="1"/>
  <c r="E35" i="3" s="1"/>
  <c r="I35" i="3" a="1"/>
  <c r="I35" i="3" s="1"/>
  <c r="E37" i="3" a="1"/>
  <c r="E37" i="3" s="1"/>
  <c r="E31" i="3" a="1"/>
  <c r="E31" i="3" s="1"/>
  <c r="I12" i="1"/>
  <c r="E12" i="1"/>
  <c r="E14" i="1"/>
  <c r="H14" i="1" s="1"/>
  <c r="C12" i="1"/>
  <c r="I14" i="1"/>
  <c r="I13" i="1"/>
  <c r="G13" i="1"/>
  <c r="G12" i="1"/>
  <c r="C13" i="1"/>
  <c r="C11" i="1"/>
  <c r="I11" i="1"/>
  <c r="E13" i="1"/>
  <c r="H12" i="1"/>
  <c r="H11" i="1"/>
  <c r="D12" i="1"/>
  <c r="F11" i="1"/>
  <c r="F13" i="1"/>
  <c r="H13" i="1"/>
  <c r="D11" i="1"/>
  <c r="F12" i="1"/>
  <c r="G11" i="1"/>
  <c r="E11" i="1"/>
  <c r="D13" i="1"/>
  <c r="K29" i="3" l="1"/>
  <c r="K26" i="3"/>
  <c r="K35" i="3" a="1"/>
  <c r="K35" i="3" s="1"/>
  <c r="K32" i="3" a="1"/>
  <c r="K32" i="3" s="1"/>
  <c r="K30" i="3" a="1"/>
  <c r="K30" i="3" s="1"/>
  <c r="K34" i="3"/>
  <c r="K27" i="3"/>
  <c r="K36" i="3" a="1"/>
  <c r="K36" i="3" s="1"/>
  <c r="K24" i="3"/>
  <c r="K37" i="3" a="1"/>
  <c r="K37" i="3" s="1"/>
  <c r="K31" i="3" a="1"/>
  <c r="K31" i="3" s="1"/>
  <c r="K2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<sst xmlns="http://schemas.openxmlformats.org/spreadsheetml/2006/main" count="984" uniqueCount="261">
  <si>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</si>
  <si>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</si>
  <si>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</si>
  <si>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</si>
  <si>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</si>
  <si>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</si>
  <si>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</si>
  <si>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</si>
  <si>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</si>
  <si>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</si>
  <si>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</si>
  <si>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</si>
  <si>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</si>
  <si>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</si>
  <si>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</si>
  <si>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</si>
  <si>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</si>
  <si>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</si>
  <si>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</si>
  <si>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</si>
  <si>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</si>
  <si>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</si>
  <si>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</si>
  <si>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</si>
  <si>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</si>
  <si>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</si>
  <si>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</si>
  <si>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</si>
  <si>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</si>
  <si>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</si>
  <si>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</si>
  <si>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</si>
  <si>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</si>
  <si>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</si>
  <si>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</si>
  <si>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</si>
  <si>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</si>
  <si>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</si>
  <si>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</si>
  <si>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</si>
  <si>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</si>
  <si>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</si>
  <si>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</si>
  <si>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</si>
  <si>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</si>
  <si>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</si>
  <si>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</si>
  <si>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</si>
  <si>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</si>
  <si>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</si>
  <si>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</si>
  <si>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</si>
  <si>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</si>
  <si>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</si>
  <si>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</si>
  <si>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</si>
  <si>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</si>
  <si>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</si>
  <si>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</si>
  <si>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</si>
  <si>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</si>
  <si>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</si>
  <si>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</si>
  <si>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</si>
  <si>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</si>
  <si>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</si>
  <si>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</si>
  <si>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</si>
  <si>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</si>
  <si>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</si>
  <si>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</si>
  <si>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</si>
  <si>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</si>
  <si>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</si>
  <si>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</si>
  <si>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</si>
  <si>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</si>
  <si>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</si>
  <si>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</si>
  <si>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</si>
  <si>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</si>
  <si>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</si>
  <si>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</si>
  <si>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</si>
  <si>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</si>
  <si>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</si>
  <si>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</si>
  <si>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</si>
  <si>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</si>
  <si>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</si>
  <si>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</si>
  <si>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</si>
  <si>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</si>
  <si>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</si>
  <si>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</si>
  <si>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</si>
  <si>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</si>
  <si>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</si>
  <si>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</si>
  <si>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</si>
  <si>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</si>
  <si>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</si>
  <si>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</si>
  <si>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</si>
  <si>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</si>
  <si>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</si>
  <si>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</si>
  <si>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</si>
  <si>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</si>
  <si>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</si>
  <si>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</si>
  <si>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</si>
  <si>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</si>
  <si>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</si>
  <si>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</si>
  <si>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</si>
  <si>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</si>
  <si>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</si>
  <si>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</si>
  <si>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</si>
  <si>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</si>
  <si>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</si>
  <si>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</si>
  <si>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</si>
  <si>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</si>
  <si>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</si>
  <si>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</si>
  <si>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</si>
  <si>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</si>
  <si>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</si>
  <si>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</si>
  <si>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</si>
  <si>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</si>
  <si>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</si>
  <si>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</si>
  <si>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</si>
  <si>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</si>
  <si>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</si>
  <si>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</si>
  <si>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</si>
  <si>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</si>
  <si>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</si>
  <si>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</si>
  <si>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</si>
  <si>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</si>
  <si>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</si>
  <si>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</si>
  <si>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</si>
  <si>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</si>
  <si>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</si>
  <si>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</si>
  <si>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</si>
  <si>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</si>
  <si>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</si>
  <si>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</si>
  <si>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</si>
  <si>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</si>
  <si>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</si>
  <si>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</si>
  <si>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</si>
  <si>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</si>
  <si>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</si>
  <si>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</si>
  <si>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</si>
  <si>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</si>
  <si>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</si>
  <si>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</si>
  <si>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</si>
  <si>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</si>
  <si>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</si>
  <si>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</si>
  <si>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</si>
  <si>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</si>
  <si>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</si>
  <si>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</si>
  <si>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</si>
  <si>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</si>
  <si>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</si>
  <si>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</si>
  <si>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</si>
  <si>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</si>
  <si>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</si>
  <si>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</si>
  <si>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</si>
  <si>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</si>
  <si>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</si>
  <si>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</si>
  <si>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</si>
  <si>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</si>
  <si>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</si>
  <si>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</si>
  <si>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</si>
  <si>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</si>
  <si>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</si>
  <si>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</si>
  <si>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</si>
  <si>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</si>
  <si>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</si>
  <si>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</si>
  <si>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</si>
  <si>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</si>
  <si>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</si>
  <si>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</si>
  <si>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</si>
  <si>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</si>
  <si>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</si>
  <si>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</si>
  <si>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</si>
  <si>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</si>
  <si>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</si>
  <si>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</si>
  <si>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</si>
  <si>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</si>
  <si>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</si>
  <si>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</si>
  <si>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</si>
  <si>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</si>
  <si>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</si>
  <si>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</si>
  <si>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</si>
  <si>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</si>
  <si>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</si>
  <si>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</si>
  <si>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</si>
  <si>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</si>
  <si>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</si>
  <si>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</si>
  <si>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</si>
  <si>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</si>
  <si>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</si>
  <si>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</si>
  <si>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</si>
  <si>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</si>
  <si>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</si>
  <si>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</si>
  <si>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</si>
  <si>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</si>
  <si>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</si>
  <si>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</si>
  <si>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</si>
  <si>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</si>
  <si>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</si>
  <si>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</si>
  <si>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</si>
  <si>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</si>
  <si>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</si>
  <si>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</si>
  <si>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</si>
  <si>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</si>
  <si>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</si>
  <si>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</si>
  <si>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</si>
  <si>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</si>
  <si>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</si>
  <si>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</si>
  <si>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</si>
  <si>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</si>
  <si>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</si>
  <si>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</si>
  <si>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Reflects inclusion of VEPCO Rider GEN</t>
  </si>
  <si>
    <t>Virginia - Rider 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</si>
</sst>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0" fontId="6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'C1-01-Staff-302 Attachment 2'!$J$10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'C1-01-Staff-302 Attachment 2'!$C$9:$I$9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Attachment 2'!$C$10:$I$10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'C1-01-Staff-302 Attachment 2'!$J$11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Attachment 2'!$C$9:$I$9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Attachment 2'!$C$11:$I$11</c:f>
              <c:numCache>
                <c:formatCode>0.00%</c:formatCode>
                <c:ptCount val="7"/>
                <c:pt idx="0">
                  <c:v>7.735373038385579E-2</c:v>
                </c:pt>
                <c:pt idx="1">
                  <c:v>0.13209777777777765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'C1-01-Staff-302 Attachment 2'!$J$12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Attachment 2'!$C$9:$I$9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Attachment 2'!$C$12:$I$12</c:f>
              <c:numCache>
                <c:formatCode>0.00%</c:formatCode>
                <c:ptCount val="7"/>
                <c:pt idx="0">
                  <c:v>1.589482102883677E-3</c:v>
                </c:pt>
                <c:pt idx="1">
                  <c:v>1.7202222222222341E-2</c:v>
                </c:pt>
                <c:pt idx="2">
                  <c:v>3.3695505454500729E-3</c:v>
                </c:pt>
                <c:pt idx="3">
                  <c:v>3.0250000000000554E-3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'C1-01-Staff-302 Attachment 2'!$J$13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Attachment 2'!$C$9:$I$9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Attachment 2'!$C$13:$I$13</c:f>
              <c:numCache>
                <c:formatCode>0.00%</c:formatCode>
                <c:ptCount val="7"/>
                <c:pt idx="0">
                  <c:v>0.11332985573898613</c:v>
                </c:pt>
                <c:pt idx="1">
                  <c:v>7.669999999999999E-2</c:v>
                </c:pt>
                <c:pt idx="2">
                  <c:v>7.5649674361365271E-2</c:v>
                </c:pt>
                <c:pt idx="3">
                  <c:v>6.7974999999999897E-2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'C1-01-Staff-302 Attachment 2'!$J$14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'C1-01-Staff-302 Attachment 2'!$C$9:$H$9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'C1-01-Staff-302 Attachment 2'!$C$14:$I$14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zoomScaleNormal="100" workbookViewId="0">
      <selection activeCell="G17" sqref="G17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3" t="s">
        <v>259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0.52961287916007183</v>
      </c>
      <c r="D4" s="2">
        <f>'Authorized Equity Ratios'!F75</f>
        <v>0.50209777777777764</v>
      </c>
      <c r="E4" s="2">
        <f>'Summary Actual Equity Ratios'!K29</f>
        <v>0.5288925923606147</v>
      </c>
      <c r="F4" s="2">
        <f>'Authorized Equity Ratios'!F80</f>
        <v>0.52802500000000008</v>
      </c>
      <c r="G4" s="2">
        <f>'Summary Actual Equity Ratios'!K34</f>
        <v>0.51753330898537153</v>
      </c>
      <c r="H4" s="2">
        <f>'Authorized Equity Ratios'!F85</f>
        <v>0.50492857142857139</v>
      </c>
      <c r="I4" s="2">
        <f>'Authorized Equity Ratios'!F89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Ratios'!F76</f>
        <v>0.51929999999999998</v>
      </c>
      <c r="E5" s="2">
        <f>'Summary Actual Equity Ratios'!K30</f>
        <v>0.53226214290606477</v>
      </c>
      <c r="F5" s="2">
        <f>'Authorized Equity Ratios'!F81</f>
        <v>0.52500000000000002</v>
      </c>
      <c r="G5" s="2">
        <f>'Summary Actual Equity Ratios'!K35</f>
        <v>0.52538643115427863</v>
      </c>
      <c r="H5" s="2">
        <f>'Authorized Equity Ratios'!F86</f>
        <v>0.5</v>
      </c>
      <c r="I5" s="2">
        <f>'Authorized Equity Ratios'!F90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Ratios'!F77</f>
        <v>0.37</v>
      </c>
      <c r="E6" s="2">
        <f>'Summary Actual Equity Ratios'!K31</f>
        <v>0.46559959449903265</v>
      </c>
      <c r="F6" s="2">
        <f>'Authorized Equity Ratios'!F82</f>
        <v>0.50130000000000008</v>
      </c>
      <c r="G6" s="2">
        <f>'Summary Actual Equity Ratios'!K36</f>
        <v>0.45066966667333236</v>
      </c>
      <c r="H6" s="2">
        <f>'Authorized Equity Ratios'!F87</f>
        <v>0.48</v>
      </c>
      <c r="I6" s="2">
        <f>'Authorized Equity Ratios'!F91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Ratios'!F78</f>
        <v>0.59599999999999997</v>
      </c>
      <c r="E7" s="2">
        <f>'Summary Actual Equity Ratios'!K32</f>
        <v>0.60791181726743004</v>
      </c>
      <c r="F7" s="2">
        <f>'Authorized Equity Ratios'!F83</f>
        <v>0.59599999999999997</v>
      </c>
      <c r="G7" s="2">
        <f>'Summary Actual Equity Ratios'!K37</f>
        <v>0.59703265188304666</v>
      </c>
      <c r="H7" s="2">
        <f>'Authorized Equity Ratios'!F88</f>
        <v>0.53</v>
      </c>
      <c r="I7" s="2">
        <f>'Authorized Equity Ratios'!F92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7.735373038385579E-2</v>
      </c>
      <c r="D11" s="10">
        <f t="shared" si="3"/>
        <v>0.13209777777777765</v>
      </c>
      <c r="E11" s="10">
        <f t="shared" si="3"/>
        <v>6.3292997861582045E-2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1.589482102883677E-3</v>
      </c>
      <c r="D12" s="10">
        <f t="shared" si="5"/>
        <v>1.7202222222222341E-2</v>
      </c>
      <c r="E12" s="10">
        <f t="shared" si="5"/>
        <v>3.3695505454500729E-3</v>
      </c>
      <c r="F12" s="10">
        <f t="shared" ref="F12:G12" si="6">MAX(F4:F5)-MIN(F4:F5)</f>
        <v>3.0250000000000554E-3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0.11332985573898613</v>
      </c>
      <c r="D13" s="10">
        <f t="shared" ref="D13:H13" si="7">D7-MAX(D4:D5)</f>
        <v>7.669999999999999E-2</v>
      </c>
      <c r="E13" s="10">
        <f t="shared" si="7"/>
        <v>7.5649674361365271E-2</v>
      </c>
      <c r="F13" s="10">
        <f t="shared" ref="F13:G13" si="8">F7-MAX(F4:F5)</f>
        <v>6.7974999999999897E-2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1"/>
  <sheetViews>
    <sheetView zoomScale="85" zoomScaleNormal="85" workbookViewId="0">
      <selection activeCell="H23" sqref="H23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1" t="s">
        <v>25</v>
      </c>
      <c r="C2" s="71"/>
      <c r="D2" s="71"/>
      <c r="E2" s="71"/>
      <c r="F2" s="71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5" si="0">C4</f>
        <v>Minnesota</v>
      </c>
    </row>
    <row r="5" spans="2:16" x14ac:dyDescent="0.45">
      <c r="B5" s="17" t="s">
        <v>44</v>
      </c>
      <c r="C5" s="17" t="str">
        <f t="shared" ref="C5:C69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9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s="79" customFormat="1" x14ac:dyDescent="0.45">
      <c r="B22" s="74" t="s">
        <v>84</v>
      </c>
      <c r="C22" s="74" t="s">
        <v>260</v>
      </c>
      <c r="D22" s="75" t="s">
        <v>85</v>
      </c>
      <c r="E22" s="75" t="s">
        <v>38</v>
      </c>
      <c r="F22" s="76">
        <v>0.51990000000000003</v>
      </c>
      <c r="G22" s="76"/>
      <c r="H22" s="77" t="s">
        <v>51</v>
      </c>
      <c r="I22" s="77"/>
      <c r="J22" s="75" t="s">
        <v>41</v>
      </c>
      <c r="K22" s="75"/>
      <c r="L22" s="74" t="s">
        <v>86</v>
      </c>
      <c r="M22" s="74" t="s">
        <v>60</v>
      </c>
      <c r="N22" s="74" t="s">
        <v>38</v>
      </c>
      <c r="O22" s="78" t="s">
        <v>87</v>
      </c>
      <c r="P22" s="77" t="s">
        <v>60</v>
      </c>
    </row>
    <row r="23" spans="2:16" x14ac:dyDescent="0.45">
      <c r="B23" s="17" t="s">
        <v>89</v>
      </c>
      <c r="C23" s="17" t="str">
        <f t="shared" si="1"/>
        <v>South Carolina</v>
      </c>
      <c r="D23" s="16" t="s">
        <v>85</v>
      </c>
      <c r="E23" s="16" t="s">
        <v>38</v>
      </c>
      <c r="F23" s="27">
        <v>0.52510000000000001</v>
      </c>
      <c r="G23" s="27"/>
      <c r="H23" s="15" t="s">
        <v>51</v>
      </c>
      <c r="I23" s="15" t="s">
        <v>39</v>
      </c>
      <c r="J23" s="16" t="s">
        <v>90</v>
      </c>
      <c r="K23" s="16"/>
      <c r="L23" s="17" t="s">
        <v>89</v>
      </c>
      <c r="M23" s="17" t="s">
        <v>91</v>
      </c>
      <c r="N23" s="17" t="s">
        <v>38</v>
      </c>
      <c r="O23" s="18" t="str">
        <f t="shared" si="2"/>
        <v>Dominion Energy South CarolinaSouth CarolinaElectric</v>
      </c>
      <c r="P23" s="15" t="str">
        <f t="shared" si="0"/>
        <v>South Carolina</v>
      </c>
    </row>
    <row r="24" spans="2:16" x14ac:dyDescent="0.45">
      <c r="B24" s="17" t="s">
        <v>92</v>
      </c>
      <c r="C24" s="17" t="str">
        <f t="shared" si="1"/>
        <v>North Carolina</v>
      </c>
      <c r="D24" s="16" t="s">
        <v>93</v>
      </c>
      <c r="E24" s="16" t="s">
        <v>38</v>
      </c>
      <c r="F24" s="27">
        <v>0.53</v>
      </c>
      <c r="G24" s="27"/>
      <c r="H24" s="15" t="s">
        <v>51</v>
      </c>
      <c r="I24" s="15" t="s">
        <v>40</v>
      </c>
      <c r="J24" s="16" t="s">
        <v>41</v>
      </c>
      <c r="K24" s="16"/>
      <c r="L24" s="17" t="s">
        <v>94</v>
      </c>
      <c r="M24" s="17" t="s">
        <v>88</v>
      </c>
      <c r="N24" s="17" t="s">
        <v>38</v>
      </c>
      <c r="O24" s="18" t="str">
        <f t="shared" si="2"/>
        <v>Duke Energy Carolinas LLCNorth CarolinaElectric</v>
      </c>
      <c r="P24" s="15" t="str">
        <f t="shared" si="0"/>
        <v>North Carolina</v>
      </c>
    </row>
    <row r="25" spans="2:16" x14ac:dyDescent="0.45">
      <c r="B25" s="17" t="s">
        <v>92</v>
      </c>
      <c r="C25" s="17" t="str">
        <f t="shared" si="1"/>
        <v>South Carolina</v>
      </c>
      <c r="D25" s="16" t="s">
        <v>93</v>
      </c>
      <c r="E25" s="16" t="s">
        <v>38</v>
      </c>
      <c r="F25" s="27">
        <v>0.5121</v>
      </c>
      <c r="G25" s="27"/>
      <c r="H25" s="15" t="s">
        <v>51</v>
      </c>
      <c r="I25" s="15" t="s">
        <v>40</v>
      </c>
      <c r="J25" s="16" t="s">
        <v>90</v>
      </c>
      <c r="K25" s="16"/>
      <c r="L25" s="17" t="s">
        <v>94</v>
      </c>
      <c r="M25" s="17" t="s">
        <v>91</v>
      </c>
      <c r="N25" s="17" t="s">
        <v>38</v>
      </c>
      <c r="O25" s="18" t="str">
        <f t="shared" si="2"/>
        <v>Duke Energy Carolinas LLCSouth CarolinaElectric</v>
      </c>
      <c r="P25" s="15" t="str">
        <f t="shared" si="0"/>
        <v>South Carolina</v>
      </c>
    </row>
    <row r="26" spans="2:16" x14ac:dyDescent="0.45">
      <c r="B26" s="17" t="s">
        <v>95</v>
      </c>
      <c r="C26" s="17" t="str">
        <f t="shared" si="1"/>
        <v>Florida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65</v>
      </c>
      <c r="K26" s="16"/>
      <c r="L26" s="17" t="s">
        <v>96</v>
      </c>
      <c r="M26" s="17" t="s">
        <v>97</v>
      </c>
      <c r="N26" s="17" t="s">
        <v>38</v>
      </c>
      <c r="O26" s="18" t="str">
        <f t="shared" si="2"/>
        <v>Duke Energy Florida LLCFloridaElectric</v>
      </c>
      <c r="P26" s="15" t="str">
        <f t="shared" si="0"/>
        <v>Florida</v>
      </c>
    </row>
    <row r="27" spans="2:16" x14ac:dyDescent="0.45">
      <c r="B27" s="17" t="s">
        <v>98</v>
      </c>
      <c r="C27" s="17" t="str">
        <f t="shared" si="1"/>
        <v>Indiana</v>
      </c>
      <c r="D27" s="16" t="s">
        <v>93</v>
      </c>
      <c r="E27" s="16" t="s">
        <v>38</v>
      </c>
      <c r="F27" s="27" t="s">
        <v>50</v>
      </c>
      <c r="G27" s="27"/>
      <c r="H27" s="15" t="s">
        <v>39</v>
      </c>
      <c r="I27" s="15" t="s">
        <v>39</v>
      </c>
      <c r="J27" s="16" t="s">
        <v>41</v>
      </c>
      <c r="K27" s="16"/>
      <c r="L27" s="17" t="s">
        <v>98</v>
      </c>
      <c r="M27" s="17" t="s">
        <v>64</v>
      </c>
      <c r="N27" s="17" t="s">
        <v>38</v>
      </c>
      <c r="O27" s="18" t="str">
        <f t="shared" si="2"/>
        <v>Duke Energy Indiana, LLCIndianaElectric</v>
      </c>
      <c r="P27" s="15" t="str">
        <f t="shared" si="0"/>
        <v>Indiana</v>
      </c>
    </row>
    <row r="28" spans="2:16" x14ac:dyDescent="0.45">
      <c r="B28" s="17" t="s">
        <v>99</v>
      </c>
      <c r="C28" s="17" t="str">
        <f t="shared" si="1"/>
        <v>Kentucky</v>
      </c>
      <c r="D28" s="16" t="s">
        <v>93</v>
      </c>
      <c r="E28" s="16" t="s">
        <v>38</v>
      </c>
      <c r="F28" s="27">
        <v>0.52149999999999996</v>
      </c>
      <c r="G28" s="27"/>
      <c r="H28" s="15" t="s">
        <v>39</v>
      </c>
      <c r="I28" s="15" t="s">
        <v>39</v>
      </c>
      <c r="J28" s="16" t="s">
        <v>65</v>
      </c>
      <c r="K28" s="16"/>
      <c r="L28" s="17" t="s">
        <v>100</v>
      </c>
      <c r="M28" s="17" t="s">
        <v>69</v>
      </c>
      <c r="N28" s="17" t="s">
        <v>38</v>
      </c>
      <c r="O28" s="18" t="str">
        <f t="shared" si="2"/>
        <v>Duke Energy Kentucky Inc.KentuckyElectric</v>
      </c>
      <c r="P28" s="15" t="str">
        <f t="shared" si="0"/>
        <v>Kentucky</v>
      </c>
    </row>
    <row r="29" spans="2:16" x14ac:dyDescent="0.45">
      <c r="B29" s="17" t="s">
        <v>101</v>
      </c>
      <c r="C29" s="17" t="str">
        <f t="shared" si="1"/>
        <v>Ohio</v>
      </c>
      <c r="D29" s="16" t="s">
        <v>93</v>
      </c>
      <c r="E29" s="16" t="s">
        <v>38</v>
      </c>
      <c r="F29" s="27">
        <v>0.505</v>
      </c>
      <c r="G29" s="27"/>
      <c r="H29" s="15" t="s">
        <v>39</v>
      </c>
      <c r="I29" s="15" t="s">
        <v>39</v>
      </c>
      <c r="J29" s="16" t="s">
        <v>46</v>
      </c>
      <c r="K29" s="16"/>
      <c r="L29" s="17" t="s">
        <v>102</v>
      </c>
      <c r="M29" s="17" t="s">
        <v>74</v>
      </c>
      <c r="N29" s="17" t="s">
        <v>38</v>
      </c>
      <c r="O29" s="18" t="str">
        <f t="shared" si="2"/>
        <v>Duke Energy Ohio Inc.OhioElectric</v>
      </c>
      <c r="P29" s="15" t="str">
        <f t="shared" si="0"/>
        <v>Ohio</v>
      </c>
    </row>
    <row r="30" spans="2:16" x14ac:dyDescent="0.45">
      <c r="B30" s="17" t="s">
        <v>103</v>
      </c>
      <c r="C30" s="17" t="str">
        <f t="shared" si="1"/>
        <v>North Carolina</v>
      </c>
      <c r="D30" s="16" t="s">
        <v>93</v>
      </c>
      <c r="E30" s="16" t="s">
        <v>38</v>
      </c>
      <c r="F30" s="27">
        <v>0.53</v>
      </c>
      <c r="G30" s="27"/>
      <c r="H30" s="15" t="s">
        <v>51</v>
      </c>
      <c r="I30" s="15" t="s">
        <v>39</v>
      </c>
      <c r="J30" s="16" t="s">
        <v>41</v>
      </c>
      <c r="K30" s="16"/>
      <c r="L30" s="17" t="s">
        <v>104</v>
      </c>
      <c r="M30" s="17" t="s">
        <v>88</v>
      </c>
      <c r="N30" s="17" t="s">
        <v>38</v>
      </c>
      <c r="O30" s="18" t="str">
        <f t="shared" si="2"/>
        <v>Duke Energy Progress LLCNorth CarolinaElectric</v>
      </c>
      <c r="P30" s="15" t="str">
        <f t="shared" si="0"/>
        <v>North Carolina</v>
      </c>
    </row>
    <row r="31" spans="2:16" x14ac:dyDescent="0.45">
      <c r="B31" s="17" t="s">
        <v>103</v>
      </c>
      <c r="C31" s="17" t="str">
        <f t="shared" si="1"/>
        <v>South Carolina</v>
      </c>
      <c r="D31" s="16" t="s">
        <v>93</v>
      </c>
      <c r="E31" s="16" t="s">
        <v>38</v>
      </c>
      <c r="F31" s="27">
        <v>0.52429999999999999</v>
      </c>
      <c r="G31" s="27"/>
      <c r="H31" s="15" t="s">
        <v>51</v>
      </c>
      <c r="I31" s="15" t="s">
        <v>39</v>
      </c>
      <c r="J31" s="16" t="s">
        <v>90</v>
      </c>
      <c r="K31" s="16"/>
      <c r="L31" s="17" t="s">
        <v>104</v>
      </c>
      <c r="M31" s="17" t="s">
        <v>91</v>
      </c>
      <c r="N31" s="17" t="s">
        <v>38</v>
      </c>
      <c r="O31" s="18" t="str">
        <f t="shared" si="2"/>
        <v>Duke Energy Progress LLCSouth CarolinaElectric</v>
      </c>
      <c r="P31" s="15" t="str">
        <f t="shared" si="0"/>
        <v>South Carolina</v>
      </c>
    </row>
    <row r="32" spans="2:16" x14ac:dyDescent="0.45">
      <c r="B32" s="17" t="s">
        <v>105</v>
      </c>
      <c r="C32" s="17" t="str">
        <f t="shared" si="1"/>
        <v>California</v>
      </c>
      <c r="D32" s="16" t="s">
        <v>106</v>
      </c>
      <c r="E32" s="16" t="s">
        <v>38</v>
      </c>
      <c r="F32" s="27" t="s">
        <v>50</v>
      </c>
      <c r="G32" s="27"/>
      <c r="H32" s="15" t="s">
        <v>51</v>
      </c>
      <c r="I32" s="15" t="s">
        <v>40</v>
      </c>
      <c r="J32" s="16" t="s">
        <v>90</v>
      </c>
      <c r="K32" s="16"/>
      <c r="L32" s="17" t="s">
        <v>107</v>
      </c>
      <c r="M32" s="17" t="s">
        <v>108</v>
      </c>
      <c r="N32" s="17" t="s">
        <v>38</v>
      </c>
      <c r="O32" s="18" t="str">
        <f t="shared" si="2"/>
        <v>Southern California Edison Co.CaliforniaElectric</v>
      </c>
      <c r="P32" s="15" t="str">
        <f t="shared" si="0"/>
        <v>California</v>
      </c>
    </row>
    <row r="33" spans="2:16" x14ac:dyDescent="0.45">
      <c r="B33" s="17" t="s">
        <v>109</v>
      </c>
      <c r="C33" s="17" t="str">
        <f t="shared" si="1"/>
        <v>Arkansas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111</v>
      </c>
      <c r="M33" s="17" t="s">
        <v>81</v>
      </c>
      <c r="N33" s="17" t="s">
        <v>38</v>
      </c>
      <c r="O33" s="18" t="str">
        <f t="shared" si="2"/>
        <v>Entergy Arkansas LLCArkansasElectric</v>
      </c>
      <c r="P33" s="15" t="str">
        <f t="shared" si="0"/>
        <v>Arkansas</v>
      </c>
    </row>
    <row r="34" spans="2:16" x14ac:dyDescent="0.45">
      <c r="B34" s="17" t="s">
        <v>112</v>
      </c>
      <c r="C34" s="17" t="str">
        <f t="shared" si="1"/>
        <v>Louisiana</v>
      </c>
      <c r="D34" s="16" t="s">
        <v>110</v>
      </c>
      <c r="E34" s="16" t="s">
        <v>38</v>
      </c>
      <c r="F34" s="27" t="s">
        <v>50</v>
      </c>
      <c r="G34" s="27"/>
      <c r="H34" s="15" t="s">
        <v>51</v>
      </c>
      <c r="I34" s="15" t="s">
        <v>39</v>
      </c>
      <c r="J34" s="16" t="s">
        <v>41</v>
      </c>
      <c r="K34" s="16"/>
      <c r="L34" s="17" t="s">
        <v>113</v>
      </c>
      <c r="M34" s="28" t="s">
        <v>80</v>
      </c>
      <c r="N34" s="17" t="s">
        <v>38</v>
      </c>
      <c r="O34" s="18" t="str">
        <f t="shared" si="2"/>
        <v>Entergy Louisiana LLCLouisianaElectric</v>
      </c>
      <c r="P34" s="15" t="str">
        <f t="shared" si="0"/>
        <v>Louisiana</v>
      </c>
    </row>
    <row r="35" spans="2:16" x14ac:dyDescent="0.45">
      <c r="B35" s="17" t="s">
        <v>114</v>
      </c>
      <c r="C35" s="17" t="str">
        <f t="shared" si="1"/>
        <v>Mississippi</v>
      </c>
      <c r="D35" s="16" t="s">
        <v>110</v>
      </c>
      <c r="E35" s="16" t="s">
        <v>38</v>
      </c>
      <c r="F35" s="27" t="s">
        <v>50</v>
      </c>
      <c r="G35" s="27"/>
      <c r="H35" s="15" t="s">
        <v>39</v>
      </c>
      <c r="I35" s="15" t="s">
        <v>39</v>
      </c>
      <c r="J35" s="16" t="s">
        <v>41</v>
      </c>
      <c r="K35" s="16"/>
      <c r="L35" s="17" t="s">
        <v>115</v>
      </c>
      <c r="M35" s="28" t="s">
        <v>116</v>
      </c>
      <c r="N35" s="17" t="s">
        <v>38</v>
      </c>
      <c r="O35" s="18" t="str">
        <f t="shared" si="2"/>
        <v>Entergy Mississippi LLCMississippiElectric</v>
      </c>
      <c r="P35" s="15" t="str">
        <f t="shared" si="0"/>
        <v>Mississippi</v>
      </c>
    </row>
    <row r="36" spans="2:16" x14ac:dyDescent="0.45">
      <c r="B36" s="17" t="s">
        <v>117</v>
      </c>
      <c r="C36" s="17" t="str">
        <f t="shared" si="1"/>
        <v>Louisiana</v>
      </c>
      <c r="D36" s="16" t="s">
        <v>110</v>
      </c>
      <c r="E36" s="16" t="s">
        <v>38</v>
      </c>
      <c r="F36" s="27">
        <v>0.5</v>
      </c>
      <c r="G36" s="27"/>
      <c r="H36" s="15" t="s">
        <v>39</v>
      </c>
      <c r="I36" s="15" t="s">
        <v>39</v>
      </c>
      <c r="J36" s="16" t="s">
        <v>90</v>
      </c>
      <c r="K36" s="16"/>
      <c r="L36" s="28" t="s">
        <v>118</v>
      </c>
      <c r="M36" s="28" t="s">
        <v>80</v>
      </c>
      <c r="N36" s="17" t="s">
        <v>38</v>
      </c>
      <c r="O36" s="18" t="str">
        <f t="shared" si="2"/>
        <v>Entergy New Orleans LLCLouisianaElectric</v>
      </c>
      <c r="P36" s="15" t="s">
        <v>119</v>
      </c>
    </row>
    <row r="37" spans="2:16" x14ac:dyDescent="0.45">
      <c r="B37" s="17" t="s">
        <v>120</v>
      </c>
      <c r="C37" s="17" t="str">
        <f t="shared" si="1"/>
        <v>Texas</v>
      </c>
      <c r="D37" s="16" t="s">
        <v>110</v>
      </c>
      <c r="E37" s="16" t="s">
        <v>38</v>
      </c>
      <c r="F37" s="27">
        <v>0.5121</v>
      </c>
      <c r="G37" s="27"/>
      <c r="H37" s="15" t="s">
        <v>39</v>
      </c>
      <c r="I37" s="15" t="s">
        <v>39</v>
      </c>
      <c r="J37" s="16" t="s">
        <v>46</v>
      </c>
      <c r="K37" s="16"/>
      <c r="L37" s="28" t="s">
        <v>121</v>
      </c>
      <c r="M37" s="28" t="s">
        <v>57</v>
      </c>
      <c r="N37" s="17" t="s">
        <v>38</v>
      </c>
      <c r="O37" s="18" t="str">
        <f t="shared" si="2"/>
        <v>Entergy Texas Inc.TexasElectric</v>
      </c>
      <c r="P37" s="15" t="str">
        <f t="shared" ref="P37:P74" si="3">C37</f>
        <v>Texas</v>
      </c>
    </row>
    <row r="38" spans="2:16" x14ac:dyDescent="0.45">
      <c r="B38" s="17" t="s">
        <v>122</v>
      </c>
      <c r="C38" s="17" t="str">
        <f t="shared" si="1"/>
        <v>Kansas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41</v>
      </c>
      <c r="K38" s="16"/>
      <c r="L38" s="28" t="s">
        <v>124</v>
      </c>
      <c r="M38" s="28" t="s">
        <v>125</v>
      </c>
      <c r="N38" s="17" t="s">
        <v>38</v>
      </c>
      <c r="O38" s="18" t="str">
        <f t="shared" si="2"/>
        <v>Evergy Metro IncKansasElectric</v>
      </c>
      <c r="P38" s="15" t="str">
        <f t="shared" si="3"/>
        <v>Kansas</v>
      </c>
    </row>
    <row r="39" spans="2:16" x14ac:dyDescent="0.45">
      <c r="B39" s="17" t="s">
        <v>122</v>
      </c>
      <c r="C39" s="17" t="str">
        <f t="shared" si="1"/>
        <v>Missouri</v>
      </c>
      <c r="D39" s="16" t="s">
        <v>123</v>
      </c>
      <c r="E39" s="16" t="s">
        <v>38</v>
      </c>
      <c r="F39" s="27" t="s">
        <v>50</v>
      </c>
      <c r="G39" s="27"/>
      <c r="H39" s="15" t="s">
        <v>51</v>
      </c>
      <c r="I39" s="15" t="s">
        <v>39</v>
      </c>
      <c r="J39" s="16" t="s">
        <v>46</v>
      </c>
      <c r="K39" s="16"/>
      <c r="L39" s="28" t="s">
        <v>124</v>
      </c>
      <c r="M39" s="28" t="s">
        <v>53</v>
      </c>
      <c r="N39" s="17" t="s">
        <v>38</v>
      </c>
      <c r="O39" s="18" t="str">
        <f t="shared" si="2"/>
        <v>Evergy Metro IncMissouriElectric</v>
      </c>
      <c r="P39" s="15" t="str">
        <f t="shared" si="3"/>
        <v>Missouri</v>
      </c>
    </row>
    <row r="40" spans="2:16" x14ac:dyDescent="0.45">
      <c r="B40" s="17" t="s">
        <v>126</v>
      </c>
      <c r="C40" s="17" t="str">
        <f t="shared" si="1"/>
        <v>Kansas</v>
      </c>
      <c r="D40" s="16" t="s">
        <v>123</v>
      </c>
      <c r="E40" s="16" t="s">
        <v>38</v>
      </c>
      <c r="F40" s="27">
        <v>0.50130000000000008</v>
      </c>
      <c r="G40" s="27"/>
      <c r="H40" s="15" t="s">
        <v>51</v>
      </c>
      <c r="I40" s="15" t="s">
        <v>39</v>
      </c>
      <c r="J40" s="16" t="s">
        <v>41</v>
      </c>
      <c r="K40" s="16"/>
      <c r="L40" s="28" t="s">
        <v>126</v>
      </c>
      <c r="M40" s="28" t="s">
        <v>125</v>
      </c>
      <c r="N40" s="17" t="s">
        <v>38</v>
      </c>
      <c r="O40" s="18" t="str">
        <f t="shared" si="2"/>
        <v>Evergy Kansas SouthKansasElectric</v>
      </c>
      <c r="P40" s="15" t="str">
        <f t="shared" si="3"/>
        <v>Kansas</v>
      </c>
    </row>
    <row r="41" spans="2:16" x14ac:dyDescent="0.45">
      <c r="B41" s="17" t="s">
        <v>127</v>
      </c>
      <c r="C41" s="17" t="str">
        <f t="shared" si="1"/>
        <v>Missouri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46</v>
      </c>
      <c r="K41" s="16"/>
      <c r="L41" s="28" t="s">
        <v>128</v>
      </c>
      <c r="M41" s="28" t="s">
        <v>53</v>
      </c>
      <c r="N41" s="17" t="s">
        <v>38</v>
      </c>
      <c r="O41" s="18" t="str">
        <f t="shared" si="2"/>
        <v>Evergy Missouri WestMissouriElectric</v>
      </c>
      <c r="P41" s="15" t="str">
        <f t="shared" si="3"/>
        <v>Missouri</v>
      </c>
    </row>
    <row r="42" spans="2:16" x14ac:dyDescent="0.45">
      <c r="B42" s="17" t="s">
        <v>129</v>
      </c>
      <c r="C42" s="17" t="str">
        <f t="shared" si="1"/>
        <v>Kansas</v>
      </c>
      <c r="D42" s="16" t="s">
        <v>123</v>
      </c>
      <c r="E42" s="16" t="s">
        <v>38</v>
      </c>
      <c r="F42" s="27" t="s">
        <v>50</v>
      </c>
      <c r="G42" s="27"/>
      <c r="H42" s="15" t="s">
        <v>39</v>
      </c>
      <c r="I42" s="15" t="s">
        <v>39</v>
      </c>
      <c r="J42" s="16" t="s">
        <v>41</v>
      </c>
      <c r="K42" s="16"/>
      <c r="L42" s="28" t="s">
        <v>130</v>
      </c>
      <c r="M42" s="28" t="s">
        <v>125</v>
      </c>
      <c r="N42" s="17" t="s">
        <v>38</v>
      </c>
      <c r="O42" s="18" t="str">
        <f t="shared" si="2"/>
        <v>Evergy Kansas Central Inc.KansasElectric</v>
      </c>
      <c r="P42" s="15" t="str">
        <f t="shared" si="3"/>
        <v>Kansas</v>
      </c>
    </row>
    <row r="43" spans="2:16" x14ac:dyDescent="0.45">
      <c r="B43" s="17" t="s">
        <v>131</v>
      </c>
      <c r="C43" s="17" t="str">
        <f t="shared" si="1"/>
        <v>Idaho</v>
      </c>
      <c r="D43" s="16" t="s">
        <v>132</v>
      </c>
      <c r="E43" s="16" t="s">
        <v>38</v>
      </c>
      <c r="F43" s="27" t="s">
        <v>50</v>
      </c>
      <c r="G43" s="27"/>
      <c r="H43" s="15" t="s">
        <v>39</v>
      </c>
      <c r="I43" s="15" t="s">
        <v>40</v>
      </c>
      <c r="J43" s="16" t="s">
        <v>46</v>
      </c>
      <c r="K43" s="16"/>
      <c r="L43" s="28" t="s">
        <v>131</v>
      </c>
      <c r="M43" s="28" t="s">
        <v>133</v>
      </c>
      <c r="N43" s="17" t="s">
        <v>38</v>
      </c>
      <c r="O43" s="18" t="str">
        <f t="shared" si="2"/>
        <v>Idaho Power Co.IdahoElectric</v>
      </c>
      <c r="P43" s="15" t="str">
        <f t="shared" si="3"/>
        <v>Idaho</v>
      </c>
    </row>
    <row r="44" spans="2:16" x14ac:dyDescent="0.45">
      <c r="B44" s="17" t="s">
        <v>131</v>
      </c>
      <c r="C44" s="17" t="str">
        <f t="shared" si="1"/>
        <v>Oregon</v>
      </c>
      <c r="D44" s="16" t="s">
        <v>132</v>
      </c>
      <c r="E44" s="16" t="s">
        <v>38</v>
      </c>
      <c r="F44" s="27">
        <v>0.5</v>
      </c>
      <c r="G44" s="27"/>
      <c r="H44" s="15" t="s">
        <v>39</v>
      </c>
      <c r="I44" s="15" t="s">
        <v>40</v>
      </c>
      <c r="J44" s="16" t="s">
        <v>90</v>
      </c>
      <c r="K44" s="16"/>
      <c r="L44" s="28" t="s">
        <v>131</v>
      </c>
      <c r="M44" s="28" t="s">
        <v>134</v>
      </c>
      <c r="N44" s="17" t="s">
        <v>38</v>
      </c>
      <c r="O44" s="18" t="str">
        <f t="shared" si="2"/>
        <v>Idaho Power Co.OregonElectric</v>
      </c>
      <c r="P44" s="15" t="str">
        <f t="shared" si="3"/>
        <v>Oregon</v>
      </c>
    </row>
    <row r="45" spans="2:16" x14ac:dyDescent="0.45">
      <c r="B45" s="17" t="s">
        <v>135</v>
      </c>
      <c r="C45" s="17" t="str">
        <f t="shared" si="1"/>
        <v>Florida</v>
      </c>
      <c r="D45" s="16" t="s">
        <v>136</v>
      </c>
      <c r="E45" s="16" t="s">
        <v>38</v>
      </c>
      <c r="F45" s="29">
        <v>0.59599999999999997</v>
      </c>
      <c r="G45" s="29"/>
      <c r="H45" s="15" t="s">
        <v>51</v>
      </c>
      <c r="I45" s="15" t="s">
        <v>39</v>
      </c>
      <c r="J45" s="16" t="s">
        <v>65</v>
      </c>
      <c r="K45" s="16"/>
      <c r="L45" s="28" t="s">
        <v>137</v>
      </c>
      <c r="M45" s="28" t="s">
        <v>97</v>
      </c>
      <c r="N45" s="17" t="s">
        <v>38</v>
      </c>
      <c r="O45" s="18" t="str">
        <f t="shared" si="2"/>
        <v>Florida Power &amp; Light Co.FloridaElectric</v>
      </c>
      <c r="P45" s="15" t="str">
        <f t="shared" si="3"/>
        <v>Florida</v>
      </c>
    </row>
    <row r="46" spans="2:16" x14ac:dyDescent="0.45">
      <c r="B46" s="17" t="s">
        <v>138</v>
      </c>
      <c r="C46" s="17" t="str">
        <f t="shared" si="1"/>
        <v>Arizona</v>
      </c>
      <c r="D46" s="16" t="s">
        <v>139</v>
      </c>
      <c r="E46" s="16" t="s">
        <v>38</v>
      </c>
      <c r="F46" s="27">
        <v>0.51929999999999998</v>
      </c>
      <c r="G46" s="27"/>
      <c r="H46" s="15" t="s">
        <v>51</v>
      </c>
      <c r="I46" s="15" t="s">
        <v>39</v>
      </c>
      <c r="J46" s="16" t="s">
        <v>90</v>
      </c>
      <c r="K46" s="16"/>
      <c r="L46" s="28" t="s">
        <v>140</v>
      </c>
      <c r="M46" s="28" t="s">
        <v>141</v>
      </c>
      <c r="N46" s="17" t="s">
        <v>38</v>
      </c>
      <c r="O46" s="18" t="str">
        <f t="shared" si="2"/>
        <v>Arizona Public Service Co.ArizonaElectric</v>
      </c>
      <c r="P46" s="15" t="str">
        <f t="shared" si="3"/>
        <v>Arizona</v>
      </c>
    </row>
    <row r="47" spans="2:16" x14ac:dyDescent="0.45">
      <c r="B47" s="17" t="s">
        <v>142</v>
      </c>
      <c r="C47" s="17" t="str">
        <f t="shared" si="1"/>
        <v>New Mexico</v>
      </c>
      <c r="D47" s="16" t="s">
        <v>143</v>
      </c>
      <c r="E47" s="16" t="s">
        <v>38</v>
      </c>
      <c r="F47" s="27">
        <v>0.51</v>
      </c>
      <c r="G47" s="27"/>
      <c r="H47" s="15" t="s">
        <v>51</v>
      </c>
      <c r="I47" s="15" t="s">
        <v>39</v>
      </c>
      <c r="J47" s="16" t="s">
        <v>144</v>
      </c>
      <c r="K47" s="16"/>
      <c r="L47" s="28" t="s">
        <v>145</v>
      </c>
      <c r="M47" s="28" t="s">
        <v>146</v>
      </c>
      <c r="N47" s="17" t="s">
        <v>38</v>
      </c>
      <c r="O47" s="18" t="str">
        <f t="shared" si="2"/>
        <v>Public Service Co. of NMNew MexicoElectric</v>
      </c>
      <c r="P47" s="15" t="str">
        <f t="shared" si="3"/>
        <v>New Mexico</v>
      </c>
    </row>
    <row r="48" spans="2:16" x14ac:dyDescent="0.45">
      <c r="B48" s="17" t="s">
        <v>147</v>
      </c>
      <c r="C48" s="17" t="str">
        <f t="shared" si="1"/>
        <v>Texas</v>
      </c>
      <c r="D48" s="16" t="s">
        <v>143</v>
      </c>
      <c r="E48" s="16" t="s">
        <v>38</v>
      </c>
      <c r="F48" s="27">
        <v>0.45</v>
      </c>
      <c r="G48" s="27"/>
      <c r="H48" s="15" t="s">
        <v>39</v>
      </c>
      <c r="I48" s="15" t="s">
        <v>39</v>
      </c>
      <c r="J48" s="16" t="s">
        <v>46</v>
      </c>
      <c r="K48" s="16"/>
      <c r="L48" s="28" t="s">
        <v>148</v>
      </c>
      <c r="M48" s="28" t="s">
        <v>57</v>
      </c>
      <c r="N48" s="17" t="s">
        <v>38</v>
      </c>
      <c r="O48" s="18" t="str">
        <f t="shared" si="2"/>
        <v>Texas-New Mexico Power Co.TexasElectric</v>
      </c>
      <c r="P48" s="15" t="str">
        <f t="shared" si="3"/>
        <v>Texas</v>
      </c>
    </row>
    <row r="49" spans="2:16" x14ac:dyDescent="0.45">
      <c r="B49" s="17" t="s">
        <v>149</v>
      </c>
      <c r="C49" s="17" t="str">
        <f t="shared" si="1"/>
        <v>Oregon</v>
      </c>
      <c r="D49" s="16" t="s">
        <v>150</v>
      </c>
      <c r="E49" s="16" t="s">
        <v>38</v>
      </c>
      <c r="F49" s="27">
        <v>0.5</v>
      </c>
      <c r="G49" s="27"/>
      <c r="H49" s="15" t="s">
        <v>39</v>
      </c>
      <c r="I49" s="15" t="s">
        <v>40</v>
      </c>
      <c r="J49" s="16" t="s">
        <v>90</v>
      </c>
      <c r="K49" s="16"/>
      <c r="L49" s="28" t="s">
        <v>151</v>
      </c>
      <c r="M49" s="28" t="s">
        <v>134</v>
      </c>
      <c r="N49" s="17" t="s">
        <v>38</v>
      </c>
      <c r="O49" s="18" t="str">
        <f t="shared" si="2"/>
        <v>Portland General Electric Co.OregonElectric</v>
      </c>
      <c r="P49" s="15" t="str">
        <f t="shared" si="3"/>
        <v>Oregon</v>
      </c>
    </row>
    <row r="50" spans="2:16" x14ac:dyDescent="0.45">
      <c r="B50" s="17" t="s">
        <v>152</v>
      </c>
      <c r="C50" s="17" t="str">
        <f t="shared" si="1"/>
        <v>Alabama</v>
      </c>
      <c r="D50" s="16" t="s">
        <v>153</v>
      </c>
      <c r="E50" s="16" t="s">
        <v>38</v>
      </c>
      <c r="F50" s="27" t="s">
        <v>50</v>
      </c>
      <c r="G50" s="27"/>
      <c r="H50" s="15" t="s">
        <v>51</v>
      </c>
      <c r="I50" s="15" t="s">
        <v>40</v>
      </c>
      <c r="J50" s="16" t="s">
        <v>65</v>
      </c>
      <c r="K50" s="16"/>
      <c r="L50" s="28" t="s">
        <v>152</v>
      </c>
      <c r="M50" s="28" t="s">
        <v>154</v>
      </c>
      <c r="N50" s="17" t="s">
        <v>38</v>
      </c>
      <c r="O50" s="18" t="str">
        <f t="shared" si="2"/>
        <v>Alabama Power CompanyAlabamaElectric</v>
      </c>
      <c r="P50" s="15" t="str">
        <f t="shared" si="3"/>
        <v>Alabama</v>
      </c>
    </row>
    <row r="51" spans="2:16" x14ac:dyDescent="0.45">
      <c r="B51" s="17" t="s">
        <v>155</v>
      </c>
      <c r="C51" s="17" t="str">
        <f t="shared" si="1"/>
        <v>Georgia</v>
      </c>
      <c r="D51" s="16" t="s">
        <v>153</v>
      </c>
      <c r="E51" s="16" t="s">
        <v>38</v>
      </c>
      <c r="F51" s="27">
        <v>0.56000000000000005</v>
      </c>
      <c r="G51" s="27"/>
      <c r="H51" s="15" t="s">
        <v>51</v>
      </c>
      <c r="I51" s="15" t="s">
        <v>39</v>
      </c>
      <c r="J51" s="16" t="s">
        <v>41</v>
      </c>
      <c r="K51" s="16"/>
      <c r="L51" s="28" t="s">
        <v>156</v>
      </c>
      <c r="M51" s="28" t="s">
        <v>157</v>
      </c>
      <c r="N51" s="17" t="s">
        <v>38</v>
      </c>
      <c r="O51" s="18" t="str">
        <f t="shared" si="2"/>
        <v>Georgia Power Co.GeorgiaElectric</v>
      </c>
      <c r="P51" s="15" t="str">
        <f t="shared" si="3"/>
        <v>Georgia</v>
      </c>
    </row>
    <row r="52" spans="2:16" x14ac:dyDescent="0.45">
      <c r="B52" s="17" t="s">
        <v>158</v>
      </c>
      <c r="C52" s="17" t="str">
        <f t="shared" si="1"/>
        <v>Mississippi</v>
      </c>
      <c r="D52" s="16" t="s">
        <v>153</v>
      </c>
      <c r="E52" s="16" t="s">
        <v>38</v>
      </c>
      <c r="F52" s="27">
        <v>0.53</v>
      </c>
      <c r="G52" s="27"/>
      <c r="H52" s="15" t="s">
        <v>39</v>
      </c>
      <c r="I52" s="15" t="s">
        <v>39</v>
      </c>
      <c r="J52" s="16" t="s">
        <v>41</v>
      </c>
      <c r="K52" s="16"/>
      <c r="L52" s="28" t="s">
        <v>159</v>
      </c>
      <c r="M52" s="28" t="s">
        <v>116</v>
      </c>
      <c r="N52" s="17" t="s">
        <v>38</v>
      </c>
      <c r="O52" s="18" t="str">
        <f t="shared" si="2"/>
        <v>Mississippi Power Co.MississippiElectric</v>
      </c>
      <c r="P52" s="15" t="str">
        <f t="shared" si="3"/>
        <v>Mississippi</v>
      </c>
    </row>
    <row r="53" spans="2:16" x14ac:dyDescent="0.45">
      <c r="B53" s="17" t="s">
        <v>160</v>
      </c>
      <c r="C53" s="17" t="str">
        <f t="shared" si="1"/>
        <v>Minnesota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43</v>
      </c>
      <c r="N53" s="17" t="s">
        <v>38</v>
      </c>
      <c r="O53" s="18" t="str">
        <f t="shared" si="2"/>
        <v>Northern States Power Co.MinnesotaElectric</v>
      </c>
      <c r="P53" s="15" t="str">
        <f t="shared" si="3"/>
        <v>Minnesota</v>
      </c>
    </row>
    <row r="54" spans="2:16" x14ac:dyDescent="0.45">
      <c r="B54" s="17" t="s">
        <v>160</v>
      </c>
      <c r="C54" s="17" t="str">
        <f t="shared" si="1"/>
        <v>North Dakota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41</v>
      </c>
      <c r="K54" s="16"/>
      <c r="L54" s="28" t="s">
        <v>162</v>
      </c>
      <c r="M54" s="28" t="s">
        <v>163</v>
      </c>
      <c r="N54" s="17" t="s">
        <v>38</v>
      </c>
      <c r="O54" s="18" t="str">
        <f t="shared" si="2"/>
        <v>Northern States Power Co.North DakotaElectric</v>
      </c>
      <c r="P54" s="15" t="str">
        <f t="shared" si="3"/>
        <v>North Dakota</v>
      </c>
    </row>
    <row r="55" spans="2:16" x14ac:dyDescent="0.45">
      <c r="B55" s="17" t="s">
        <v>160</v>
      </c>
      <c r="C55" s="17" t="str">
        <f t="shared" si="1"/>
        <v>Wisconsin</v>
      </c>
      <c r="D55" s="15" t="s">
        <v>161</v>
      </c>
      <c r="E55" s="15" t="s">
        <v>38</v>
      </c>
      <c r="F55" s="27">
        <v>0.52500000000000002</v>
      </c>
      <c r="G55" s="27"/>
      <c r="H55" s="15" t="s">
        <v>51</v>
      </c>
      <c r="I55" s="15" t="s">
        <v>39</v>
      </c>
      <c r="J55" s="16" t="s">
        <v>65</v>
      </c>
      <c r="K55" s="16"/>
      <c r="L55" s="28" t="s">
        <v>162</v>
      </c>
      <c r="M55" s="28" t="s">
        <v>164</v>
      </c>
      <c r="N55" s="17" t="s">
        <v>38</v>
      </c>
      <c r="O55" s="18" t="str">
        <f t="shared" si="2"/>
        <v>Northern States Power Co.WisconsinElectric</v>
      </c>
      <c r="P55" s="15" t="str">
        <f t="shared" si="3"/>
        <v>Wisconsin</v>
      </c>
    </row>
    <row r="56" spans="2:16" x14ac:dyDescent="0.45">
      <c r="B56" s="17" t="s">
        <v>160</v>
      </c>
      <c r="C56" s="17" t="str">
        <f t="shared" si="1"/>
        <v>South Dakota</v>
      </c>
      <c r="D56" s="15" t="s">
        <v>161</v>
      </c>
      <c r="E56" s="15" t="s">
        <v>38</v>
      </c>
      <c r="F56" s="27" t="s">
        <v>50</v>
      </c>
      <c r="G56" s="27"/>
      <c r="H56" s="15" t="s">
        <v>51</v>
      </c>
      <c r="I56" s="15" t="s">
        <v>39</v>
      </c>
      <c r="J56" s="16" t="s">
        <v>46</v>
      </c>
      <c r="K56" s="16"/>
      <c r="L56" s="28" t="s">
        <v>162</v>
      </c>
      <c r="M56" s="28" t="s">
        <v>165</v>
      </c>
      <c r="N56" s="17" t="s">
        <v>38</v>
      </c>
      <c r="O56" s="18" t="str">
        <f t="shared" si="2"/>
        <v>Northern States Power Co.South DakotaElectric</v>
      </c>
      <c r="P56" s="15" t="str">
        <f t="shared" si="3"/>
        <v>South Dakota</v>
      </c>
    </row>
    <row r="57" spans="2:16" x14ac:dyDescent="0.45">
      <c r="B57" s="17" t="s">
        <v>166</v>
      </c>
      <c r="C57" s="17" t="str">
        <f t="shared" si="1"/>
        <v>Colorado</v>
      </c>
      <c r="D57" s="15" t="s">
        <v>161</v>
      </c>
      <c r="E57" s="15" t="s">
        <v>38</v>
      </c>
      <c r="F57" s="27">
        <v>0.55689999999999995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167</v>
      </c>
      <c r="M57" s="28" t="s">
        <v>168</v>
      </c>
      <c r="N57" s="17" t="s">
        <v>38</v>
      </c>
      <c r="O57" s="18" t="str">
        <f t="shared" si="2"/>
        <v>Public Service Co. of COColoradoElectric</v>
      </c>
      <c r="P57" s="15" t="str">
        <f t="shared" si="3"/>
        <v>Colorado</v>
      </c>
    </row>
    <row r="58" spans="2:16" x14ac:dyDescent="0.45">
      <c r="B58" s="17" t="s">
        <v>169</v>
      </c>
      <c r="C58" s="17" t="str">
        <f t="shared" si="1"/>
        <v>Texas</v>
      </c>
      <c r="D58" s="15" t="s">
        <v>161</v>
      </c>
      <c r="E58" s="15" t="s">
        <v>38</v>
      </c>
      <c r="F58" s="27" t="s">
        <v>50</v>
      </c>
      <c r="G58" s="27"/>
      <c r="H58" s="15" t="s">
        <v>39</v>
      </c>
      <c r="I58" s="15" t="s">
        <v>39</v>
      </c>
      <c r="J58" s="16" t="s">
        <v>46</v>
      </c>
      <c r="K58" s="16"/>
      <c r="L58" s="28" t="s">
        <v>170</v>
      </c>
      <c r="M58" s="28" t="s">
        <v>57</v>
      </c>
      <c r="N58" s="17" t="s">
        <v>38</v>
      </c>
      <c r="O58" s="18" t="str">
        <f t="shared" si="2"/>
        <v>Southwestern Public Svc Co.TexasElectric</v>
      </c>
      <c r="P58" s="15" t="str">
        <f t="shared" si="3"/>
        <v>Texas</v>
      </c>
    </row>
    <row r="59" spans="2:16" x14ac:dyDescent="0.45">
      <c r="B59" s="17" t="s">
        <v>169</v>
      </c>
      <c r="C59" s="17" t="str">
        <f t="shared" si="1"/>
        <v>New Mexico</v>
      </c>
      <c r="D59" s="15" t="s">
        <v>161</v>
      </c>
      <c r="E59" s="15" t="s">
        <v>38</v>
      </c>
      <c r="F59" s="27">
        <v>0.54700000000000004</v>
      </c>
      <c r="G59" s="27"/>
      <c r="H59" s="15" t="s">
        <v>39</v>
      </c>
      <c r="I59" s="15" t="s">
        <v>39</v>
      </c>
      <c r="J59" s="16" t="s">
        <v>144</v>
      </c>
      <c r="K59" s="16"/>
      <c r="L59" s="28" t="s">
        <v>170</v>
      </c>
      <c r="M59" s="28" t="s">
        <v>146</v>
      </c>
      <c r="N59" s="17" t="s">
        <v>38</v>
      </c>
      <c r="O59" s="18" t="str">
        <f t="shared" si="2"/>
        <v>Southwestern Public Svc Co.New MexicoElectric</v>
      </c>
      <c r="P59" s="15" t="str">
        <f t="shared" si="3"/>
        <v>New Mexico</v>
      </c>
    </row>
    <row r="60" spans="2:16" x14ac:dyDescent="0.45">
      <c r="B60" s="17" t="s">
        <v>171</v>
      </c>
      <c r="C60" s="17" t="str">
        <f t="shared" si="1"/>
        <v>California</v>
      </c>
      <c r="D60" s="16" t="s">
        <v>172</v>
      </c>
      <c r="E60" s="16" t="s">
        <v>38</v>
      </c>
      <c r="F60" s="27">
        <v>0.52500000000000002</v>
      </c>
      <c r="G60" s="27"/>
      <c r="H60" s="15" t="s">
        <v>39</v>
      </c>
      <c r="I60" s="15" t="s">
        <v>39</v>
      </c>
      <c r="J60" s="16" t="s">
        <v>90</v>
      </c>
      <c r="K60" s="16"/>
      <c r="L60" s="28" t="s">
        <v>173</v>
      </c>
      <c r="M60" s="28" t="s">
        <v>108</v>
      </c>
      <c r="N60" s="17" t="s">
        <v>38</v>
      </c>
      <c r="O60" s="18" t="str">
        <f t="shared" si="2"/>
        <v>Liberty Utilities (CalPeco EleCaliforniaElectric</v>
      </c>
      <c r="P60" s="15" t="str">
        <f t="shared" si="3"/>
        <v>California</v>
      </c>
    </row>
    <row r="61" spans="2:16" x14ac:dyDescent="0.45">
      <c r="B61" s="17" t="s">
        <v>174</v>
      </c>
      <c r="C61" s="17" t="str">
        <f t="shared" si="1"/>
        <v>New Hampshire</v>
      </c>
      <c r="D61" s="16" t="s">
        <v>172</v>
      </c>
      <c r="E61" s="16" t="s">
        <v>38</v>
      </c>
      <c r="F61" s="27">
        <v>0.52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175</v>
      </c>
      <c r="M61" s="28" t="s">
        <v>176</v>
      </c>
      <c r="N61" s="17" t="s">
        <v>38</v>
      </c>
      <c r="O61" s="18" t="str">
        <f t="shared" si="2"/>
        <v>Liberty Utilities Granite StNew HampshireElectric</v>
      </c>
      <c r="P61" s="15" t="str">
        <f t="shared" si="3"/>
        <v>New Hampshire</v>
      </c>
    </row>
    <row r="62" spans="2:16" x14ac:dyDescent="0.45">
      <c r="B62" s="17" t="s">
        <v>177</v>
      </c>
      <c r="C62" s="17" t="str">
        <f t="shared" si="1"/>
        <v>Arkansas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41</v>
      </c>
      <c r="K62" s="16"/>
      <c r="L62" s="28" t="s">
        <v>178</v>
      </c>
      <c r="M62" s="28" t="s">
        <v>81</v>
      </c>
      <c r="N62" s="17" t="s">
        <v>38</v>
      </c>
      <c r="O62" s="18" t="str">
        <f t="shared" si="2"/>
        <v>The Empire District Electric CArkansasElectric</v>
      </c>
      <c r="P62" s="15" t="str">
        <f t="shared" si="3"/>
        <v>Arkansas</v>
      </c>
    </row>
    <row r="63" spans="2:16" x14ac:dyDescent="0.45">
      <c r="B63" s="17" t="s">
        <v>177</v>
      </c>
      <c r="C63" s="17" t="str">
        <f t="shared" si="1"/>
        <v>Oklahoma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77</v>
      </c>
      <c r="N63" s="17" t="s">
        <v>38</v>
      </c>
      <c r="O63" s="18" t="str">
        <f t="shared" si="2"/>
        <v>The Empire District Electric COklahomaElectric</v>
      </c>
      <c r="P63" s="15" t="str">
        <f t="shared" si="3"/>
        <v>Oklahoma</v>
      </c>
    </row>
    <row r="64" spans="2:16" x14ac:dyDescent="0.45">
      <c r="B64" s="17" t="s">
        <v>177</v>
      </c>
      <c r="C64" s="17" t="str">
        <f t="shared" si="1"/>
        <v>Missouri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46</v>
      </c>
      <c r="K64" s="16"/>
      <c r="L64" s="28" t="s">
        <v>178</v>
      </c>
      <c r="M64" s="28" t="s">
        <v>53</v>
      </c>
      <c r="N64" s="17" t="s">
        <v>38</v>
      </c>
      <c r="O64" s="18" t="str">
        <f t="shared" si="2"/>
        <v>The Empire District Electric CMissouriElectric</v>
      </c>
      <c r="P64" s="15" t="str">
        <f t="shared" si="3"/>
        <v>Missouri</v>
      </c>
    </row>
    <row r="65" spans="2:16" x14ac:dyDescent="0.45">
      <c r="B65" s="17" t="s">
        <v>177</v>
      </c>
      <c r="C65" s="17" t="str">
        <f t="shared" si="1"/>
        <v>Kansas</v>
      </c>
      <c r="D65" s="16" t="s">
        <v>172</v>
      </c>
      <c r="E65" s="16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41</v>
      </c>
      <c r="K65" s="16"/>
      <c r="L65" s="28" t="s">
        <v>178</v>
      </c>
      <c r="M65" s="28" t="s">
        <v>125</v>
      </c>
      <c r="N65" s="17" t="s">
        <v>38</v>
      </c>
      <c r="O65" s="18" t="str">
        <f t="shared" si="2"/>
        <v>The Empire District Electric CKansasElectric</v>
      </c>
      <c r="P65" s="15" t="str">
        <f t="shared" si="3"/>
        <v>Kansas</v>
      </c>
    </row>
    <row r="66" spans="2:16" x14ac:dyDescent="0.45">
      <c r="B66" s="17" t="s">
        <v>179</v>
      </c>
      <c r="C66" s="17" t="str">
        <f t="shared" si="1"/>
        <v>Florida</v>
      </c>
      <c r="D66" s="15" t="s">
        <v>180</v>
      </c>
      <c r="E66" s="15" t="s">
        <v>38</v>
      </c>
      <c r="F66" s="27" t="s">
        <v>50</v>
      </c>
      <c r="G66" s="27"/>
      <c r="H66" s="15" t="s">
        <v>39</v>
      </c>
      <c r="I66" s="15" t="s">
        <v>39</v>
      </c>
      <c r="J66" s="16" t="s">
        <v>65</v>
      </c>
      <c r="K66" s="16"/>
      <c r="L66" s="28" t="s">
        <v>179</v>
      </c>
      <c r="M66" s="28" t="s">
        <v>97</v>
      </c>
      <c r="N66" s="17" t="s">
        <v>38</v>
      </c>
      <c r="O66" s="18" t="str">
        <f t="shared" si="2"/>
        <v>Tampa Electric CompanyFloridaElectric</v>
      </c>
      <c r="P66" s="15" t="str">
        <f t="shared" si="3"/>
        <v>Florida</v>
      </c>
    </row>
    <row r="67" spans="2:16" x14ac:dyDescent="0.45">
      <c r="B67" s="17" t="s">
        <v>181</v>
      </c>
      <c r="C67" s="17" t="str">
        <f t="shared" si="1"/>
        <v>Nova Scotia</v>
      </c>
      <c r="D67" s="15" t="s">
        <v>180</v>
      </c>
      <c r="E67" s="15" t="s">
        <v>38</v>
      </c>
      <c r="F67" s="27">
        <v>0.4</v>
      </c>
      <c r="G67" s="27"/>
      <c r="H67" s="15" t="s">
        <v>39</v>
      </c>
      <c r="I67" s="15" t="s">
        <v>39</v>
      </c>
      <c r="J67" s="16" t="s">
        <v>144</v>
      </c>
      <c r="K67" s="16"/>
      <c r="L67" s="28" t="s">
        <v>182</v>
      </c>
      <c r="M67" s="28" t="s">
        <v>183</v>
      </c>
      <c r="N67" s="17" t="s">
        <v>38</v>
      </c>
      <c r="O67" s="18" t="str">
        <f t="shared" si="2"/>
        <v>Nova Scotia Power Inc.Nova ScotiaElectric</v>
      </c>
      <c r="P67" s="15" t="str">
        <f t="shared" si="3"/>
        <v>Nova Scotia</v>
      </c>
    </row>
    <row r="68" spans="2:16" x14ac:dyDescent="0.45">
      <c r="B68" s="17" t="s">
        <v>184</v>
      </c>
      <c r="C68" s="17" t="str">
        <f t="shared" si="1"/>
        <v>New York</v>
      </c>
      <c r="D68" s="15" t="s">
        <v>185</v>
      </c>
      <c r="E68" s="15" t="s">
        <v>38</v>
      </c>
      <c r="F68" s="27">
        <v>0.48</v>
      </c>
      <c r="G68" s="27"/>
      <c r="H68" s="15" t="s">
        <v>39</v>
      </c>
      <c r="I68" s="15" t="s">
        <v>40</v>
      </c>
      <c r="J68" s="16" t="s">
        <v>46</v>
      </c>
      <c r="K68" s="16"/>
      <c r="L68" s="28" t="s">
        <v>186</v>
      </c>
      <c r="M68" s="28" t="s">
        <v>187</v>
      </c>
      <c r="N68" s="17" t="s">
        <v>38</v>
      </c>
      <c r="O68" s="18" t="str">
        <f t="shared" si="2"/>
        <v>Central Hudson Gas &amp; ElectricNew YorkElectric</v>
      </c>
      <c r="P68" s="15" t="str">
        <f t="shared" si="3"/>
        <v>New York</v>
      </c>
    </row>
    <row r="69" spans="2:16" x14ac:dyDescent="0.45">
      <c r="B69" s="17" t="s">
        <v>188</v>
      </c>
      <c r="C69" s="17" t="str">
        <f t="shared" si="1"/>
        <v>Arizona</v>
      </c>
      <c r="D69" s="15" t="s">
        <v>185</v>
      </c>
      <c r="E69" s="15" t="s">
        <v>38</v>
      </c>
      <c r="F69" s="27">
        <v>0.54320000000000002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189</v>
      </c>
      <c r="M69" s="28" t="s">
        <v>141</v>
      </c>
      <c r="N69" s="17" t="s">
        <v>38</v>
      </c>
      <c r="O69" s="18" t="str">
        <f t="shared" si="2"/>
        <v>Tucson Electric Power Co.ArizonaElectric</v>
      </c>
      <c r="P69" s="15" t="str">
        <f t="shared" si="3"/>
        <v>Arizona</v>
      </c>
    </row>
    <row r="70" spans="2:16" x14ac:dyDescent="0.45">
      <c r="B70" s="17" t="s">
        <v>190</v>
      </c>
      <c r="C70" s="17" t="str">
        <f t="shared" ref="C70:C74" si="4">M70</f>
        <v>Arizona</v>
      </c>
      <c r="D70" s="15" t="s">
        <v>185</v>
      </c>
      <c r="E70" s="15" t="s">
        <v>38</v>
      </c>
      <c r="F70" s="27">
        <v>0.53720000000000001</v>
      </c>
      <c r="G70" s="27"/>
      <c r="H70" s="15" t="s">
        <v>39</v>
      </c>
      <c r="I70" s="15" t="s">
        <v>39</v>
      </c>
      <c r="J70" s="16" t="s">
        <v>90</v>
      </c>
      <c r="K70" s="16"/>
      <c r="L70" s="28" t="s">
        <v>191</v>
      </c>
      <c r="M70" s="28" t="s">
        <v>141</v>
      </c>
      <c r="N70" s="17" t="s">
        <v>38</v>
      </c>
      <c r="O70" s="18" t="str">
        <f t="shared" ref="O70:O74" si="5">L70&amp;M70&amp;N70</f>
        <v>UNS Electric Inc.ArizonaElectric</v>
      </c>
      <c r="P70" s="15" t="str">
        <f t="shared" si="3"/>
        <v>Arizona</v>
      </c>
    </row>
    <row r="71" spans="2:16" x14ac:dyDescent="0.45">
      <c r="B71" s="17" t="s">
        <v>192</v>
      </c>
      <c r="C71" s="17" t="str">
        <f t="shared" si="4"/>
        <v>Alberta</v>
      </c>
      <c r="D71" s="15" t="s">
        <v>185</v>
      </c>
      <c r="E71" s="15" t="s">
        <v>38</v>
      </c>
      <c r="F71" s="29">
        <v>0.37</v>
      </c>
      <c r="G71" s="29"/>
      <c r="H71" s="15" t="s">
        <v>39</v>
      </c>
      <c r="I71" s="15" t="s">
        <v>39</v>
      </c>
      <c r="J71" s="16" t="s">
        <v>41</v>
      </c>
      <c r="K71" s="16"/>
      <c r="L71" s="28" t="s">
        <v>193</v>
      </c>
      <c r="M71" s="28" t="s">
        <v>194</v>
      </c>
      <c r="N71" s="17" t="s">
        <v>38</v>
      </c>
      <c r="O71" s="18" t="str">
        <f t="shared" si="5"/>
        <v>FortisAlberta Inc.AlbertaElectric</v>
      </c>
      <c r="P71" s="15" t="str">
        <f t="shared" si="3"/>
        <v>Alberta</v>
      </c>
    </row>
    <row r="72" spans="2:16" x14ac:dyDescent="0.45">
      <c r="B72" s="17" t="s">
        <v>195</v>
      </c>
      <c r="C72" s="17" t="str">
        <f t="shared" si="4"/>
        <v>British Columbia</v>
      </c>
      <c r="D72" s="15" t="s">
        <v>185</v>
      </c>
      <c r="E72" s="15" t="s">
        <v>38</v>
      </c>
      <c r="F72" s="29">
        <v>0.41</v>
      </c>
      <c r="G72" s="29"/>
      <c r="H72" s="15" t="s">
        <v>39</v>
      </c>
      <c r="I72" s="15" t="s">
        <v>39</v>
      </c>
      <c r="J72" s="16" t="s">
        <v>65</v>
      </c>
      <c r="K72" s="16"/>
      <c r="L72" s="28" t="s">
        <v>195</v>
      </c>
      <c r="M72" s="28" t="s">
        <v>196</v>
      </c>
      <c r="N72" s="17" t="s">
        <v>38</v>
      </c>
      <c r="O72" s="18" t="str">
        <f t="shared" si="5"/>
        <v>FortisBC Inc.British ColumbiaElectric</v>
      </c>
      <c r="P72" s="15" t="str">
        <f t="shared" si="3"/>
        <v>British Columbia</v>
      </c>
    </row>
    <row r="73" spans="2:16" x14ac:dyDescent="0.45">
      <c r="B73" s="17" t="s">
        <v>197</v>
      </c>
      <c r="C73" s="17" t="str">
        <f t="shared" si="4"/>
        <v>Newfoundland and Labrador</v>
      </c>
      <c r="D73" s="15" t="s">
        <v>185</v>
      </c>
      <c r="E73" s="15" t="s">
        <v>38</v>
      </c>
      <c r="F73" s="29">
        <v>0.45</v>
      </c>
      <c r="G73" s="29"/>
      <c r="H73" s="15" t="s">
        <v>39</v>
      </c>
      <c r="I73" s="15" t="s">
        <v>39</v>
      </c>
      <c r="J73" s="16" t="s">
        <v>41</v>
      </c>
      <c r="K73" s="16"/>
      <c r="L73" s="28" t="s">
        <v>198</v>
      </c>
      <c r="M73" s="28" t="s">
        <v>199</v>
      </c>
      <c r="N73" s="17" t="s">
        <v>38</v>
      </c>
      <c r="O73" s="18" t="str">
        <f t="shared" si="5"/>
        <v>Newfoundland Power Inc.Newfoundland and LabradorElectric</v>
      </c>
      <c r="P73" s="15" t="str">
        <f t="shared" si="3"/>
        <v>Newfoundland and Labrador</v>
      </c>
    </row>
    <row r="74" spans="2:16" x14ac:dyDescent="0.45">
      <c r="B74" s="30" t="s">
        <v>200</v>
      </c>
      <c r="C74" s="30" t="str">
        <f t="shared" si="4"/>
        <v>Prince Edward Island</v>
      </c>
      <c r="D74" s="31" t="s">
        <v>185</v>
      </c>
      <c r="E74" s="31" t="s">
        <v>38</v>
      </c>
      <c r="F74" s="32">
        <v>0.4</v>
      </c>
      <c r="G74" s="29"/>
      <c r="H74" s="15" t="s">
        <v>39</v>
      </c>
      <c r="I74" s="15" t="s">
        <v>39</v>
      </c>
      <c r="J74" s="16" t="s">
        <v>144</v>
      </c>
      <c r="K74" s="16"/>
      <c r="L74" s="28" t="s">
        <v>201</v>
      </c>
      <c r="M74" s="28" t="s">
        <v>202</v>
      </c>
      <c r="N74" s="17" t="s">
        <v>38</v>
      </c>
      <c r="O74" s="18" t="str">
        <f t="shared" si="5"/>
        <v>Maritime Electric Company LimitedPrince Edward IslandElectric</v>
      </c>
      <c r="P74" s="15" t="str">
        <f t="shared" si="3"/>
        <v>Prince Edward Island</v>
      </c>
    </row>
    <row r="75" spans="2:16" s="38" customFormat="1" x14ac:dyDescent="0.45">
      <c r="B75" s="33"/>
      <c r="C75" s="33"/>
      <c r="D75" s="34" t="s">
        <v>203</v>
      </c>
      <c r="E75" s="34"/>
      <c r="F75" s="35">
        <f>AVERAGE(F4:F74)</f>
        <v>0.50209777777777764</v>
      </c>
      <c r="G75" s="35"/>
      <c r="H75" s="15"/>
      <c r="I75" s="15"/>
      <c r="J75" s="16"/>
      <c r="K75" s="16"/>
      <c r="L75" s="36"/>
      <c r="M75" s="36"/>
      <c r="N75" s="37"/>
      <c r="O75" s="37"/>
      <c r="P75" s="15"/>
    </row>
    <row r="76" spans="2:16" x14ac:dyDescent="0.45">
      <c r="B76" s="14"/>
      <c r="C76" s="14"/>
      <c r="D76" s="14" t="s">
        <v>10</v>
      </c>
      <c r="E76" s="14"/>
      <c r="F76" s="39">
        <f>MEDIAN(F4:F74)</f>
        <v>0.51929999999999998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11</v>
      </c>
      <c r="E77" s="14"/>
      <c r="F77" s="39">
        <f>MIN(F4:F74)</f>
        <v>0.37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4"/>
      <c r="C78" s="14"/>
      <c r="D78" s="14" t="s">
        <v>12</v>
      </c>
      <c r="E78" s="14"/>
      <c r="F78" s="39">
        <f>MAX(F4:F74)</f>
        <v>0.59599999999999997</v>
      </c>
      <c r="G78" s="14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/>
      <c r="E79" s="16"/>
      <c r="F79" s="40"/>
      <c r="G79" s="16"/>
      <c r="J79" s="16"/>
      <c r="K79" s="16"/>
      <c r="L79" s="17"/>
      <c r="M79" s="17"/>
      <c r="N79" s="17"/>
      <c r="O79" s="18"/>
    </row>
    <row r="80" spans="2:16" x14ac:dyDescent="0.45">
      <c r="B80" s="16"/>
      <c r="C80" s="16"/>
      <c r="D80" s="16" t="s">
        <v>204</v>
      </c>
      <c r="E80" s="16"/>
      <c r="F80" s="40">
        <f>AVERAGEIF(H:H, "Nuclear", F:F)</f>
        <v>0.52802500000000008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205</v>
      </c>
      <c r="E81" s="16"/>
      <c r="F81" s="40" cm="1">
        <f t="array" ref="F81">MEDIAN(IF(H4:H74="Nuclear", F4:F74))</f>
        <v>0.52500000000000002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206</v>
      </c>
      <c r="E82" s="16"/>
      <c r="F82" s="40" cm="1">
        <f t="array" ref="F82">MIN(IF(H4:H74="Nuclear", F4:F74))</f>
        <v>0.50130000000000008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 t="s">
        <v>207</v>
      </c>
      <c r="E83" s="16"/>
      <c r="F83" s="40" cm="1">
        <f t="array" ref="F83">MAX(IF(H4:H74="Nuclear", F4:F74))</f>
        <v>0.59599999999999997</v>
      </c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/>
      <c r="E84" s="16"/>
      <c r="F84" s="40"/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208</v>
      </c>
      <c r="E85" s="16"/>
      <c r="F85" s="40">
        <f>AVERAGEIF(I:I, "Hydro", F:F)</f>
        <v>0.50492857142857139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209</v>
      </c>
      <c r="E86" s="16"/>
      <c r="F86" s="40" cm="1">
        <f t="array" ref="F86">MEDIAN(IF(I$4:I$74="Hydro", F$4:F$74))</f>
        <v>0.5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210</v>
      </c>
      <c r="E87" s="16"/>
      <c r="F87" s="40" cm="1">
        <f t="array" ref="F87">MIN(IF(I$4:I$74="Hydro", F$4:F$74))</f>
        <v>0.48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211</v>
      </c>
      <c r="E88" s="16"/>
      <c r="F88" s="40" cm="1">
        <f t="array" ref="F88">MAX(IF(I$4:I$74="Hydro", F$4:F$74))</f>
        <v>0.53</v>
      </c>
      <c r="G88" s="16"/>
      <c r="J88" s="16"/>
      <c r="K88" s="16"/>
      <c r="L88" s="41"/>
      <c r="M88" s="17"/>
      <c r="N88" s="17"/>
      <c r="O88" s="18"/>
    </row>
    <row r="89" spans="2:15" x14ac:dyDescent="0.45">
      <c r="B89" s="16"/>
      <c r="C89" s="16"/>
      <c r="D89" s="16" t="s">
        <v>212</v>
      </c>
      <c r="E89" s="16"/>
      <c r="F89" s="40">
        <f>AVERAGEIF(J:J, "Most Credit Supportive", F:F)</f>
        <v>0.49299999999999999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213</v>
      </c>
      <c r="E90" s="16"/>
      <c r="F90" s="40" cm="1">
        <f t="array" ref="F90">MEDIAN(IF(J4:J74="Most Credit Supportive", F4:F74))</f>
        <v>0.52149999999999996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214</v>
      </c>
      <c r="E91" s="16"/>
      <c r="F91" s="40" cm="1">
        <f t="array" ref="F91">MIN(IF(J4:J74="Most Credit Supportive", F4:F74))</f>
        <v>0.41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 t="s">
        <v>215</v>
      </c>
      <c r="E92" s="16"/>
      <c r="F92" s="40" cm="1">
        <f t="array" ref="F92">MAX(IF(J4:J74="Most Credit Supportive", F4:F74))</f>
        <v>0.59599999999999997</v>
      </c>
      <c r="G92" s="16"/>
      <c r="J92" s="16"/>
      <c r="K92" s="16"/>
      <c r="L92" s="17"/>
      <c r="M92" s="17"/>
      <c r="N92" s="17"/>
      <c r="O92" s="18"/>
    </row>
    <row r="93" spans="2:15" x14ac:dyDescent="0.45">
      <c r="B93" s="16"/>
      <c r="C93" s="16"/>
      <c r="D93" s="16"/>
      <c r="E93" s="16"/>
      <c r="F93" s="40"/>
      <c r="G93" s="16"/>
      <c r="J93" s="16"/>
      <c r="K93" s="16"/>
      <c r="L93" s="17"/>
      <c r="M93" s="17"/>
      <c r="N93" s="17"/>
      <c r="O93" s="18"/>
    </row>
    <row r="94" spans="2:15" x14ac:dyDescent="0.45">
      <c r="B94" s="18" t="s">
        <v>216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217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218</v>
      </c>
      <c r="C96" s="14"/>
      <c r="D96" s="14"/>
      <c r="E96" s="14"/>
      <c r="F96" s="14"/>
      <c r="G96" s="14"/>
      <c r="J96" s="16"/>
      <c r="K96" s="16"/>
      <c r="L96" s="17"/>
      <c r="M96" s="17"/>
      <c r="N96" s="17"/>
      <c r="O96" s="18"/>
    </row>
    <row r="97" spans="2:2" x14ac:dyDescent="0.45">
      <c r="B97" s="42" t="s">
        <v>219</v>
      </c>
    </row>
    <row r="98" spans="2:2" x14ac:dyDescent="0.45">
      <c r="B98" s="42" t="s">
        <v>220</v>
      </c>
    </row>
    <row r="101" spans="2:2" x14ac:dyDescent="0.45">
      <c r="B101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2" t="s">
        <v>222</v>
      </c>
      <c r="C2" s="72"/>
      <c r="D2" s="72"/>
      <c r="E2" s="72"/>
      <c r="F2" s="72"/>
      <c r="G2" s="72"/>
      <c r="H2" s="72"/>
      <c r="I2" s="72"/>
      <c r="J2" s="72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0.53200323370818459</v>
      </c>
      <c r="F24" s="55">
        <f t="shared" ref="F24:I24" si="1">AVERAGE(F6:F23)</f>
        <v>0.52955774081031981</v>
      </c>
      <c r="G24" s="55">
        <f t="shared" si="1"/>
        <v>0.52740159748274762</v>
      </c>
      <c r="H24" s="55">
        <f t="shared" si="1"/>
        <v>0.52752858771953792</v>
      </c>
      <c r="I24" s="55">
        <f t="shared" si="1"/>
        <v>0.53157323607956875</v>
      </c>
      <c r="K24" s="56">
        <f t="shared" ref="K24" si="2">AVERAGE(K6:K23)</f>
        <v>0.52961287916007183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0.52650729861560541</v>
      </c>
      <c r="F25" s="58">
        <f t="shared" si="3"/>
        <v>0.52437501882943294</v>
      </c>
      <c r="G25" s="58">
        <f t="shared" si="3"/>
        <v>0.52642876946053607</v>
      </c>
      <c r="H25" s="58">
        <f t="shared" si="3"/>
        <v>0.53213086765962792</v>
      </c>
      <c r="I25" s="58">
        <f t="shared" si="3"/>
        <v>0.53057855152062217</v>
      </c>
      <c r="K25" s="2">
        <f>MEDIAN(K6:K23)</f>
        <v>0.52802339705718815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0.62118203839705777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0.52926758529511952</v>
      </c>
      <c r="F29" s="49">
        <f>AVERAGEIF($L:$L, "Nuclear", F:F)</f>
        <v>0.52820014727732811</v>
      </c>
      <c r="G29" s="49">
        <f>AVERAGEIF($L:$L, "Nuclear", G:G)</f>
        <v>0.52732829722424979</v>
      </c>
      <c r="H29" s="49">
        <f>AVERAGEIF($L:$L, "Nuclear", H:H)</f>
        <v>0.5292289631918603</v>
      </c>
      <c r="I29" s="49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49" cm="1">
        <f t="array" ref="E30">MEDIAN( IF($L$6:$L$23="Nuclear",E$6:E$23))</f>
        <v>0.53243744118526071</v>
      </c>
      <c r="F30" s="49" cm="1">
        <f t="array" ref="F30">MEDIAN( IF($L$6:$L$23="Nuclear",F$6:F$23))</f>
        <v>0.53518613010872651</v>
      </c>
      <c r="G30" s="49" cm="1">
        <f t="array" ref="G30">MEDIAN( IF($L$6:$L$23="Nuclear",G$6:G$23))</f>
        <v>0.52642876946053607</v>
      </c>
      <c r="H30" s="49" cm="1">
        <f t="array" ref="H30">MEDIAN( IF($L$6:$L$23="Nuclear",H$6:H$23))</f>
        <v>0.53213086765962792</v>
      </c>
      <c r="I30" s="49" cm="1">
        <f t="array" ref="I30">MEDIAN( IF($L$6:$L$23="Nuclear",I$6:I$23))</f>
        <v>0.53057855152062217</v>
      </c>
      <c r="K30" s="59" cm="1">
        <f t="array" ref="K30">MEDIAN( IF($L$6:$L$23="Nuclear",K$6:K$23))</f>
        <v>0.53226214290606477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opLeftCell="A31" workbookViewId="0">
      <selection activeCell="A56" sqref="A56:XFD56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84E7E-8E6A-436A-911F-66DF202511E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63d7fcb5-7bd1-497a-b94f-6231df271a74"/>
    <ds:schemaRef ds:uri="76a73a03-073c-4e8a-9fc1-654f7c642b9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2BCC1D-0946-4BA2-BBA7-93B7E5622F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C1-01-Staff-302 Attachment 2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