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PG/Shared Documents/100595 - OPG Cost of Capital/Discovery/CCC/CCC Attachments/"/>
    </mc:Choice>
  </mc:AlternateContent>
  <xr:revisionPtr revIDLastSave="861" documentId="11_BEBF08912EAABA732AB4915AD11038879DCC5345" xr6:coauthVersionLast="47" xr6:coauthVersionMax="47" xr10:uidLastSave="{4EF1B7A6-760E-4EA5-9D17-E604A061CEEB}"/>
  <bookViews>
    <workbookView xWindow="-105" yWindow="0" windowWidth="26010" windowHeight="20985" xr2:uid="{00000000-000D-0000-FFFF-FFFF00000000}"/>
  </bookViews>
  <sheets>
    <sheet name="Summary_Annual" sheetId="3" r:id="rId1"/>
    <sheet name="Summary_Net Plant vs 25-29" sheetId="6" r:id="rId2"/>
    <sheet name="10-K CapEx Data" sheetId="1" r:id="rId3"/>
    <sheet name="Capex History and Plan" sheetId="9" r:id="rId4"/>
    <sheet name="OPG Regulated Net Plant" sheetId="11" r:id="rId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1" l="1"/>
  <c r="F22" i="6"/>
  <c r="G23" i="6"/>
  <c r="G22" i="6"/>
  <c r="O4" i="11"/>
  <c r="O5" i="11"/>
  <c r="F23" i="6" l="1"/>
  <c r="H22" i="6"/>
  <c r="J22" i="6" s="1"/>
  <c r="H22" i="1"/>
  <c r="G22" i="1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Q10" i="9"/>
  <c r="Q15" i="9" s="1"/>
  <c r="P10" i="9"/>
  <c r="P15" i="9" s="1"/>
  <c r="O10" i="9"/>
  <c r="O15" i="9" s="1"/>
  <c r="N10" i="9"/>
  <c r="M10" i="9"/>
  <c r="L10" i="9"/>
  <c r="L15" i="9" s="1"/>
  <c r="K10" i="9"/>
  <c r="K15" i="9" s="1"/>
  <c r="J10" i="9"/>
  <c r="J15" i="9" s="1"/>
  <c r="I10" i="9"/>
  <c r="H10" i="9"/>
  <c r="H15" i="9" s="1"/>
  <c r="G10" i="9"/>
  <c r="G15" i="9" s="1"/>
  <c r="F10" i="9"/>
  <c r="F15" i="9" s="1"/>
  <c r="E10" i="9"/>
  <c r="E15" i="9" s="1"/>
  <c r="D10" i="9"/>
  <c r="D15" i="9" s="1"/>
  <c r="C10" i="9"/>
  <c r="B10" i="9"/>
  <c r="B15" i="9" s="1"/>
  <c r="N15" i="9" l="1"/>
  <c r="I15" i="9"/>
  <c r="C15" i="9"/>
  <c r="M15" i="9"/>
  <c r="O22" i="1" l="1"/>
  <c r="N22" i="1"/>
  <c r="M22" i="1"/>
  <c r="L22" i="1"/>
  <c r="J22" i="1"/>
  <c r="I22" i="1"/>
  <c r="K22" i="1" l="1"/>
  <c r="N3" i="1"/>
  <c r="O3" i="1" s="1"/>
  <c r="B23" i="1" l="1"/>
  <c r="F23" i="3"/>
  <c r="H23" i="6"/>
  <c r="I21" i="6"/>
  <c r="I20" i="6"/>
  <c r="I19" i="6"/>
  <c r="I18" i="6"/>
  <c r="I17" i="6"/>
  <c r="I16" i="6"/>
  <c r="I14" i="6"/>
  <c r="I13" i="6"/>
  <c r="I11" i="6"/>
  <c r="I10" i="6"/>
  <c r="I9" i="6"/>
  <c r="J9" i="6" s="1"/>
  <c r="I8" i="6"/>
  <c r="I4" i="6"/>
  <c r="J17" i="6" l="1"/>
  <c r="J16" i="6"/>
  <c r="J8" i="6"/>
  <c r="J18" i="6"/>
  <c r="J11" i="6"/>
  <c r="J19" i="6"/>
  <c r="J10" i="6"/>
  <c r="J14" i="6"/>
  <c r="J20" i="6"/>
  <c r="J13" i="6"/>
  <c r="J21" i="6"/>
  <c r="J4" i="6"/>
  <c r="H4" i="3" l="1"/>
  <c r="I4" i="3"/>
  <c r="J4" i="3"/>
  <c r="K4" i="3"/>
  <c r="L4" i="3"/>
  <c r="M4" i="3"/>
  <c r="H5" i="3"/>
  <c r="I5" i="3"/>
  <c r="H6" i="3"/>
  <c r="H8" i="3"/>
  <c r="I8" i="3"/>
  <c r="J8" i="3"/>
  <c r="K8" i="3"/>
  <c r="L8" i="3"/>
  <c r="M8" i="3"/>
  <c r="H9" i="3"/>
  <c r="I9" i="3"/>
  <c r="J9" i="3"/>
  <c r="K9" i="3"/>
  <c r="L9" i="3"/>
  <c r="M9" i="3"/>
  <c r="H10" i="3"/>
  <c r="I10" i="3"/>
  <c r="J10" i="3"/>
  <c r="K10" i="3"/>
  <c r="L10" i="3"/>
  <c r="M10" i="3"/>
  <c r="H11" i="3"/>
  <c r="I11" i="3"/>
  <c r="J11" i="3"/>
  <c r="K11" i="3"/>
  <c r="L11" i="3"/>
  <c r="M11" i="3"/>
  <c r="H12" i="3"/>
  <c r="H13" i="3"/>
  <c r="I13" i="3"/>
  <c r="J13" i="3"/>
  <c r="K13" i="3"/>
  <c r="L13" i="3"/>
  <c r="M13" i="3"/>
  <c r="H14" i="3"/>
  <c r="I14" i="3"/>
  <c r="J14" i="3"/>
  <c r="K14" i="3"/>
  <c r="L14" i="3"/>
  <c r="M14" i="3"/>
  <c r="H15" i="3"/>
  <c r="I15" i="3"/>
  <c r="H16" i="3"/>
  <c r="I16" i="3"/>
  <c r="J16" i="3"/>
  <c r="K16" i="3"/>
  <c r="L16" i="3"/>
  <c r="M16" i="3"/>
  <c r="H17" i="3"/>
  <c r="I17" i="3"/>
  <c r="J17" i="3"/>
  <c r="K17" i="3"/>
  <c r="L17" i="3"/>
  <c r="M17" i="3"/>
  <c r="H18" i="3"/>
  <c r="I18" i="3"/>
  <c r="J18" i="3"/>
  <c r="K18" i="3"/>
  <c r="L18" i="3"/>
  <c r="M18" i="3"/>
  <c r="H19" i="3"/>
  <c r="I19" i="3"/>
  <c r="J19" i="3"/>
  <c r="K19" i="3"/>
  <c r="L19" i="3"/>
  <c r="M19" i="3"/>
  <c r="H20" i="3"/>
  <c r="I20" i="3"/>
  <c r="J20" i="3"/>
  <c r="K20" i="3"/>
  <c r="L20" i="3"/>
  <c r="M20" i="3"/>
  <c r="H21" i="3"/>
  <c r="I21" i="3"/>
  <c r="J21" i="3"/>
  <c r="K21" i="3"/>
  <c r="L21" i="3"/>
  <c r="M21" i="3"/>
  <c r="G5" i="3"/>
  <c r="G6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4" i="3"/>
  <c r="G3" i="3"/>
  <c r="H3" i="3" s="1"/>
  <c r="I3" i="3" s="1"/>
  <c r="J3" i="3" s="1"/>
  <c r="K3" i="3" s="1"/>
  <c r="L3" i="3" s="1"/>
  <c r="M3" i="3" s="1"/>
  <c r="F22" i="1"/>
  <c r="M25" i="1" s="1"/>
  <c r="G22" i="3" l="1"/>
  <c r="K22" i="3"/>
  <c r="M26" i="1"/>
  <c r="M27" i="1" s="1"/>
  <c r="K23" i="1"/>
  <c r="J22" i="3"/>
  <c r="H22" i="3"/>
  <c r="M22" i="3"/>
  <c r="M23" i="1"/>
  <c r="L22" i="3"/>
  <c r="L23" i="1"/>
  <c r="I22" i="6"/>
  <c r="I22" i="3"/>
  <c r="J15" i="1"/>
  <c r="J15" i="3" s="1"/>
  <c r="K12" i="1"/>
  <c r="J12" i="1"/>
  <c r="J12" i="3" s="1"/>
  <c r="I12" i="1"/>
  <c r="I12" i="3" s="1"/>
  <c r="F7" i="1"/>
  <c r="G7" i="1"/>
  <c r="H7" i="1"/>
  <c r="M7" i="1"/>
  <c r="L7" i="1"/>
  <c r="K7" i="1"/>
  <c r="J7" i="1"/>
  <c r="I7" i="1"/>
  <c r="J6" i="1"/>
  <c r="J6" i="3" s="1"/>
  <c r="I6" i="1"/>
  <c r="I6" i="3" s="1"/>
  <c r="J5" i="1"/>
  <c r="G3" i="1"/>
  <c r="H3" i="1" s="1"/>
  <c r="I3" i="1" s="1"/>
  <c r="J3" i="1" s="1"/>
  <c r="K3" i="1" s="1"/>
  <c r="L3" i="1" s="1"/>
  <c r="M3" i="1" s="1"/>
  <c r="K6" i="1" l="1"/>
  <c r="K7" i="3"/>
  <c r="L12" i="1"/>
  <c r="K12" i="3"/>
  <c r="I7" i="6"/>
  <c r="J7" i="6" s="1"/>
  <c r="L7" i="3"/>
  <c r="K5" i="1"/>
  <c r="J5" i="3"/>
  <c r="J23" i="3" s="1"/>
  <c r="K15" i="1"/>
  <c r="J7" i="3"/>
  <c r="M7" i="3"/>
  <c r="H7" i="3"/>
  <c r="H23" i="3" s="1"/>
  <c r="G7" i="3"/>
  <c r="G23" i="3" s="1"/>
  <c r="L6" i="1"/>
  <c r="K6" i="3"/>
  <c r="I7" i="3"/>
  <c r="I23" i="3" s="1"/>
  <c r="L5" i="1" l="1"/>
  <c r="K5" i="3"/>
  <c r="M6" i="1"/>
  <c r="M6" i="3" s="1"/>
  <c r="L6" i="3"/>
  <c r="M12" i="1"/>
  <c r="M12" i="3" s="1"/>
  <c r="L12" i="3"/>
  <c r="K15" i="3"/>
  <c r="L15" i="1"/>
  <c r="I12" i="6" l="1"/>
  <c r="J12" i="6" s="1"/>
  <c r="M15" i="1"/>
  <c r="M15" i="3" s="1"/>
  <c r="I15" i="6"/>
  <c r="J15" i="6" s="1"/>
  <c r="L15" i="3"/>
  <c r="I6" i="6"/>
  <c r="J6" i="6" s="1"/>
  <c r="K23" i="3"/>
  <c r="M5" i="1"/>
  <c r="M5" i="3" s="1"/>
  <c r="M23" i="3" s="1"/>
  <c r="L5" i="3"/>
  <c r="I5" i="6" l="1"/>
  <c r="L23" i="3"/>
  <c r="I23" i="6" l="1"/>
  <c r="J5" i="6"/>
  <c r="J23" i="6" s="1"/>
</calcChain>
</file>

<file path=xl/sharedStrings.xml><?xml version="1.0" encoding="utf-8"?>
<sst xmlns="http://schemas.openxmlformats.org/spreadsheetml/2006/main" count="334" uniqueCount="116">
  <si>
    <t>Company</t>
  </si>
  <si>
    <t>Ticker</t>
  </si>
  <si>
    <t>ALLETE, Inc.</t>
  </si>
  <si>
    <t>ALE</t>
  </si>
  <si>
    <t>Ameren Corporation</t>
  </si>
  <si>
    <t>AEE</t>
  </si>
  <si>
    <t>American Electric Power Company, Inc.</t>
  </si>
  <si>
    <t>AEP</t>
  </si>
  <si>
    <t>Dominion Resources, Inc.</t>
  </si>
  <si>
    <t>D</t>
  </si>
  <si>
    <t>Duke Energy Corporation</t>
  </si>
  <si>
    <t>DUK</t>
  </si>
  <si>
    <t>Edison International</t>
  </si>
  <si>
    <t>EIX</t>
  </si>
  <si>
    <t>Entergy Corporation</t>
  </si>
  <si>
    <t>ETR</t>
  </si>
  <si>
    <t xml:space="preserve">Evergy, Inc. </t>
  </si>
  <si>
    <t>EVRG</t>
  </si>
  <si>
    <t>IDACORP, Inc.</t>
  </si>
  <si>
    <t>IDA</t>
  </si>
  <si>
    <t>NextEra Energy, Inc.</t>
  </si>
  <si>
    <t>NEE</t>
  </si>
  <si>
    <t>Pinnacle West Capital Corporation</t>
  </si>
  <si>
    <t>PNW</t>
  </si>
  <si>
    <t>TXNM Energy, Inc.</t>
  </si>
  <si>
    <t>TXNM</t>
  </si>
  <si>
    <t>Portland General Electric Company</t>
  </si>
  <si>
    <t>POR</t>
  </si>
  <si>
    <t>Southern Company</t>
  </si>
  <si>
    <t>SO</t>
  </si>
  <si>
    <t>Xcel Energy Inc.</t>
  </si>
  <si>
    <t>XEL</t>
  </si>
  <si>
    <t>Algonquin Power &amp; Utilities Corporation</t>
  </si>
  <si>
    <t>AQN</t>
  </si>
  <si>
    <t>Emera Inc.</t>
  </si>
  <si>
    <t>EMA</t>
  </si>
  <si>
    <t>Fortis Inc.</t>
  </si>
  <si>
    <t>FTS</t>
  </si>
  <si>
    <t>Historical</t>
  </si>
  <si>
    <t>Projected</t>
  </si>
  <si>
    <t>Source</t>
  </si>
  <si>
    <t>Units</t>
  </si>
  <si>
    <t>Line Item</t>
  </si>
  <si>
    <t>$ millions</t>
  </si>
  <si>
    <t>2024 Allete 10-K, pp. 133-134</t>
  </si>
  <si>
    <t>2024 Ameren 10-K, p. 61, 88</t>
  </si>
  <si>
    <t>2024 AEP 10-K, p. 78-79</t>
  </si>
  <si>
    <t>2024 Dominion 10-K, p. 79, 195-197</t>
  </si>
  <si>
    <t>2024 Duke 10-K, p. 59, 77</t>
  </si>
  <si>
    <t>2024 EIX 10-K, p. 8, 53</t>
  </si>
  <si>
    <t>2024 ETR 10-K, p. 14</t>
  </si>
  <si>
    <t>2024 EVRG 10-K, pp. 55-56</t>
  </si>
  <si>
    <t>2024 IDA 10-K, p. 56, 80</t>
  </si>
  <si>
    <t>2024 NEE 10-K, p. 43, 108</t>
  </si>
  <si>
    <t>Regulated Segment CapEx</t>
  </si>
  <si>
    <t>2024 PNW 10-K, p. 78, 99</t>
  </si>
  <si>
    <t>2024 TXNM 10-K, p. A-44, B-13</t>
  </si>
  <si>
    <t>2024 POR 10-K, p. 64</t>
  </si>
  <si>
    <t>2024 SO 10-K, p. II-52, II-72</t>
  </si>
  <si>
    <t>2024 XEL 10-K, p. 41, p. 50</t>
  </si>
  <si>
    <t>2024 AQN Annual Report, p. 39; June 2025 Investor Update, p. 15</t>
  </si>
  <si>
    <t>2024 EMA Annual Report, p. 39; 2023 Annual Report, p. 38; https://investors.emera.com/why-invest/default.aspx</t>
  </si>
  <si>
    <t>2024 FTS Annual Report, p. iii; 2023 FTS Annual Report, p. iii; FTS Dec Investor Presentation, p. 39</t>
  </si>
  <si>
    <t>OPG</t>
  </si>
  <si>
    <t>DRP</t>
  </si>
  <si>
    <t>PRP</t>
  </si>
  <si>
    <t>Ontario Power Generation, Inc.</t>
  </si>
  <si>
    <t>Regulated Segment CapEx (2022 = 1.00)</t>
  </si>
  <si>
    <t>Ratio</t>
  </si>
  <si>
    <t>2025-2029</t>
  </si>
  <si>
    <t>Net Plant</t>
  </si>
  <si>
    <t>Peer Group Median</t>
  </si>
  <si>
    <t>2022-2024 Total</t>
  </si>
  <si>
    <t>2027-2029 Total</t>
  </si>
  <si>
    <t>% Increase</t>
  </si>
  <si>
    <t>EB-2020 D tables</t>
  </si>
  <si>
    <t>EB-2025 D tables</t>
  </si>
  <si>
    <t>Actual</t>
  </si>
  <si>
    <t>Budget</t>
  </si>
  <si>
    <t>Plan</t>
  </si>
  <si>
    <t>Total Nuclear Ops</t>
  </si>
  <si>
    <t>Total Nuclear</t>
  </si>
  <si>
    <t>Total Capex</t>
  </si>
  <si>
    <t>2016A</t>
  </si>
  <si>
    <t>2017A</t>
  </si>
  <si>
    <t>2018A</t>
  </si>
  <si>
    <t>2019A</t>
  </si>
  <si>
    <t>2020A</t>
  </si>
  <si>
    <t>2021A</t>
  </si>
  <si>
    <t>2022A</t>
  </si>
  <si>
    <t>2023A</t>
  </si>
  <si>
    <t>2024A</t>
  </si>
  <si>
    <t>2025F</t>
  </si>
  <si>
    <t>2026F</t>
  </si>
  <si>
    <t>2027F</t>
  </si>
  <si>
    <t>2028F</t>
  </si>
  <si>
    <t>2029F</t>
  </si>
  <si>
    <t>2030F</t>
  </si>
  <si>
    <t>2031F</t>
  </si>
  <si>
    <t>Nuclear Generation</t>
  </si>
  <si>
    <t>Hydroelectric Generation</t>
  </si>
  <si>
    <t>Total Regulated</t>
  </si>
  <si>
    <t>Nuclear Sustainability Services</t>
  </si>
  <si>
    <t>Net PP&amp;E ($M)</t>
  </si>
  <si>
    <t>PRP CCR (I1-1-1 Table 7)</t>
  </si>
  <si>
    <t>Hydro refurbishment and Redevelopment Capex</t>
  </si>
  <si>
    <t>Hydro other Capex</t>
  </si>
  <si>
    <t>Total Regulated Hydro Capex</t>
  </si>
  <si>
    <t>2024 OPG MD&amp;A, p. 15; 2023 OPG MD&amp;A p. 15. Represents CapEx excluding DNNP. Historical nuclear CapEx reported in 2023 and 2024 adjusted to exclude estimated DNNP CapEx (based on 2025 ratio of projected DNNP to nuclear CapEx of 35%).</t>
  </si>
  <si>
    <t>Projected CapEx</t>
  </si>
  <si>
    <t>Data received from OPG</t>
  </si>
  <si>
    <t>Notes</t>
  </si>
  <si>
    <t>Net Plant Source: Financial Statements; S&amp;P Capital IQ</t>
  </si>
  <si>
    <t>Source: 2022-2024 OPG MD&amp;A, Notes to the Consolidated Financial Statements</t>
  </si>
  <si>
    <t>Projected CapEx as a ratio of 2024 Net Plant</t>
  </si>
  <si>
    <t>CapEx source: 10-Ks and annual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</si>
</sst>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1" xfId="2" applyFont="1" applyBorder="1"/>
    <xf numFmtId="0" fontId="4" fillId="0" borderId="1" xfId="2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 applyAlignment="1">
      <alignment horizontal="center"/>
    </xf>
    <xf numFmtId="0" fontId="9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0" borderId="0" xfId="3" applyNumberFormat="1" applyFont="1" applyAlignment="1">
      <alignment horizontal="right"/>
    </xf>
    <xf numFmtId="165" fontId="2" fillId="0" borderId="0" xfId="3" applyNumberFormat="1" applyFont="1"/>
    <xf numFmtId="165" fontId="0" fillId="0" borderId="0" xfId="3" applyNumberFormat="1" applyFont="1"/>
    <xf numFmtId="167" fontId="2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165" fontId="0" fillId="0" borderId="0" xfId="3" applyNumberFormat="1" applyFont="1" applyAlignment="1">
      <alignment wrapText="1"/>
    </xf>
    <xf numFmtId="166" fontId="0" fillId="0" borderId="0" xfId="0" applyNumberFormat="1"/>
    <xf numFmtId="0" fontId="2" fillId="0" borderId="0" xfId="0" applyFont="1" applyAlignment="1">
      <alignment horizontal="right"/>
    </xf>
    <xf numFmtId="14" fontId="0" fillId="0" borderId="0" xfId="0" applyNumberFormat="1"/>
    <xf numFmtId="165" fontId="5" fillId="0" borderId="0" xfId="3" applyNumberFormat="1" applyFont="1" applyAlignment="1">
      <alignment wrapText="1"/>
    </xf>
    <xf numFmtId="0" fontId="0" fillId="0" borderId="1" xfId="0" applyBorder="1" applyAlignment="1">
      <alignment horizontal="right"/>
    </xf>
    <xf numFmtId="2" fontId="8" fillId="0" borderId="1" xfId="0" applyNumberFormat="1" applyFont="1" applyBorder="1" applyAlignment="1">
      <alignment horizontal="center"/>
    </xf>
  </cellXfs>
  <cellStyles count="4">
    <cellStyle name="Currency" xfId="3" builtinId="4"/>
    <cellStyle name="Normal" xfId="0" builtinId="0"/>
    <cellStyle name="Normal 195" xfId="2" xr:uid="{657AC76A-577B-44BD-ACF6-DF3ADDAE8F91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Summary_Annual!$E$22</c:f>
              <c:strCache>
                <c:ptCount val="1"/>
                <c:pt idx="0">
                  <c:v>OPG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Summary_Annual!$F$3:$M$3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Summary_Annual!$F$22:$M$22</c:f>
              <c:numCache>
                <c:formatCode>0.00</c:formatCode>
                <c:ptCount val="8"/>
                <c:pt idx="0">
                  <c:v>1</c:v>
                </c:pt>
                <c:pt idx="1">
                  <c:v>1.0846757852077002</c:v>
                </c:pt>
                <c:pt idx="2">
                  <c:v>1.3368541033434649</c:v>
                </c:pt>
                <c:pt idx="3">
                  <c:v>1.8998480243161096</c:v>
                </c:pt>
                <c:pt idx="4" formatCode="0.000">
                  <c:v>2.7393447075151056</c:v>
                </c:pt>
                <c:pt idx="5">
                  <c:v>2.889792607227712</c:v>
                </c:pt>
                <c:pt idx="6">
                  <c:v>3.0442783231867989</c:v>
                </c:pt>
                <c:pt idx="7">
                  <c:v>3.2427563692648231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1-422A-B876-45C7046DF082}"/>
            </c:ext>
          </c:extLst>
        </c:ser>
        <c:ser>
          <c:idx val="1"/>
          <c:order val="1"/>
          <c:tx>
            <c:strRef>
              <c:f>Summary_Annual!$E$23</c:f>
              <c:strCache>
                <c:ptCount val="1"/>
                <c:pt idx="0">
                  <c:v>Peer Group Median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Summary_Annual!$F$3:$M$3</c:f>
              <c:numCache>
                <c:formatCode>General</c:formatCode>
                <c:ptCount val="8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</c:numCache>
            </c:numRef>
          </c:cat>
          <c:val>
            <c:numRef>
              <c:f>Summary_Annual!$F$23:$M$23</c:f>
              <c:numCache>
                <c:formatCode>0.00</c:formatCode>
                <c:ptCount val="8"/>
                <c:pt idx="0">
                  <c:v>1</c:v>
                </c:pt>
                <c:pt idx="1">
                  <c:v>1.1167701707233435</c:v>
                </c:pt>
                <c:pt idx="2">
                  <c:v>1.2502546029851311</c:v>
                </c:pt>
                <c:pt idx="3">
                  <c:v>1.5526607170175217</c:v>
                </c:pt>
                <c:pt idx="4" formatCode="0.000">
                  <c:v>1.5492651262582466</c:v>
                </c:pt>
                <c:pt idx="5">
                  <c:v>1.6117778714388891</c:v>
                </c:pt>
                <c:pt idx="6">
                  <c:v>1.6548919129971695</c:v>
                </c:pt>
                <c:pt idx="7">
                  <c:v>1.7384731670445956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1-422A-B876-45C7046D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1966944"/>
        <c:axId val="1681967424"/>
      </c:lineChart>
      <c:catAx>
        <c:axId val="168196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967424"/>
        <c:crosses val="autoZero"/>
        <c:auto val="1"/>
        <c:lblAlgn val="ctr"/>
        <c:lblOffset val="100"/>
        <c:noMultiLvlLbl val="0"/>
      </c:catAx>
      <c:valAx>
        <c:axId val="168196742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Regulated</a:t>
                </a:r>
                <a:r>
                  <a:rPr lang="en-US" baseline="0"/>
                  <a:t> Segment CapEx (2022 = 1.00)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96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668150</xdr:colOff>
      <xdr:row>25</xdr:row>
      <xdr:rowOff>10365</xdr:rowOff>
    </xdr:from>
    <xdr:to>
      <xdr:col>12</xdr:col>
      <xdr:colOff>15688</xdr:colOff>
      <xdr:row>41</xdr:row>
      <xdr:rowOff>158003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20D46C9-749F-67CE-60EE-395108EBDF71}"/>
            </a:ext>
          </a:extLst>
        </xdr:cNvPr>
        <xdr:cNvGrpSpPr/>
      </xdr:nvGrpSpPr>
      <xdr:grpSpPr>
        <a:xfrm>
          <a:off x="7851121" y="4492718"/>
          <a:ext cx="5392270" cy="3021106"/>
          <a:chOff x="7867930" y="4660807"/>
          <a:chExt cx="5348288" cy="301634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D9BBDCEE-1FE2-4E96-8D64-76EEEE043295}"/>
              </a:ext>
            </a:extLst>
          </xdr:cNvPr>
          <xdr:cNvGraphicFramePr>
            <a:graphicFrameLocks/>
          </xdr:cNvGraphicFramePr>
        </xdr:nvGraphicFramePr>
        <xdr:xfrm>
          <a:off x="7867930" y="4660807"/>
          <a:ext cx="5348288" cy="30163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1C076F0A-9884-8E76-5931-56269FAF0CC8}"/>
              </a:ext>
            </a:extLst>
          </xdr:cNvPr>
          <xdr:cNvCxnSpPr/>
        </xdr:nvCxnSpPr>
        <xdr:spPr>
          <a:xfrm>
            <a:off x="10230971" y="4807322"/>
            <a:ext cx="0" cy="2286000"/>
          </a:xfrm>
          <a:prstGeom prst="line">
            <a:avLst/>
          </a:prstGeom>
          <a:ln>
            <a:solidFill>
              <a:schemeClr val="tx1"/>
            </a:solidFill>
            <a:prstDash val="dash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74A6F1FF-CEA0-D929-AFAB-E0F4C7674650}"/>
              </a:ext>
            </a:extLst>
          </xdr:cNvPr>
          <xdr:cNvSpPr txBox="1"/>
        </xdr:nvSpPr>
        <xdr:spPr>
          <a:xfrm>
            <a:off x="10292603" y="4885765"/>
            <a:ext cx="1065991" cy="26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&gt;&gt;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928AC20-4FAD-4ADB-A457-190F2C0E1D18}"/>
              </a:ext>
            </a:extLst>
          </xdr:cNvPr>
          <xdr:cNvSpPr txBox="1"/>
        </xdr:nvSpPr>
        <xdr:spPr>
          <a:xfrm>
            <a:off x="9115794" y="4870077"/>
            <a:ext cx="1082680" cy="26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&lt;&lt; Historical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452438</xdr:colOff>
      <xdr:row>21</xdr:row>
      <xdr:rowOff>96141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D0E18F-A159-E625-44DA-934F99C8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81738" cy="4258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8B49-249D-45CE-AB7E-2D04ED09819C}">
  <sheetPr codeName="Sheet1"/>
  <dimension ref="B2:M23"/>
  <sheetViews>
    <sheetView tabSelected="1" zoomScale="85" zoomScaleNormal="85" workbookViewId="0">
      <selection activeCell="G9" sqref="G9"/>
    </sheetView>
  </sheetViews>
  <sheetFormatPr defaultRowHeight="14.25" x14ac:dyDescent="0.45"/>
  <cols>
    <col min="1" max="1" width="2.59765625" customWidth="1"/>
    <col min="2" max="2" width="34" bestFit="1" customWidth="1"/>
    <col min="3" max="3" width="32" bestFit="1" customWidth="1"/>
    <col min="4" max="4" width="14.73046875" customWidth="1"/>
    <col min="5" max="5" width="17" bestFit="1" customWidth="1"/>
    <col min="6" max="13" width="12" style="1" customWidth="1"/>
  </cols>
  <sheetData>
    <row r="2" spans="2:13" x14ac:dyDescent="0.45">
      <c r="F2" s="1" t="s">
        <v>38</v>
      </c>
      <c r="I2" s="1" t="s">
        <v>39</v>
      </c>
    </row>
    <row r="3" spans="2:13" s="2" customFormat="1" x14ac:dyDescent="0.45">
      <c r="B3" s="5" t="s">
        <v>0</v>
      </c>
      <c r="C3" s="6" t="s">
        <v>42</v>
      </c>
      <c r="D3" s="6" t="s">
        <v>41</v>
      </c>
      <c r="E3" s="6" t="s">
        <v>1</v>
      </c>
      <c r="F3" s="7">
        <v>2022</v>
      </c>
      <c r="G3" s="7">
        <f>F3+1</f>
        <v>2023</v>
      </c>
      <c r="H3" s="7">
        <f t="shared" ref="H3:M3" si="0">G3+1</f>
        <v>2024</v>
      </c>
      <c r="I3" s="7">
        <f>H3+1</f>
        <v>2025</v>
      </c>
      <c r="J3" s="7">
        <f t="shared" si="0"/>
        <v>2026</v>
      </c>
      <c r="K3" s="7">
        <f t="shared" si="0"/>
        <v>2027</v>
      </c>
      <c r="L3" s="7">
        <f t="shared" si="0"/>
        <v>2028</v>
      </c>
      <c r="M3" s="7">
        <f t="shared" si="0"/>
        <v>2029</v>
      </c>
    </row>
    <row r="4" spans="2:13" x14ac:dyDescent="0.45">
      <c r="B4" t="s">
        <v>2</v>
      </c>
      <c r="C4" s="1" t="s">
        <v>67</v>
      </c>
      <c r="D4" s="1" t="s">
        <v>68</v>
      </c>
      <c r="E4" s="1" t="s">
        <v>3</v>
      </c>
      <c r="F4" s="10">
        <v>1</v>
      </c>
      <c r="G4" s="10">
        <f>IF('10-K CapEx Data'!G4/'10-K CapEx Data'!$F4=0, "", '10-K CapEx Data'!G4/'10-K CapEx Data'!$F4)</f>
        <v>1.4927353126974099</v>
      </c>
      <c r="H4" s="10">
        <f>IF('10-K CapEx Data'!H4/'10-K CapEx Data'!$F4=0, "", '10-K CapEx Data'!H4/'10-K CapEx Data'!$F4)</f>
        <v>1.8142766898294376</v>
      </c>
      <c r="I4" s="10">
        <f>IF('10-K CapEx Data'!I4/'10-K CapEx Data'!$F4=0, "", '10-K CapEx Data'!I4/'10-K CapEx Data'!$F4)</f>
        <v>3.3480732785849652</v>
      </c>
      <c r="J4" s="10">
        <f>IF('10-K CapEx Data'!J4/'10-K CapEx Data'!$F4=0, "", '10-K CapEx Data'!J4/'10-K CapEx Data'!$F4)</f>
        <v>5.4958938723941877</v>
      </c>
      <c r="K4" s="10">
        <f>IF('10-K CapEx Data'!K4/'10-K CapEx Data'!$F4=0, "", '10-K CapEx Data'!K4/'10-K CapEx Data'!$F4)</f>
        <v>8.33859759949463</v>
      </c>
      <c r="L4" s="10">
        <f>IF('10-K CapEx Data'!L4/'10-K CapEx Data'!$F4=0, "", '10-K CapEx Data'!L4/'10-K CapEx Data'!$F4)</f>
        <v>7.2962728995578008</v>
      </c>
      <c r="M4" s="10">
        <f>IF('10-K CapEx Data'!M4/'10-K CapEx Data'!$F4=0, "", '10-K CapEx Data'!M4/'10-K CapEx Data'!$F4)</f>
        <v>4.6430827542640554</v>
      </c>
    </row>
    <row r="5" spans="2:13" x14ac:dyDescent="0.45">
      <c r="B5" t="s">
        <v>4</v>
      </c>
      <c r="C5" s="1" t="s">
        <v>67</v>
      </c>
      <c r="D5" s="1" t="s">
        <v>68</v>
      </c>
      <c r="E5" s="1" t="s">
        <v>5</v>
      </c>
      <c r="F5" s="10">
        <v>1</v>
      </c>
      <c r="G5" s="10">
        <f>IF('10-K CapEx Data'!G5/'10-K CapEx Data'!$F5=0, "", '10-K CapEx Data'!G5/'10-K CapEx Data'!$F5)</f>
        <v>1.0734109221128021</v>
      </c>
      <c r="H5" s="10">
        <f>IF('10-K CapEx Data'!H5/'10-K CapEx Data'!$F5=0, "", '10-K CapEx Data'!H5/'10-K CapEx Data'!$F5)</f>
        <v>1.2888689943300506</v>
      </c>
      <c r="I5" s="10">
        <f>IF('10-K CapEx Data'!I5/'10-K CapEx Data'!$F5=0, "", '10-K CapEx Data'!I5/'10-K CapEx Data'!$F5)</f>
        <v>1.2518651148910773</v>
      </c>
      <c r="J5" s="10">
        <f>IF('10-K CapEx Data'!J5/'10-K CapEx Data'!$F5=0, "", '10-K CapEx Data'!J5/'10-K CapEx Data'!$F5)</f>
        <v>1.6468964488212474</v>
      </c>
      <c r="K5" s="10">
        <f>IF('10-K CapEx Data'!K5/'10-K CapEx Data'!$F5=0, "", '10-K CapEx Data'!K5/'10-K CapEx Data'!$F5)</f>
        <v>1.6468964488212474</v>
      </c>
      <c r="L5" s="10">
        <f>IF('10-K CapEx Data'!L5/'10-K CapEx Data'!$F5=0, "", '10-K CapEx Data'!L5/'10-K CapEx Data'!$F5)</f>
        <v>1.6468964488212474</v>
      </c>
      <c r="M5" s="10">
        <f>IF('10-K CapEx Data'!M5/'10-K CapEx Data'!$F5=0, "", '10-K CapEx Data'!M5/'10-K CapEx Data'!$F5)</f>
        <v>1.6468964488212474</v>
      </c>
    </row>
    <row r="6" spans="2:13" x14ac:dyDescent="0.45">
      <c r="B6" t="s">
        <v>6</v>
      </c>
      <c r="C6" s="1" t="s">
        <v>67</v>
      </c>
      <c r="D6" s="1" t="s">
        <v>68</v>
      </c>
      <c r="E6" s="1" t="s">
        <v>7</v>
      </c>
      <c r="F6" s="10">
        <v>1</v>
      </c>
      <c r="G6" s="10">
        <f>IF('10-K CapEx Data'!G6/'10-K CapEx Data'!$F6=0, "", '10-K CapEx Data'!G6/'10-K CapEx Data'!$F6)</f>
        <v>1.1059100379213693</v>
      </c>
      <c r="H6" s="10">
        <f>IF('10-K CapEx Data'!H6/'10-K CapEx Data'!$F6=0, "", '10-K CapEx Data'!H6/'10-K CapEx Data'!$F6)</f>
        <v>1.1437414751862345</v>
      </c>
      <c r="I6" s="10">
        <f>IF('10-K CapEx Data'!I6/'10-K CapEx Data'!$F6=0, "", '10-K CapEx Data'!I6/'10-K CapEx Data'!$F6)</f>
        <v>1.7051126399568326</v>
      </c>
      <c r="J6" s="10">
        <f>IF('10-K CapEx Data'!J6/'10-K CapEx Data'!$F6=0, "", '10-K CapEx Data'!J6/'10-K CapEx Data'!$F6)</f>
        <v>1.5868144550864098</v>
      </c>
      <c r="K6" s="10">
        <f>IF('10-K CapEx Data'!K6/'10-K CapEx Data'!$F6=0, "", '10-K CapEx Data'!K6/'10-K CapEx Data'!$F6)</f>
        <v>1.5868144550864098</v>
      </c>
      <c r="L6" s="10">
        <f>IF('10-K CapEx Data'!L6/'10-K CapEx Data'!$F6=0, "", '10-K CapEx Data'!L6/'10-K CapEx Data'!$F6)</f>
        <v>1.5868144550864098</v>
      </c>
      <c r="M6" s="10">
        <f>IF('10-K CapEx Data'!M6/'10-K CapEx Data'!$F6=0, "", '10-K CapEx Data'!M6/'10-K CapEx Data'!$F6)</f>
        <v>1.5868144550864098</v>
      </c>
    </row>
    <row r="7" spans="2:13" x14ac:dyDescent="0.45">
      <c r="B7" t="s">
        <v>8</v>
      </c>
      <c r="C7" s="1" t="s">
        <v>67</v>
      </c>
      <c r="D7" s="1" t="s">
        <v>68</v>
      </c>
      <c r="E7" s="1" t="s">
        <v>9</v>
      </c>
      <c r="F7" s="10">
        <v>1</v>
      </c>
      <c r="G7" s="10">
        <f>IF('10-K CapEx Data'!G7/'10-K CapEx Data'!$F7=0, "", '10-K CapEx Data'!G7/'10-K CapEx Data'!$F7)</f>
        <v>1.3830364715860899</v>
      </c>
      <c r="H7" s="10">
        <f>IF('10-K CapEx Data'!H7/'10-K CapEx Data'!$F7=0, "", '10-K CapEx Data'!H7/'10-K CapEx Data'!$F7)</f>
        <v>1.8783715012722646</v>
      </c>
      <c r="I7" s="10">
        <f>IF('10-K CapEx Data'!I7/'10-K CapEx Data'!$F7=0, "", '10-K CapEx Data'!I7/'10-K CapEx Data'!$F7)</f>
        <v>1.9338422391857504</v>
      </c>
      <c r="J7" s="10">
        <f>IF('10-K CapEx Data'!J7/'10-K CapEx Data'!$F7=0, "", '10-K CapEx Data'!J7/'10-K CapEx Data'!$F7)</f>
        <v>1.6793893129770991</v>
      </c>
      <c r="K7" s="10">
        <f>IF('10-K CapEx Data'!K7/'10-K CapEx Data'!$F7=0, "", '10-K CapEx Data'!K7/'10-K CapEx Data'!$F7)</f>
        <v>1.5267175572519085</v>
      </c>
      <c r="L7" s="10">
        <f>IF('10-K CapEx Data'!L7/'10-K CapEx Data'!$F7=0, "", '10-K CapEx Data'!L7/'10-K CapEx Data'!$F7)</f>
        <v>1.6115351993214588</v>
      </c>
      <c r="M7" s="10">
        <f>IF('10-K CapEx Data'!M7/'10-K CapEx Data'!$F7=0, "", '10-K CapEx Data'!M7/'10-K CapEx Data'!$F7)</f>
        <v>1.6624257845631891</v>
      </c>
    </row>
    <row r="8" spans="2:13" x14ac:dyDescent="0.45">
      <c r="B8" t="s">
        <v>10</v>
      </c>
      <c r="C8" s="1" t="s">
        <v>67</v>
      </c>
      <c r="D8" s="1" t="s">
        <v>68</v>
      </c>
      <c r="E8" s="1" t="s">
        <v>11</v>
      </c>
      <c r="F8" s="10">
        <v>1</v>
      </c>
      <c r="G8" s="10">
        <f>IF('10-K CapEx Data'!G8/'10-K CapEx Data'!$F8=0, "", '10-K CapEx Data'!G8/'10-K CapEx Data'!$F8)</f>
        <v>1.1088237881587051</v>
      </c>
      <c r="H8" s="10">
        <f>IF('10-K CapEx Data'!H8/'10-K CapEx Data'!$F8=0, "", '10-K CapEx Data'!H8/'10-K CapEx Data'!$F8)</f>
        <v>1.0803202252133368</v>
      </c>
      <c r="I8" s="10">
        <f>IF('10-K CapEx Data'!I8/'10-K CapEx Data'!$F8=0, "", '10-K CapEx Data'!I8/'10-K CapEx Data'!$F8)</f>
        <v>1.3064133016627077</v>
      </c>
      <c r="J8" s="10">
        <f>IF('10-K CapEx Data'!J8/'10-K CapEx Data'!$F8=0, "", '10-K CapEx Data'!J8/'10-K CapEx Data'!$F8)</f>
        <v>1.3372041875604821</v>
      </c>
      <c r="K8" s="10">
        <f>IF('10-K CapEx Data'!K8/'10-K CapEx Data'!$F8=0, "", '10-K CapEx Data'!K8/'10-K CapEx Data'!$F8)</f>
        <v>1.460367731151579</v>
      </c>
      <c r="L8" s="10" t="str">
        <f>IF('10-K CapEx Data'!L8/'10-K CapEx Data'!$F8=0, "", '10-K CapEx Data'!L8/'10-K CapEx Data'!$F8)</f>
        <v/>
      </c>
      <c r="M8" s="10" t="str">
        <f>IF('10-K CapEx Data'!M8/'10-K CapEx Data'!$F8=0, "", '10-K CapEx Data'!M8/'10-K CapEx Data'!$F8)</f>
        <v/>
      </c>
    </row>
    <row r="9" spans="2:13" x14ac:dyDescent="0.45">
      <c r="B9" t="s">
        <v>12</v>
      </c>
      <c r="C9" s="1" t="s">
        <v>67</v>
      </c>
      <c r="D9" s="1" t="s">
        <v>68</v>
      </c>
      <c r="E9" s="1" t="s">
        <v>13</v>
      </c>
      <c r="F9" s="10">
        <v>1</v>
      </c>
      <c r="G9" s="10">
        <f>IF('10-K CapEx Data'!G9/'10-K CapEx Data'!$F9=0, "", '10-K CapEx Data'!G9/'10-K CapEx Data'!$F9)</f>
        <v>0.94288681204569058</v>
      </c>
      <c r="H9" s="10">
        <f>IF('10-K CapEx Data'!H9/'10-K CapEx Data'!$F9=0, "", '10-K CapEx Data'!H9/'10-K CapEx Data'!$F9)</f>
        <v>0.98771201107649709</v>
      </c>
      <c r="I9" s="10">
        <f>IF('10-K CapEx Data'!I9/'10-K CapEx Data'!$F9=0, "", '10-K CapEx Data'!I9/'10-K CapEx Data'!$F9)</f>
        <v>1.2980269989615785</v>
      </c>
      <c r="J9" s="10">
        <f>IF('10-K CapEx Data'!J9/'10-K CapEx Data'!$F9=0, "", '10-K CapEx Data'!J9/'10-K CapEx Data'!$F9)</f>
        <v>1.4018691588785046</v>
      </c>
      <c r="K9" s="10">
        <f>IF('10-K CapEx Data'!K9/'10-K CapEx Data'!$F9=0, "", '10-K CapEx Data'!K9/'10-K CapEx Data'!$F9)</f>
        <v>1.4191761855313256</v>
      </c>
      <c r="L9" s="10">
        <f>IF('10-K CapEx Data'!L9/'10-K CapEx Data'!$F9=0, "", '10-K CapEx Data'!L9/'10-K CapEx Data'!$F9)</f>
        <v>1.3326410522672205</v>
      </c>
      <c r="M9" s="10" t="str">
        <f>IF('10-K CapEx Data'!M9/'10-K CapEx Data'!$F9=0, "", '10-K CapEx Data'!M9/'10-K CapEx Data'!$F9)</f>
        <v/>
      </c>
    </row>
    <row r="10" spans="2:13" x14ac:dyDescent="0.45">
      <c r="B10" t="s">
        <v>14</v>
      </c>
      <c r="C10" s="1" t="s">
        <v>67</v>
      </c>
      <c r="D10" s="1" t="s">
        <v>68</v>
      </c>
      <c r="E10" s="1" t="s">
        <v>15</v>
      </c>
      <c r="F10" s="10">
        <v>1</v>
      </c>
      <c r="G10" s="10">
        <f>IF('10-K CapEx Data'!G10/'10-K CapEx Data'!$F10=0, "", '10-K CapEx Data'!G10/'10-K CapEx Data'!$F10)</f>
        <v>0.87671106306141244</v>
      </c>
      <c r="H10" s="10">
        <f>IF('10-K CapEx Data'!H10/'10-K CapEx Data'!$F10=0, "", '10-K CapEx Data'!H10/'10-K CapEx Data'!$F10)</f>
        <v>0.9552257930010033</v>
      </c>
      <c r="I10" s="10">
        <f>IF('10-K CapEx Data'!I10/'10-K CapEx Data'!$F10=0, "", '10-K CapEx Data'!I10/'10-K CapEx Data'!$F10)</f>
        <v>1.6574118787963024</v>
      </c>
      <c r="J10" s="10">
        <f>IF('10-K CapEx Data'!J10/'10-K CapEx Data'!$F10=0, "", '10-K CapEx Data'!J10/'10-K CapEx Data'!$F10)</f>
        <v>1.904197447408021</v>
      </c>
      <c r="K10" s="10">
        <f>IF('10-K CapEx Data'!K10/'10-K CapEx Data'!$F10=0, "", '10-K CapEx Data'!K10/'10-K CapEx Data'!$F10)</f>
        <v>1.7383575453009461</v>
      </c>
      <c r="L10" s="10" t="str">
        <f>IF('10-K CapEx Data'!L10/'10-K CapEx Data'!$F10=0, "", '10-K CapEx Data'!L10/'10-K CapEx Data'!$F10)</f>
        <v/>
      </c>
      <c r="M10" s="10" t="str">
        <f>IF('10-K CapEx Data'!M10/'10-K CapEx Data'!$F10=0, "", '10-K CapEx Data'!M10/'10-K CapEx Data'!$F10)</f>
        <v/>
      </c>
    </row>
    <row r="11" spans="2:13" x14ac:dyDescent="0.45">
      <c r="B11" t="s">
        <v>16</v>
      </c>
      <c r="C11" s="1" t="s">
        <v>67</v>
      </c>
      <c r="D11" s="1" t="s">
        <v>68</v>
      </c>
      <c r="E11" s="1" t="s">
        <v>17</v>
      </c>
      <c r="F11" s="10">
        <v>1</v>
      </c>
      <c r="G11" s="10">
        <f>IF('10-K CapEx Data'!G11/'10-K CapEx Data'!$F11=0, "", '10-K CapEx Data'!G11/'10-K CapEx Data'!$F11)</f>
        <v>1.0773136395107317</v>
      </c>
      <c r="H11" s="10">
        <f>IF('10-K CapEx Data'!H11/'10-K CapEx Data'!$F11=0, "", '10-K CapEx Data'!H11/'10-K CapEx Data'!$F11)</f>
        <v>1.0785137318255249</v>
      </c>
      <c r="I11" s="10">
        <f>IF('10-K CapEx Data'!I11/'10-K CapEx Data'!$F11=0, "", '10-K CapEx Data'!I11/'10-K CapEx Data'!$F11)</f>
        <v>1.1728594507269789</v>
      </c>
      <c r="J11" s="10">
        <f>IF('10-K CapEx Data'!J11/'10-K CapEx Data'!$F11=0, "", '10-K CapEx Data'!J11/'10-K CapEx Data'!$F11)</f>
        <v>1.4498038310639281</v>
      </c>
      <c r="K11" s="10">
        <f>IF('10-K CapEx Data'!K11/'10-K CapEx Data'!$F11=0, "", '10-K CapEx Data'!K11/'10-K CapEx Data'!$F11)</f>
        <v>1.6367412877913685</v>
      </c>
      <c r="L11" s="10">
        <f>IF('10-K CapEx Data'!L11/'10-K CapEx Data'!$F11=0, "", '10-K CapEx Data'!L11/'10-K CapEx Data'!$F11)</f>
        <v>1.9376875144241865</v>
      </c>
      <c r="M11" s="10">
        <f>IF('10-K CapEx Data'!M11/'10-K CapEx Data'!$F11=0, "", '10-K CapEx Data'!M11/'10-K CapEx Data'!$F11)</f>
        <v>1.8601430879298408</v>
      </c>
    </row>
    <row r="12" spans="2:13" x14ac:dyDescent="0.45">
      <c r="B12" t="s">
        <v>18</v>
      </c>
      <c r="C12" s="1" t="s">
        <v>67</v>
      </c>
      <c r="D12" s="1" t="s">
        <v>68</v>
      </c>
      <c r="E12" s="1" t="s">
        <v>19</v>
      </c>
      <c r="F12" s="10">
        <v>1</v>
      </c>
      <c r="G12" s="10">
        <f>IF('10-K CapEx Data'!G12/'10-K CapEx Data'!$F12=0, "", '10-K CapEx Data'!G12/'10-K CapEx Data'!$F12)</f>
        <v>1.4127428113058815</v>
      </c>
      <c r="H12" s="10">
        <f>IF('10-K CapEx Data'!H12/'10-K CapEx Data'!$F12=0, "", '10-K CapEx Data'!H12/'10-K CapEx Data'!$F12)</f>
        <v>2.3331129547908063</v>
      </c>
      <c r="I12" s="10">
        <f>IF('10-K CapEx Data'!I12/'10-K CapEx Data'!$F12=0, "", '10-K CapEx Data'!I12/'10-K CapEx Data'!$F12)</f>
        <v>2.4272461851780789</v>
      </c>
      <c r="J12" s="10">
        <f>IF('10-K CapEx Data'!J12/'10-K CapEx Data'!$F12=0, "", '10-K CapEx Data'!J12/'10-K CapEx Data'!$F12)</f>
        <v>3.0051619435538122</v>
      </c>
      <c r="K12" s="10">
        <f>IF('10-K CapEx Data'!K12/'10-K CapEx Data'!$F12=0, "", '10-K CapEx Data'!K12/'10-K CapEx Data'!$F12)</f>
        <v>2.5813570540782744</v>
      </c>
      <c r="L12" s="10">
        <f>IF('10-K CapEx Data'!L12/'10-K CapEx Data'!$F12=0, "", '10-K CapEx Data'!L12/'10-K CapEx Data'!$F12)</f>
        <v>2.5813570540782744</v>
      </c>
      <c r="M12" s="10">
        <f>IF('10-K CapEx Data'!M12/'10-K CapEx Data'!$F12=0, "", '10-K CapEx Data'!M12/'10-K CapEx Data'!$F12)</f>
        <v>2.5813570540782744</v>
      </c>
    </row>
    <row r="13" spans="2:13" x14ac:dyDescent="0.45">
      <c r="B13" t="s">
        <v>20</v>
      </c>
      <c r="C13" s="1" t="s">
        <v>67</v>
      </c>
      <c r="D13" s="1" t="s">
        <v>68</v>
      </c>
      <c r="E13" s="1" t="s">
        <v>21</v>
      </c>
      <c r="F13" s="10">
        <v>1</v>
      </c>
      <c r="G13" s="10">
        <f>IF('10-K CapEx Data'!G13/'10-K CapEx Data'!$F13=0, "", '10-K CapEx Data'!G13/'10-K CapEx Data'!$F13)</f>
        <v>1.0234077299945563</v>
      </c>
      <c r="H13" s="10">
        <f>IF('10-K CapEx Data'!H13/'10-K CapEx Data'!$F13=0, "", '10-K CapEx Data'!H13/'10-K CapEx Data'!$F13)</f>
        <v>0.89428415895481761</v>
      </c>
      <c r="I13" s="10">
        <f>IF('10-K CapEx Data'!I13/'10-K CapEx Data'!$F13=0, "", '10-K CapEx Data'!I13/'10-K CapEx Data'!$F13)</f>
        <v>0.91725639629831246</v>
      </c>
      <c r="J13" s="10">
        <f>IF('10-K CapEx Data'!J13/'10-K CapEx Data'!$F13=0, "", '10-K CapEx Data'!J13/'10-K CapEx Data'!$F13)</f>
        <v>1.1453456722917801</v>
      </c>
      <c r="K13" s="10">
        <f>IF('10-K CapEx Data'!K13/'10-K CapEx Data'!$F13=0, "", '10-K CapEx Data'!K13/'10-K CapEx Data'!$F13)</f>
        <v>1.0783886771910725</v>
      </c>
      <c r="L13" s="10">
        <f>IF('10-K CapEx Data'!L13/'10-K CapEx Data'!$F13=0, "", '10-K CapEx Data'!L13/'10-K CapEx Data'!$F13)</f>
        <v>1.1072400653238976</v>
      </c>
      <c r="M13" s="10">
        <f>IF('10-K CapEx Data'!M13/'10-K CapEx Data'!$F13=0, "", '10-K CapEx Data'!M13/'10-K CapEx Data'!$F13)</f>
        <v>1.1524224278715296</v>
      </c>
    </row>
    <row r="14" spans="2:13" x14ac:dyDescent="0.45">
      <c r="B14" t="s">
        <v>22</v>
      </c>
      <c r="C14" s="1" t="s">
        <v>67</v>
      </c>
      <c r="D14" s="1" t="s">
        <v>68</v>
      </c>
      <c r="E14" s="1" t="s">
        <v>23</v>
      </c>
      <c r="F14" s="10">
        <v>1</v>
      </c>
      <c r="G14" s="10">
        <f>IF('10-K CapEx Data'!G14/'10-K CapEx Data'!$F14=0, "", '10-K CapEx Data'!G14/'10-K CapEx Data'!$F14)</f>
        <v>1.0813357618492641</v>
      </c>
      <c r="H14" s="10">
        <f>IF('10-K CapEx Data'!H14/'10-K CapEx Data'!$F14=0, "", '10-K CapEx Data'!H14/'10-K CapEx Data'!$F14)</f>
        <v>1.3172522240247382</v>
      </c>
      <c r="I14" s="10">
        <f>IF('10-K CapEx Data'!I14/'10-K CapEx Data'!$F14=0, "", '10-K CapEx Data'!I14/'10-K CapEx Data'!$F14)</f>
        <v>1.4055719213582509</v>
      </c>
      <c r="J14" s="10">
        <f>IF('10-K CapEx Data'!J14/'10-K CapEx Data'!$F14=0, "", '10-K CapEx Data'!J14/'10-K CapEx Data'!$F14)</f>
        <v>1.4934201664431417</v>
      </c>
      <c r="K14" s="10">
        <f>IF('10-K CapEx Data'!K14/'10-K CapEx Data'!$F14=0, "", '10-K CapEx Data'!K14/'10-K CapEx Data'!$F14)</f>
        <v>1.5519856631664022</v>
      </c>
      <c r="L14" s="10" t="str">
        <f>IF('10-K CapEx Data'!L14/'10-K CapEx Data'!$F14=0, "", '10-K CapEx Data'!L14/'10-K CapEx Data'!$F14)</f>
        <v/>
      </c>
      <c r="M14" s="10" t="str">
        <f>IF('10-K CapEx Data'!M14/'10-K CapEx Data'!$F14=0, "", '10-K CapEx Data'!M14/'10-K CapEx Data'!$F14)</f>
        <v/>
      </c>
    </row>
    <row r="15" spans="2:13" x14ac:dyDescent="0.45">
      <c r="B15" t="s">
        <v>24</v>
      </c>
      <c r="C15" s="1" t="s">
        <v>67</v>
      </c>
      <c r="D15" s="1" t="s">
        <v>68</v>
      </c>
      <c r="E15" s="1" t="s">
        <v>25</v>
      </c>
      <c r="F15" s="10">
        <v>1</v>
      </c>
      <c r="G15" s="10">
        <f>IF('10-K CapEx Data'!G15/'10-K CapEx Data'!$F15=0, "", '10-K CapEx Data'!G15/'10-K CapEx Data'!$F15)</f>
        <v>1.1788984140168777</v>
      </c>
      <c r="H15" s="10">
        <f>IF('10-K CapEx Data'!H15/'10-K CapEx Data'!$F15=0, "", '10-K CapEx Data'!H15/'10-K CapEx Data'!$F15)</f>
        <v>1.3665349123397224</v>
      </c>
      <c r="I15" s="10">
        <f>IF('10-K CapEx Data'!I15/'10-K CapEx Data'!$F15=0, "", '10-K CapEx Data'!I15/'10-K CapEx Data'!$F15)</f>
        <v>1.4479095552387411</v>
      </c>
      <c r="J15" s="10">
        <f>IF('10-K CapEx Data'!J15/'10-K CapEx Data'!$F15=0, "", '10-K CapEx Data'!J15/'10-K CapEx Data'!$F15)</f>
        <v>1.7842721057424358</v>
      </c>
      <c r="K15" s="10">
        <f>IF('10-K CapEx Data'!K15/'10-K CapEx Data'!$F15=0, "", '10-K CapEx Data'!K15/'10-K CapEx Data'!$F15)</f>
        <v>1.7842721057424358</v>
      </c>
      <c r="L15" s="10">
        <f>IF('10-K CapEx Data'!L15/'10-K CapEx Data'!$F15=0, "", '10-K CapEx Data'!L15/'10-K CapEx Data'!$F15)</f>
        <v>1.7842721057424358</v>
      </c>
      <c r="M15" s="10">
        <f>IF('10-K CapEx Data'!M15/'10-K CapEx Data'!$F15=0, "", '10-K CapEx Data'!M15/'10-K CapEx Data'!$F15)</f>
        <v>1.7842721057424358</v>
      </c>
    </row>
    <row r="16" spans="2:13" x14ac:dyDescent="0.45">
      <c r="B16" t="s">
        <v>26</v>
      </c>
      <c r="C16" s="1" t="s">
        <v>67</v>
      </c>
      <c r="D16" s="1" t="s">
        <v>68</v>
      </c>
      <c r="E16" s="1" t="s">
        <v>27</v>
      </c>
      <c r="F16" s="10">
        <v>1</v>
      </c>
      <c r="G16" s="10">
        <f>IF('10-K CapEx Data'!G16/'10-K CapEx Data'!$F16=0, "", '10-K CapEx Data'!G16/'10-K CapEx Data'!$F16)</f>
        <v>1.7728459530026111</v>
      </c>
      <c r="H16" s="10">
        <f>IF('10-K CapEx Data'!H16/'10-K CapEx Data'!$F16=0, "", '10-K CapEx Data'!H16/'10-K CapEx Data'!$F16)</f>
        <v>1.6553524804177546</v>
      </c>
      <c r="I16" s="10">
        <f>IF('10-K CapEx Data'!I16/'10-K CapEx Data'!$F16=0, "", '10-K CapEx Data'!I16/'10-K CapEx Data'!$F16)</f>
        <v>1.6579634464751958</v>
      </c>
      <c r="J16" s="10">
        <f>IF('10-K CapEx Data'!J16/'10-K CapEx Data'!$F16=0, "", '10-K CapEx Data'!J16/'10-K CapEx Data'!$F16)</f>
        <v>1.5013054830287207</v>
      </c>
      <c r="K16" s="10">
        <f>IF('10-K CapEx Data'!K16/'10-K CapEx Data'!$F16=0, "", '10-K CapEx Data'!K16/'10-K CapEx Data'!$F16)</f>
        <v>1.671018276762402</v>
      </c>
      <c r="L16" s="10">
        <f>IF('10-K CapEx Data'!L16/'10-K CapEx Data'!$F16=0, "", '10-K CapEx Data'!L16/'10-K CapEx Data'!$F16)</f>
        <v>1.7493472584856398</v>
      </c>
      <c r="M16" s="10">
        <f>IF('10-K CapEx Data'!M16/'10-K CapEx Data'!$F16=0, "", '10-K CapEx Data'!M16/'10-K CapEx Data'!$F16)</f>
        <v>1.8733681462140992</v>
      </c>
    </row>
    <row r="17" spans="2:13" x14ac:dyDescent="0.45">
      <c r="B17" t="s">
        <v>28</v>
      </c>
      <c r="C17" s="1" t="s">
        <v>67</v>
      </c>
      <c r="D17" s="1" t="s">
        <v>68</v>
      </c>
      <c r="E17" s="1" t="s">
        <v>29</v>
      </c>
      <c r="F17" s="10">
        <v>1</v>
      </c>
      <c r="G17" s="10">
        <f>IF('10-K CapEx Data'!G17/'10-K CapEx Data'!$F17=0, "", '10-K CapEx Data'!G17/'10-K CapEx Data'!$F17)</f>
        <v>1.1479237662501578</v>
      </c>
      <c r="H17" s="10">
        <f>IF('10-K CapEx Data'!H17/'10-K CapEx Data'!$F17=0, "", '10-K CapEx Data'!H17/'10-K CapEx Data'!$F17)</f>
        <v>1.1302536917834154</v>
      </c>
      <c r="I17" s="10">
        <f>IF('10-K CapEx Data'!I17/'10-K CapEx Data'!$F17=0, "", '10-K CapEx Data'!I17/'10-K CapEx Data'!$F17)</f>
        <v>1.8679793007699104</v>
      </c>
      <c r="J17" s="10">
        <f>IF('10-K CapEx Data'!J17/'10-K CapEx Data'!$F17=0, "", '10-K CapEx Data'!J17/'10-K CapEx Data'!$F17)</f>
        <v>1.4514704026252683</v>
      </c>
      <c r="K17" s="10">
        <f>IF('10-K CapEx Data'!K17/'10-K CapEx Data'!$F17=0, "", '10-K CapEx Data'!K17/'10-K CapEx Data'!$F17)</f>
        <v>1.388362993815474</v>
      </c>
      <c r="L17" s="10">
        <f>IF('10-K CapEx Data'!L17/'10-K CapEx Data'!$F17=0, "", '10-K CapEx Data'!L17/'10-K CapEx Data'!$F17)</f>
        <v>1.4262274391013505</v>
      </c>
      <c r="M17" s="10">
        <f>IF('10-K CapEx Data'!M17/'10-K CapEx Data'!$F17=0, "", '10-K CapEx Data'!M17/'10-K CapEx Data'!$F17)</f>
        <v>1.388362993815474</v>
      </c>
    </row>
    <row r="18" spans="2:13" x14ac:dyDescent="0.45">
      <c r="B18" t="s">
        <v>30</v>
      </c>
      <c r="C18" s="1" t="s">
        <v>67</v>
      </c>
      <c r="D18" s="1" t="s">
        <v>68</v>
      </c>
      <c r="E18" s="1" t="s">
        <v>31</v>
      </c>
      <c r="F18" s="10">
        <v>1</v>
      </c>
      <c r="G18" s="10">
        <f>IF('10-K CapEx Data'!G18/'10-K CapEx Data'!$F18=0, "", '10-K CapEx Data'!G18/'10-K CapEx Data'!$F18)</f>
        <v>1.2621819749892196</v>
      </c>
      <c r="H18" s="10">
        <f>IF('10-K CapEx Data'!H18/'10-K CapEx Data'!$F18=0, "", '10-K CapEx Data'!H18/'10-K CapEx Data'!$F18)</f>
        <v>1.5877533419577403</v>
      </c>
      <c r="I18" s="10">
        <f>IF('10-K CapEx Data'!I18/'10-K CapEx Data'!$F18=0, "", '10-K CapEx Data'!I18/'10-K CapEx Data'!$F18)</f>
        <v>2.3717119448037947</v>
      </c>
      <c r="J18" s="10">
        <f>IF('10-K CapEx Data'!J18/'10-K CapEx Data'!$F18=0, "", '10-K CapEx Data'!J18/'10-K CapEx Data'!$F18)</f>
        <v>2.1216041397153944</v>
      </c>
      <c r="K18" s="10">
        <f>IF('10-K CapEx Data'!K18/'10-K CapEx Data'!$F18=0, "", '10-K CapEx Data'!K18/'10-K CapEx Data'!$F18)</f>
        <v>1.8865890470030184</v>
      </c>
      <c r="L18" s="10">
        <f>IF('10-K CapEx Data'!L18/'10-K CapEx Data'!$F18=0, "", '10-K CapEx Data'!L18/'10-K CapEx Data'!$F18)</f>
        <v>1.6321690383786114</v>
      </c>
      <c r="M18" s="10">
        <f>IF('10-K CapEx Data'!M18/'10-K CapEx Data'!$F18=0, "", '10-K CapEx Data'!M18/'10-K CapEx Data'!$F18)</f>
        <v>1.6903837861147046</v>
      </c>
    </row>
    <row r="19" spans="2:13" x14ac:dyDescent="0.45">
      <c r="B19" t="s">
        <v>32</v>
      </c>
      <c r="C19" s="1" t="s">
        <v>67</v>
      </c>
      <c r="D19" s="1" t="s">
        <v>68</v>
      </c>
      <c r="E19" s="1" t="s">
        <v>33</v>
      </c>
      <c r="F19" s="10">
        <v>1</v>
      </c>
      <c r="G19" s="10">
        <f>IF('10-K CapEx Data'!G19/'10-K CapEx Data'!$F19=0, "", '10-K CapEx Data'!G19/'10-K CapEx Data'!$F19)</f>
        <v>0.46448053169477704</v>
      </c>
      <c r="H19" s="10">
        <f>IF('10-K CapEx Data'!H19/'10-K CapEx Data'!$F19=0, "", '10-K CapEx Data'!H19/'10-K CapEx Data'!$F19)</f>
        <v>0.47413630948648816</v>
      </c>
      <c r="I19" s="10">
        <f>IF('10-K CapEx Data'!I19/'10-K CapEx Data'!$F19=0, "", '10-K CapEx Data'!I19/'10-K CapEx Data'!$F19)</f>
        <v>0.39500909147908958</v>
      </c>
      <c r="J19" s="10">
        <f>IF('10-K CapEx Data'!J19/'10-K CapEx Data'!$F19=0, "", '10-K CapEx Data'!J19/'10-K CapEx Data'!$F19)</f>
        <v>0.49219386795410369</v>
      </c>
      <c r="K19" s="10">
        <f>IF('10-K CapEx Data'!K19/'10-K CapEx Data'!$F19=0, "", '10-K CapEx Data'!K19/'10-K CapEx Data'!$F19)</f>
        <v>0.65207850021944946</v>
      </c>
      <c r="L19" s="10" t="str">
        <f>IF('10-K CapEx Data'!L19/'10-K CapEx Data'!$F19=0, "", '10-K CapEx Data'!L19/'10-K CapEx Data'!$F19)</f>
        <v/>
      </c>
      <c r="M19" s="10" t="str">
        <f>IF('10-K CapEx Data'!M19/'10-K CapEx Data'!$F19=0, "", '10-K CapEx Data'!M19/'10-K CapEx Data'!$F19)</f>
        <v/>
      </c>
    </row>
    <row r="20" spans="2:13" x14ac:dyDescent="0.45">
      <c r="B20" t="s">
        <v>34</v>
      </c>
      <c r="C20" s="1" t="s">
        <v>67</v>
      </c>
      <c r="D20" s="1" t="s">
        <v>68</v>
      </c>
      <c r="E20" s="1" t="s">
        <v>35</v>
      </c>
      <c r="F20" s="10">
        <v>1</v>
      </c>
      <c r="G20" s="10">
        <f>IF('10-K CapEx Data'!G20/'10-K CapEx Data'!$F20=0, "", '10-K CapEx Data'!G20/'10-K CapEx Data'!$F20)</f>
        <v>1.1247165532879819</v>
      </c>
      <c r="H20" s="10">
        <f>IF('10-K CapEx Data'!H20/'10-K CapEx Data'!$F20=0, "", '10-K CapEx Data'!H20/'10-K CapEx Data'!$F20)</f>
        <v>1.2116402116402116</v>
      </c>
      <c r="I20" s="10">
        <f>IF('10-K CapEx Data'!I20/'10-K CapEx Data'!$F20=0, "", '10-K CapEx Data'!I20/'10-K CapEx Data'!$F20)</f>
        <v>1.2849584278155706</v>
      </c>
      <c r="J20" s="10">
        <f>IF('10-K CapEx Data'!J20/'10-K CapEx Data'!$F20=0, "", '10-K CapEx Data'!J20/'10-K CapEx Data'!$F20)</f>
        <v>1.5117157974300832</v>
      </c>
      <c r="K20" s="10">
        <f>IF('10-K CapEx Data'!K20/'10-K CapEx Data'!$F20=0, "", '10-K CapEx Data'!K20/'10-K CapEx Data'!$F20)</f>
        <v>1.5495086923658352</v>
      </c>
      <c r="L20" s="10">
        <f>IF('10-K CapEx Data'!L20/'10-K CapEx Data'!$F20=0, "", '10-K CapEx Data'!L20/'10-K CapEx Data'!$F20)</f>
        <v>1.6628873771730914</v>
      </c>
      <c r="M20" s="10">
        <f>IF('10-K CapEx Data'!M20/'10-K CapEx Data'!$F20=0, "", '10-K CapEx Data'!M20/'10-K CapEx Data'!$F20)</f>
        <v>1.7384731670445956</v>
      </c>
    </row>
    <row r="21" spans="2:13" x14ac:dyDescent="0.45">
      <c r="B21" s="4" t="s">
        <v>36</v>
      </c>
      <c r="C21" s="11" t="s">
        <v>67</v>
      </c>
      <c r="D21" s="11" t="s">
        <v>68</v>
      </c>
      <c r="E21" s="11" t="s">
        <v>37</v>
      </c>
      <c r="F21" s="12">
        <v>1</v>
      </c>
      <c r="G21" s="12">
        <f>IF('10-K CapEx Data'!G21/'10-K CapEx Data'!$F21=0, "", '10-K CapEx Data'!G21/'10-K CapEx Data'!$F21)</f>
        <v>3.3274404304381244</v>
      </c>
      <c r="H21" s="12">
        <f>IF('10-K CapEx Data'!H21/'10-K CapEx Data'!$F21=0, "", '10-K CapEx Data'!H21/'10-K CapEx Data'!$F21)</f>
        <v>4.0330514988470405</v>
      </c>
      <c r="I21" s="12">
        <f>IF('10-K CapEx Data'!I21/'10-K CapEx Data'!$F21=0, "", '10-K CapEx Data'!I21/'10-K CapEx Data'!$F21)</f>
        <v>3.9800153727901613</v>
      </c>
      <c r="J21" s="12">
        <f>IF('10-K CapEx Data'!J21/'10-K CapEx Data'!$F21=0, "", '10-K CapEx Data'!J21/'10-K CapEx Data'!$F21)</f>
        <v>3.9907763259031515</v>
      </c>
      <c r="K21" s="12">
        <f>IF('10-K CapEx Data'!K21/'10-K CapEx Data'!$F21=0, "", '10-K CapEx Data'!K21/'10-K CapEx Data'!$F21)</f>
        <v>4.2951575710991543</v>
      </c>
      <c r="L21" s="12">
        <f>IF('10-K CapEx Data'!L21/'10-K CapEx Data'!$F21=0, "", '10-K CapEx Data'!L21/'10-K CapEx Data'!$F21)</f>
        <v>4.1837048424289005</v>
      </c>
      <c r="M21" s="12">
        <f>IF('10-K CapEx Data'!M21/'10-K CapEx Data'!$F21=0, "", '10-K CapEx Data'!M21/'10-K CapEx Data'!$F21)</f>
        <v>3.5403535741737127</v>
      </c>
    </row>
    <row r="22" spans="2:13" ht="13.9" customHeight="1" x14ac:dyDescent="0.45">
      <c r="B22" t="s">
        <v>66</v>
      </c>
      <c r="C22" s="1" t="s">
        <v>67</v>
      </c>
      <c r="D22" s="1" t="s">
        <v>68</v>
      </c>
      <c r="E22" s="1" t="s">
        <v>63</v>
      </c>
      <c r="F22" s="10">
        <v>1</v>
      </c>
      <c r="G22" s="10">
        <f>IF('10-K CapEx Data'!G22/'10-K CapEx Data'!$F22=0, "", '10-K CapEx Data'!G22/'10-K CapEx Data'!$F22)</f>
        <v>1.0846757852077002</v>
      </c>
      <c r="H22" s="10">
        <f>IF('10-K CapEx Data'!H22/'10-K CapEx Data'!$F22=0, "", '10-K CapEx Data'!H22/'10-K CapEx Data'!$F22)</f>
        <v>1.3368541033434649</v>
      </c>
      <c r="I22" s="10">
        <f>IF('10-K CapEx Data'!I22/'10-K CapEx Data'!$F22=0, "", '10-K CapEx Data'!I22/'10-K CapEx Data'!$F22)</f>
        <v>1.8998480243161096</v>
      </c>
      <c r="J22" s="38">
        <f>IF('10-K CapEx Data'!J22/'10-K CapEx Data'!$F22=0, "", '10-K CapEx Data'!J22/'10-K CapEx Data'!$F22)</f>
        <v>2.7393447075151056</v>
      </c>
      <c r="K22" s="10">
        <f>IF('10-K CapEx Data'!K22/'10-K CapEx Data'!$F22=0, "", '10-K CapEx Data'!K22/'10-K CapEx Data'!$F22)</f>
        <v>2.889792607227712</v>
      </c>
      <c r="L22" s="10">
        <f>IF('10-K CapEx Data'!L22/'10-K CapEx Data'!$F22=0, "", '10-K CapEx Data'!L22/'10-K CapEx Data'!$F22)</f>
        <v>3.0442783231867989</v>
      </c>
      <c r="M22" s="10">
        <f>IF('10-K CapEx Data'!M22/'10-K CapEx Data'!$F22=0, "", '10-K CapEx Data'!M22/'10-K CapEx Data'!$F22)</f>
        <v>3.2427563692648231</v>
      </c>
    </row>
    <row r="23" spans="2:13" s="2" customFormat="1" x14ac:dyDescent="0.45">
      <c r="B23" s="2" t="s">
        <v>71</v>
      </c>
      <c r="C23" s="3" t="s">
        <v>67</v>
      </c>
      <c r="D23" s="3" t="s">
        <v>68</v>
      </c>
      <c r="E23" s="3" t="s">
        <v>71</v>
      </c>
      <c r="F23" s="24">
        <f>MEDIAN(F4:F21)</f>
        <v>1</v>
      </c>
      <c r="G23" s="24">
        <f>MEDIAN(G4:G21)</f>
        <v>1.1167701707233435</v>
      </c>
      <c r="H23" s="24">
        <f t="shared" ref="H23:M23" si="1">MEDIAN(H4:H21)</f>
        <v>1.2502546029851311</v>
      </c>
      <c r="I23" s="24">
        <f t="shared" si="1"/>
        <v>1.5526607170175217</v>
      </c>
      <c r="J23" s="37">
        <f t="shared" si="1"/>
        <v>1.5492651262582466</v>
      </c>
      <c r="K23" s="24">
        <f t="shared" si="1"/>
        <v>1.6117778714388891</v>
      </c>
      <c r="L23" s="24">
        <f t="shared" si="1"/>
        <v>1.6548919129971695</v>
      </c>
      <c r="M23" s="24">
        <f t="shared" si="1"/>
        <v>1.7384731670445956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1063-4107-49C2-8F93-D749780D8827}">
  <sheetPr codeName="Sheet2"/>
  <dimension ref="B2:J27"/>
  <sheetViews>
    <sheetView zoomScale="85" zoomScaleNormal="85" workbookViewId="0">
      <selection activeCell="I8" sqref="I8"/>
    </sheetView>
  </sheetViews>
  <sheetFormatPr defaultColWidth="9" defaultRowHeight="14.25" x14ac:dyDescent="0.45"/>
  <cols>
    <col min="1" max="1" width="2.59765625" style="15" customWidth="1"/>
    <col min="2" max="2" width="34" style="15" bestFit="1" customWidth="1"/>
    <col min="3" max="3" width="26.86328125" style="15" customWidth="1"/>
    <col min="4" max="4" width="14.73046875" style="15" customWidth="1"/>
    <col min="5" max="5" width="17" style="15" bestFit="1" customWidth="1"/>
    <col min="6" max="8" width="12" style="16" customWidth="1"/>
    <col min="9" max="9" width="14.1328125" style="16" bestFit="1" customWidth="1"/>
    <col min="10" max="10" width="36.6640625" style="23" bestFit="1" customWidth="1"/>
    <col min="11" max="16384" width="9" style="15"/>
  </cols>
  <sheetData>
    <row r="2" spans="2:10" x14ac:dyDescent="0.45">
      <c r="F2" s="16" t="s">
        <v>70</v>
      </c>
      <c r="G2" s="16" t="s">
        <v>70</v>
      </c>
      <c r="H2" s="16" t="s">
        <v>70</v>
      </c>
      <c r="I2" s="16" t="s">
        <v>109</v>
      </c>
    </row>
    <row r="3" spans="2:10" s="18" customFormat="1" x14ac:dyDescent="0.45">
      <c r="B3" s="5" t="s">
        <v>0</v>
      </c>
      <c r="C3" s="6" t="s">
        <v>42</v>
      </c>
      <c r="D3" s="6" t="s">
        <v>41</v>
      </c>
      <c r="E3" s="6" t="s">
        <v>1</v>
      </c>
      <c r="F3" s="17">
        <v>2022</v>
      </c>
      <c r="G3" s="17">
        <v>2023</v>
      </c>
      <c r="H3" s="17">
        <v>2024</v>
      </c>
      <c r="I3" s="17" t="s">
        <v>69</v>
      </c>
      <c r="J3" s="17" t="s">
        <v>114</v>
      </c>
    </row>
    <row r="4" spans="2:10" x14ac:dyDescent="0.45">
      <c r="B4" s="15" t="s">
        <v>2</v>
      </c>
      <c r="C4" s="16" t="s">
        <v>54</v>
      </c>
      <c r="D4" s="16" t="s">
        <v>43</v>
      </c>
      <c r="E4" s="16" t="s">
        <v>3</v>
      </c>
      <c r="F4" s="19">
        <v>5016.7</v>
      </c>
      <c r="G4" s="19">
        <v>5013.3999999999996</v>
      </c>
      <c r="H4" s="19">
        <v>5181.5</v>
      </c>
      <c r="I4" s="19">
        <f>SUM('10-K CapEx Data'!I4:K4)+IF('10-K CapEx Data'!L4="", '10-K CapEx Data'!K4, '10-K CapEx Data'!L4)+IF('10-K CapEx Data'!M4="", '10-K CapEx Data'!K4, '10-K CapEx Data'!M4)</f>
        <v>4610</v>
      </c>
      <c r="J4" s="25">
        <f>I4/H4</f>
        <v>0.88970375373926469</v>
      </c>
    </row>
    <row r="5" spans="2:10" x14ac:dyDescent="0.45">
      <c r="B5" s="15" t="s">
        <v>4</v>
      </c>
      <c r="C5" s="16" t="s">
        <v>54</v>
      </c>
      <c r="D5" s="16" t="s">
        <v>43</v>
      </c>
      <c r="E5" s="16" t="s">
        <v>5</v>
      </c>
      <c r="F5" s="19">
        <v>31262</v>
      </c>
      <c r="G5" s="19">
        <v>33776</v>
      </c>
      <c r="H5" s="19">
        <v>36376</v>
      </c>
      <c r="I5" s="19">
        <f>SUM('10-K CapEx Data'!I5:K5)+IF('10-K CapEx Data'!L5="", '10-K CapEx Data'!K5, '10-K CapEx Data'!L5)+IF('10-K CapEx Data'!M5="", '10-K CapEx Data'!K5, '10-K CapEx Data'!M5)</f>
        <v>26270</v>
      </c>
      <c r="J5" s="25">
        <f t="shared" ref="J5:J21" si="0">I5/H5</f>
        <v>0.72217945898394542</v>
      </c>
    </row>
    <row r="6" spans="2:10" x14ac:dyDescent="0.45">
      <c r="B6" s="15" t="s">
        <v>6</v>
      </c>
      <c r="C6" s="16" t="s">
        <v>54</v>
      </c>
      <c r="D6" s="16" t="s">
        <v>43</v>
      </c>
      <c r="E6" s="16" t="s">
        <v>7</v>
      </c>
      <c r="F6" s="19">
        <v>73984.600000000006</v>
      </c>
      <c r="G6" s="19">
        <v>77313.600000000006</v>
      </c>
      <c r="H6" s="19">
        <v>82995.7</v>
      </c>
      <c r="I6" s="19">
        <f>SUM('10-K CapEx Data'!I6:K6)+IF('10-K CapEx Data'!L6="", '10-K CapEx Data'!K6, '10-K CapEx Data'!L6)+IF('10-K CapEx Data'!M6="", '10-K CapEx Data'!K6, '10-K CapEx Data'!M6)</f>
        <v>53723</v>
      </c>
      <c r="J6" s="25">
        <f t="shared" si="0"/>
        <v>0.64729859498745113</v>
      </c>
    </row>
    <row r="7" spans="2:10" x14ac:dyDescent="0.45">
      <c r="B7" s="15" t="s">
        <v>8</v>
      </c>
      <c r="C7" s="16" t="s">
        <v>54</v>
      </c>
      <c r="D7" s="16" t="s">
        <v>43</v>
      </c>
      <c r="E7" s="16" t="s">
        <v>9</v>
      </c>
      <c r="F7" s="19">
        <v>52763</v>
      </c>
      <c r="G7" s="19">
        <v>59341</v>
      </c>
      <c r="H7" s="19">
        <v>69450</v>
      </c>
      <c r="I7" s="19">
        <f>SUM('10-K CapEx Data'!I7:K7)+IF('10-K CapEx Data'!L7="", '10-K CapEx Data'!K7, '10-K CapEx Data'!L7)+IF('10-K CapEx Data'!M7="", '10-K CapEx Data'!K7, '10-K CapEx Data'!M7)</f>
        <v>49600</v>
      </c>
      <c r="J7" s="25">
        <f t="shared" si="0"/>
        <v>0.71418286537077036</v>
      </c>
    </row>
    <row r="8" spans="2:10" x14ac:dyDescent="0.45">
      <c r="B8" s="15" t="s">
        <v>10</v>
      </c>
      <c r="C8" s="16" t="s">
        <v>54</v>
      </c>
      <c r="D8" s="16" t="s">
        <v>43</v>
      </c>
      <c r="E8" s="16" t="s">
        <v>11</v>
      </c>
      <c r="F8" s="19">
        <v>111392</v>
      </c>
      <c r="G8" s="19">
        <v>114897</v>
      </c>
      <c r="H8" s="19">
        <v>122757</v>
      </c>
      <c r="I8" s="19">
        <f>SUM('10-K CapEx Data'!I8:K8)+IF('10-K CapEx Data'!L8="", '10-K CapEx Data'!K8, '10-K CapEx Data'!L8)+IF('10-K CapEx Data'!M8="", '10-K CapEx Data'!K8, '10-K CapEx Data'!M8)</f>
        <v>79850</v>
      </c>
      <c r="J8" s="25">
        <f t="shared" si="0"/>
        <v>0.6504720708391375</v>
      </c>
    </row>
    <row r="9" spans="2:10" x14ac:dyDescent="0.45">
      <c r="B9" s="15" t="s">
        <v>12</v>
      </c>
      <c r="C9" s="16" t="s">
        <v>54</v>
      </c>
      <c r="D9" s="16" t="s">
        <v>43</v>
      </c>
      <c r="E9" s="16" t="s">
        <v>13</v>
      </c>
      <c r="F9" s="19">
        <v>54806</v>
      </c>
      <c r="G9" s="19">
        <v>57183</v>
      </c>
      <c r="H9" s="19">
        <v>60310</v>
      </c>
      <c r="I9" s="19">
        <f>SUM('10-K CapEx Data'!I9:K9)+IF('10-K CapEx Data'!L9="", '10-K CapEx Data'!K9, '10-K CapEx Data'!L9)+IF('10-K CapEx Data'!M9="", '10-K CapEx Data'!K9, '10-K CapEx Data'!M9)</f>
        <v>39700</v>
      </c>
      <c r="J9" s="25">
        <f t="shared" si="0"/>
        <v>0.658265627590781</v>
      </c>
    </row>
    <row r="10" spans="2:10" x14ac:dyDescent="0.45">
      <c r="B10" s="15" t="s">
        <v>14</v>
      </c>
      <c r="C10" s="16" t="s">
        <v>54</v>
      </c>
      <c r="D10" s="16" t="s">
        <v>43</v>
      </c>
      <c r="E10" s="16" t="s">
        <v>15</v>
      </c>
      <c r="F10" s="19">
        <v>42843.529000000002</v>
      </c>
      <c r="G10" s="19">
        <v>44252.875</v>
      </c>
      <c r="H10" s="19">
        <v>47846.714</v>
      </c>
      <c r="I10" s="19">
        <f>SUM('10-K CapEx Data'!I10:K10)+IF('10-K CapEx Data'!L10="", '10-K CapEx Data'!K10, '10-K CapEx Data'!L10)+IF('10-K CapEx Data'!M10="", '10-K CapEx Data'!K10, '10-K CapEx Data'!M10)</f>
        <v>44455</v>
      </c>
      <c r="J10" s="25">
        <f t="shared" si="0"/>
        <v>0.92911291671983998</v>
      </c>
    </row>
    <row r="11" spans="2:10" x14ac:dyDescent="0.45">
      <c r="B11" s="15" t="s">
        <v>16</v>
      </c>
      <c r="C11" s="16" t="s">
        <v>54</v>
      </c>
      <c r="D11" s="16" t="s">
        <v>43</v>
      </c>
      <c r="E11" s="16" t="s">
        <v>17</v>
      </c>
      <c r="F11" s="19">
        <v>22110.6</v>
      </c>
      <c r="G11" s="19">
        <v>23596</v>
      </c>
      <c r="H11" s="19">
        <v>24787.599999999999</v>
      </c>
      <c r="I11" s="19">
        <f>SUM('10-K CapEx Data'!I11:K11)+IF('10-K CapEx Data'!L11="", '10-K CapEx Data'!K11, '10-K CapEx Data'!L11)+IF('10-K CapEx Data'!M11="", '10-K CapEx Data'!K11, '10-K CapEx Data'!M11)</f>
        <v>17456</v>
      </c>
      <c r="J11" s="25">
        <f t="shared" si="0"/>
        <v>0.70422307928157635</v>
      </c>
    </row>
    <row r="12" spans="2:10" x14ac:dyDescent="0.45">
      <c r="B12" s="15" t="s">
        <v>18</v>
      </c>
      <c r="C12" s="16" t="s">
        <v>54</v>
      </c>
      <c r="D12" s="16" t="s">
        <v>43</v>
      </c>
      <c r="E12" s="16" t="s">
        <v>19</v>
      </c>
      <c r="F12" s="19">
        <v>5172.97</v>
      </c>
      <c r="G12" s="19">
        <v>5745.23</v>
      </c>
      <c r="H12" s="19">
        <v>6517.3180000000002</v>
      </c>
      <c r="I12" s="19">
        <f>SUM('10-K CapEx Data'!I12:K12)+IF('10-K CapEx Data'!L12="", '10-K CapEx Data'!K12, '10-K CapEx Data'!L12)+IF('10-K CapEx Data'!M12="", '10-K CapEx Data'!K12, '10-K CapEx Data'!M12)</f>
        <v>5700.0000000000009</v>
      </c>
      <c r="J12" s="25">
        <f t="shared" si="0"/>
        <v>0.87459289235234505</v>
      </c>
    </row>
    <row r="13" spans="2:10" x14ac:dyDescent="0.45">
      <c r="B13" s="15" t="s">
        <v>20</v>
      </c>
      <c r="C13" s="16" t="s">
        <v>54</v>
      </c>
      <c r="D13" s="16" t="s">
        <v>43</v>
      </c>
      <c r="E13" s="16" t="s">
        <v>21</v>
      </c>
      <c r="F13" s="19">
        <v>111823</v>
      </c>
      <c r="G13" s="19">
        <v>126612</v>
      </c>
      <c r="H13" s="19">
        <v>140050</v>
      </c>
      <c r="I13" s="19">
        <f>SUM('10-K CapEx Data'!I13:K13)+IF('10-K CapEx Data'!L13="", '10-K CapEx Data'!K13, '10-K CapEx Data'!L13)+IF('10-K CapEx Data'!M13="", '10-K CapEx Data'!K13, '10-K CapEx Data'!M13)</f>
        <v>49605</v>
      </c>
      <c r="J13" s="25">
        <f t="shared" si="0"/>
        <v>0.35419493038200645</v>
      </c>
    </row>
    <row r="14" spans="2:10" x14ac:dyDescent="0.45">
      <c r="B14" s="15" t="s">
        <v>22</v>
      </c>
      <c r="C14" s="16" t="s">
        <v>54</v>
      </c>
      <c r="D14" s="16" t="s">
        <v>43</v>
      </c>
      <c r="E14" s="16" t="s">
        <v>23</v>
      </c>
      <c r="F14" s="19">
        <v>17297.043000000001</v>
      </c>
      <c r="G14" s="19">
        <v>18923.531999999999</v>
      </c>
      <c r="H14" s="19">
        <v>20114.202000000001</v>
      </c>
      <c r="I14" s="19">
        <f>SUM('10-K CapEx Data'!I14:K14)+IF('10-K CapEx Data'!L14="", '10-K CapEx Data'!K14, '10-K CapEx Data'!L14)+IF('10-K CapEx Data'!M14="", '10-K CapEx Data'!K14, '10-K CapEx Data'!M14)</f>
        <v>12900</v>
      </c>
      <c r="J14" s="25">
        <f t="shared" si="0"/>
        <v>0.64133789647732475</v>
      </c>
    </row>
    <row r="15" spans="2:10" x14ac:dyDescent="0.45">
      <c r="B15" s="15" t="s">
        <v>24</v>
      </c>
      <c r="C15" s="16" t="s">
        <v>54</v>
      </c>
      <c r="D15" s="16" t="s">
        <v>43</v>
      </c>
      <c r="E15" s="16" t="s">
        <v>25</v>
      </c>
      <c r="F15" s="19">
        <v>6960.4229999999998</v>
      </c>
      <c r="G15" s="19">
        <v>7746.759</v>
      </c>
      <c r="H15" s="19">
        <v>8666.18</v>
      </c>
      <c r="I15" s="19">
        <f>SUM('10-K CapEx Data'!I15:K15)+IF('10-K CapEx Data'!L15="", '10-K CapEx Data'!K15, '10-K CapEx Data'!L15)+IF('10-K CapEx Data'!M15="", '10-K CapEx Data'!K15, '10-K CapEx Data'!M15)</f>
        <v>7834.3</v>
      </c>
      <c r="J15" s="25">
        <f t="shared" si="0"/>
        <v>0.90400845585944445</v>
      </c>
    </row>
    <row r="16" spans="2:10" x14ac:dyDescent="0.45">
      <c r="B16" s="15" t="s">
        <v>26</v>
      </c>
      <c r="C16" s="16" t="s">
        <v>54</v>
      </c>
      <c r="D16" s="16" t="s">
        <v>43</v>
      </c>
      <c r="E16" s="16" t="s">
        <v>27</v>
      </c>
      <c r="F16" s="19">
        <v>8179</v>
      </c>
      <c r="G16" s="19">
        <v>9189</v>
      </c>
      <c r="H16" s="19">
        <v>10296</v>
      </c>
      <c r="I16" s="19">
        <f>SUM('10-K CapEx Data'!I16:K16)+IF('10-K CapEx Data'!L16="", '10-K CapEx Data'!K16, '10-K CapEx Data'!L16)+IF('10-K CapEx Data'!M16="", '10-K CapEx Data'!K16, '10-K CapEx Data'!M16)</f>
        <v>6475</v>
      </c>
      <c r="J16" s="25">
        <f t="shared" si="0"/>
        <v>0.6288850038850039</v>
      </c>
    </row>
    <row r="17" spans="2:10" x14ac:dyDescent="0.45">
      <c r="B17" s="15" t="s">
        <v>28</v>
      </c>
      <c r="C17" s="16" t="s">
        <v>54</v>
      </c>
      <c r="D17" s="16" t="s">
        <v>43</v>
      </c>
      <c r="E17" s="16" t="s">
        <v>29</v>
      </c>
      <c r="F17" s="19">
        <v>95860</v>
      </c>
      <c r="G17" s="19">
        <v>101083</v>
      </c>
      <c r="H17" s="19">
        <v>105870</v>
      </c>
      <c r="I17" s="19">
        <f>SUM('10-K CapEx Data'!I17:K17)+IF('10-K CapEx Data'!L17="", '10-K CapEx Data'!K17, '10-K CapEx Data'!L17)+IF('10-K CapEx Data'!M17="", '10-K CapEx Data'!K17, '10-K CapEx Data'!M17)</f>
        <v>59600</v>
      </c>
      <c r="J17" s="25">
        <f t="shared" si="0"/>
        <v>0.56295456692169643</v>
      </c>
    </row>
    <row r="18" spans="2:10" x14ac:dyDescent="0.45">
      <c r="B18" s="15" t="s">
        <v>30</v>
      </c>
      <c r="C18" s="16" t="s">
        <v>54</v>
      </c>
      <c r="D18" s="16" t="s">
        <v>43</v>
      </c>
      <c r="E18" s="16" t="s">
        <v>31</v>
      </c>
      <c r="F18" s="19">
        <v>49166</v>
      </c>
      <c r="G18" s="19">
        <v>52510</v>
      </c>
      <c r="H18" s="19">
        <v>57861</v>
      </c>
      <c r="I18" s="19">
        <f>SUM('10-K CapEx Data'!I18:K18)+IF('10-K CapEx Data'!L18="", '10-K CapEx Data'!K18, '10-K CapEx Data'!L18)+IF('10-K CapEx Data'!M18="", '10-K CapEx Data'!K18, '10-K CapEx Data'!M18)</f>
        <v>45000</v>
      </c>
      <c r="J18" s="25">
        <f t="shared" si="0"/>
        <v>0.77772592938248564</v>
      </c>
    </row>
    <row r="19" spans="2:10" x14ac:dyDescent="0.45">
      <c r="B19" s="15" t="s">
        <v>32</v>
      </c>
      <c r="C19" s="16" t="s">
        <v>54</v>
      </c>
      <c r="D19" s="16" t="s">
        <v>43</v>
      </c>
      <c r="E19" s="16" t="s">
        <v>33</v>
      </c>
      <c r="F19" s="19">
        <v>11944.885</v>
      </c>
      <c r="G19" s="19">
        <v>9126.7729999999992</v>
      </c>
      <c r="H19" s="19">
        <v>9450.0949999999993</v>
      </c>
      <c r="I19" s="19">
        <f>SUM('10-K CapEx Data'!I19:K19)+IF('10-K CapEx Data'!L19="", '10-K CapEx Data'!K19, '10-K CapEx Data'!L19)+IF('10-K CapEx Data'!M19="", '10-K CapEx Data'!K19, '10-K CapEx Data'!M19)</f>
        <v>4535</v>
      </c>
      <c r="J19" s="25">
        <f t="shared" si="0"/>
        <v>0.47988935560965262</v>
      </c>
    </row>
    <row r="20" spans="2:10" x14ac:dyDescent="0.45">
      <c r="B20" s="15" t="s">
        <v>34</v>
      </c>
      <c r="C20" s="16" t="s">
        <v>54</v>
      </c>
      <c r="D20" s="16" t="s">
        <v>43</v>
      </c>
      <c r="E20" s="16" t="s">
        <v>35</v>
      </c>
      <c r="F20" s="19">
        <v>23054</v>
      </c>
      <c r="G20" s="19">
        <v>24430</v>
      </c>
      <c r="H20" s="19">
        <v>26220</v>
      </c>
      <c r="I20" s="19">
        <f>SUM('10-K CapEx Data'!I20:K20)+IF('10-K CapEx Data'!L20="", '10-K CapEx Data'!K20, '10-K CapEx Data'!L20)+IF('10-K CapEx Data'!M20="", '10-K CapEx Data'!K20, '10-K CapEx Data'!M20)</f>
        <v>20500</v>
      </c>
      <c r="J20" s="25">
        <f t="shared" si="0"/>
        <v>0.78184591914569035</v>
      </c>
    </row>
    <row r="21" spans="2:10" x14ac:dyDescent="0.45">
      <c r="B21" s="20" t="s">
        <v>36</v>
      </c>
      <c r="C21" s="21" t="s">
        <v>54</v>
      </c>
      <c r="D21" s="21" t="s">
        <v>43</v>
      </c>
      <c r="E21" s="21" t="s">
        <v>37</v>
      </c>
      <c r="F21" s="22">
        <v>41706</v>
      </c>
      <c r="G21" s="22">
        <v>43436</v>
      </c>
      <c r="H21" s="22">
        <v>49520</v>
      </c>
      <c r="I21" s="22">
        <f>SUM('10-K CapEx Data'!I21:K21)+IF('10-K CapEx Data'!L21="", '10-K CapEx Data'!K21, '10-K CapEx Data'!L21)+IF('10-K CapEx Data'!M21="", '10-K CapEx Data'!K21, '10-K CapEx Data'!M21)</f>
        <v>26007</v>
      </c>
      <c r="J21" s="47">
        <f t="shared" si="0"/>
        <v>0.52518174474959611</v>
      </c>
    </row>
    <row r="22" spans="2:10" x14ac:dyDescent="0.45">
      <c r="B22" s="15" t="s">
        <v>66</v>
      </c>
      <c r="C22" s="16" t="s">
        <v>54</v>
      </c>
      <c r="D22" s="16" t="s">
        <v>43</v>
      </c>
      <c r="E22" s="16" t="s">
        <v>63</v>
      </c>
      <c r="F22" s="19">
        <f>'OPG Regulated Net Plant'!O5</f>
        <v>22328</v>
      </c>
      <c r="G22" s="19">
        <f>'OPG Regulated Net Plant'!O4</f>
        <v>23774</v>
      </c>
      <c r="H22" s="19">
        <f>'OPG Regulated Net Plant'!O3</f>
        <v>25772</v>
      </c>
      <c r="I22" s="19">
        <f>SUM('10-K CapEx Data'!I22:K22)+IF('10-K CapEx Data'!L22="", '10-K CapEx Data'!K22, '10-K CapEx Data'!L22)+IF('10-K CapEx Data'!M22="", '10-K CapEx Data'!K22, '10-K CapEx Data'!M22)</f>
        <v>27272.823542201826</v>
      </c>
      <c r="J22" s="25">
        <f>I22/H22</f>
        <v>1.0582346555254472</v>
      </c>
    </row>
    <row r="23" spans="2:10" s="18" customFormat="1" x14ac:dyDescent="0.45">
      <c r="B23" s="18" t="s">
        <v>71</v>
      </c>
      <c r="C23" s="23" t="s">
        <v>54</v>
      </c>
      <c r="D23" s="23" t="s">
        <v>43</v>
      </c>
      <c r="E23" s="23" t="s">
        <v>71</v>
      </c>
      <c r="F23" s="26">
        <f>MEDIAN(F4:F21)</f>
        <v>36484</v>
      </c>
      <c r="G23" s="26">
        <f>MEDIAN(G4:G21)</f>
        <v>38606</v>
      </c>
      <c r="H23" s="26">
        <f>MEDIAN(H4:H21)</f>
        <v>42111.357000000004</v>
      </c>
      <c r="I23" s="26">
        <f t="shared" ref="I23:J23" si="1">MEDIAN(I4:I21)</f>
        <v>26138.5</v>
      </c>
      <c r="J23" s="25">
        <f t="shared" si="1"/>
        <v>0.68124435343617873</v>
      </c>
    </row>
    <row r="25" spans="2:10" x14ac:dyDescent="0.45">
      <c r="B25" s="15" t="s">
        <v>111</v>
      </c>
    </row>
    <row r="26" spans="2:10" x14ac:dyDescent="0.45">
      <c r="B26" s="15" t="s">
        <v>112</v>
      </c>
    </row>
    <row r="27" spans="2:10" x14ac:dyDescent="0.45">
      <c r="B27" s="15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2:P27"/>
  <sheetViews>
    <sheetView zoomScale="85" zoomScaleNormal="85" workbookViewId="0">
      <selection activeCell="A8" sqref="A8"/>
    </sheetView>
  </sheetViews>
  <sheetFormatPr defaultRowHeight="14.25" x14ac:dyDescent="0.45"/>
  <cols>
    <col min="1" max="1" width="2.59765625" customWidth="1"/>
    <col min="2" max="2" width="34" bestFit="1" customWidth="1"/>
    <col min="3" max="3" width="26.86328125" customWidth="1"/>
    <col min="4" max="4" width="14.73046875" customWidth="1"/>
    <col min="6" max="15" width="12" style="1" customWidth="1"/>
  </cols>
  <sheetData>
    <row r="2" spans="2:16" x14ac:dyDescent="0.45">
      <c r="F2" s="1" t="s">
        <v>38</v>
      </c>
      <c r="I2" s="1" t="s">
        <v>39</v>
      </c>
    </row>
    <row r="3" spans="2:16" s="2" customFormat="1" x14ac:dyDescent="0.45">
      <c r="B3" s="5" t="s">
        <v>0</v>
      </c>
      <c r="C3" s="6" t="s">
        <v>42</v>
      </c>
      <c r="D3" s="6" t="s">
        <v>41</v>
      </c>
      <c r="E3" s="6" t="s">
        <v>1</v>
      </c>
      <c r="F3" s="7">
        <v>2022</v>
      </c>
      <c r="G3" s="7">
        <f>F3+1</f>
        <v>2023</v>
      </c>
      <c r="H3" s="7">
        <f t="shared" ref="H3:M3" si="0">G3+1</f>
        <v>2024</v>
      </c>
      <c r="I3" s="7">
        <f>H3+1</f>
        <v>2025</v>
      </c>
      <c r="J3" s="7">
        <f t="shared" si="0"/>
        <v>2026</v>
      </c>
      <c r="K3" s="7">
        <f t="shared" si="0"/>
        <v>2027</v>
      </c>
      <c r="L3" s="7">
        <f t="shared" si="0"/>
        <v>2028</v>
      </c>
      <c r="M3" s="7">
        <f t="shared" si="0"/>
        <v>2029</v>
      </c>
      <c r="N3" s="7">
        <f t="shared" ref="N3" si="1">M3+1</f>
        <v>2030</v>
      </c>
      <c r="O3" s="7">
        <f t="shared" ref="O3" si="2">N3+1</f>
        <v>2031</v>
      </c>
      <c r="P3" t="s">
        <v>40</v>
      </c>
    </row>
    <row r="4" spans="2:16" x14ac:dyDescent="0.45">
      <c r="B4" t="s">
        <v>2</v>
      </c>
      <c r="C4" s="1" t="s">
        <v>54</v>
      </c>
      <c r="D4" s="1" t="s">
        <v>43</v>
      </c>
      <c r="E4" s="1" t="s">
        <v>3</v>
      </c>
      <c r="F4" s="8">
        <v>158.30000000000001</v>
      </c>
      <c r="G4" s="8">
        <v>236.3</v>
      </c>
      <c r="H4" s="8">
        <v>287.2</v>
      </c>
      <c r="I4" s="8">
        <v>530</v>
      </c>
      <c r="J4" s="8">
        <v>870</v>
      </c>
      <c r="K4" s="8">
        <v>1320</v>
      </c>
      <c r="L4" s="8">
        <v>1155</v>
      </c>
      <c r="M4" s="8">
        <v>735</v>
      </c>
      <c r="N4" s="8"/>
      <c r="O4" s="8"/>
      <c r="P4" t="s">
        <v>44</v>
      </c>
    </row>
    <row r="5" spans="2:16" x14ac:dyDescent="0.45">
      <c r="B5" t="s">
        <v>4</v>
      </c>
      <c r="C5" s="1" t="s">
        <v>54</v>
      </c>
      <c r="D5" s="1" t="s">
        <v>43</v>
      </c>
      <c r="E5" s="1" t="s">
        <v>5</v>
      </c>
      <c r="F5" s="8">
        <v>3351</v>
      </c>
      <c r="G5" s="8">
        <v>3597</v>
      </c>
      <c r="H5" s="8">
        <v>4319</v>
      </c>
      <c r="I5" s="8">
        <v>4195</v>
      </c>
      <c r="J5" s="8">
        <f>AVERAGE(20970, 23180)/4</f>
        <v>5518.75</v>
      </c>
      <c r="K5" s="8">
        <f>J5</f>
        <v>5518.75</v>
      </c>
      <c r="L5" s="8">
        <f t="shared" ref="L5:M5" si="3">K5</f>
        <v>5518.75</v>
      </c>
      <c r="M5" s="8">
        <f t="shared" si="3"/>
        <v>5518.75</v>
      </c>
      <c r="N5" s="8"/>
      <c r="O5" s="8"/>
      <c r="P5" t="s">
        <v>45</v>
      </c>
    </row>
    <row r="6" spans="2:16" x14ac:dyDescent="0.45">
      <c r="B6" t="s">
        <v>6</v>
      </c>
      <c r="C6" s="1" t="s">
        <v>54</v>
      </c>
      <c r="D6" s="1" t="s">
        <v>43</v>
      </c>
      <c r="E6" s="1" t="s">
        <v>7</v>
      </c>
      <c r="F6" s="8">
        <v>6671.7</v>
      </c>
      <c r="G6" s="8">
        <v>7378.3</v>
      </c>
      <c r="H6" s="8">
        <v>7630.7</v>
      </c>
      <c r="I6" s="8">
        <f>7090+2777+1509</f>
        <v>11376</v>
      </c>
      <c r="J6" s="8">
        <f>(23882+11385+7080)/4</f>
        <v>10586.75</v>
      </c>
      <c r="K6" s="8">
        <f>J6</f>
        <v>10586.75</v>
      </c>
      <c r="L6" s="8">
        <f t="shared" ref="L6:M6" si="4">K6</f>
        <v>10586.75</v>
      </c>
      <c r="M6" s="8">
        <f t="shared" si="4"/>
        <v>10586.75</v>
      </c>
      <c r="N6" s="8"/>
      <c r="O6" s="8"/>
      <c r="P6" t="s">
        <v>46</v>
      </c>
    </row>
    <row r="7" spans="2:16" x14ac:dyDescent="0.45">
      <c r="B7" t="s">
        <v>8</v>
      </c>
      <c r="C7" s="1" t="s">
        <v>54</v>
      </c>
      <c r="D7" s="1" t="s">
        <v>43</v>
      </c>
      <c r="E7" s="1" t="s">
        <v>9</v>
      </c>
      <c r="F7" s="8">
        <f>5187+708</f>
        <v>5895</v>
      </c>
      <c r="G7" s="8">
        <f>7196+957</f>
        <v>8153</v>
      </c>
      <c r="H7" s="8">
        <f>9968+1105</f>
        <v>11073</v>
      </c>
      <c r="I7" s="8">
        <f>(10.2+1.2)*1000</f>
        <v>11399.999999999998</v>
      </c>
      <c r="J7" s="8">
        <f>(8.6+1.3)*1000</f>
        <v>9900</v>
      </c>
      <c r="K7" s="8">
        <f>(7.8+1.2)*1000</f>
        <v>9000</v>
      </c>
      <c r="L7" s="8">
        <f>(8.3+1.2)*1000</f>
        <v>9500</v>
      </c>
      <c r="M7" s="8">
        <f>(8.5+1.3)*1000</f>
        <v>9800</v>
      </c>
      <c r="N7" s="8"/>
      <c r="O7" s="8"/>
      <c r="P7" t="s">
        <v>47</v>
      </c>
    </row>
    <row r="8" spans="2:16" x14ac:dyDescent="0.45">
      <c r="B8" t="s">
        <v>10</v>
      </c>
      <c r="C8" s="1" t="s">
        <v>54</v>
      </c>
      <c r="D8" s="1" t="s">
        <v>43</v>
      </c>
      <c r="E8" s="1" t="s">
        <v>11</v>
      </c>
      <c r="F8" s="8">
        <v>11367</v>
      </c>
      <c r="G8" s="8">
        <v>12604</v>
      </c>
      <c r="H8" s="8">
        <v>12280</v>
      </c>
      <c r="I8" s="8">
        <v>14850</v>
      </c>
      <c r="J8" s="8">
        <v>15200</v>
      </c>
      <c r="K8" s="8">
        <v>16600</v>
      </c>
      <c r="L8" s="8"/>
      <c r="M8" s="8"/>
      <c r="N8" s="8"/>
      <c r="O8" s="8"/>
      <c r="P8" t="s">
        <v>48</v>
      </c>
    </row>
    <row r="9" spans="2:16" x14ac:dyDescent="0.45">
      <c r="B9" t="s">
        <v>12</v>
      </c>
      <c r="C9" s="1" t="s">
        <v>54</v>
      </c>
      <c r="D9" s="1" t="s">
        <v>43</v>
      </c>
      <c r="E9" s="1" t="s">
        <v>13</v>
      </c>
      <c r="F9" s="8">
        <v>5778</v>
      </c>
      <c r="G9" s="8">
        <v>5448</v>
      </c>
      <c r="H9" s="8">
        <v>5707</v>
      </c>
      <c r="I9" s="8">
        <v>7500</v>
      </c>
      <c r="J9" s="8">
        <v>8100</v>
      </c>
      <c r="K9" s="8">
        <v>8200</v>
      </c>
      <c r="L9" s="8">
        <v>7700</v>
      </c>
      <c r="M9" s="8"/>
      <c r="N9" s="8"/>
      <c r="O9" s="8"/>
      <c r="P9" t="s">
        <v>49</v>
      </c>
    </row>
    <row r="10" spans="2:16" x14ac:dyDescent="0.45">
      <c r="B10" t="s">
        <v>14</v>
      </c>
      <c r="C10" s="1" t="s">
        <v>54</v>
      </c>
      <c r="D10" s="1" t="s">
        <v>43</v>
      </c>
      <c r="E10" s="1" t="s">
        <v>15</v>
      </c>
      <c r="F10" s="8">
        <v>5065.1260000000002</v>
      </c>
      <c r="G10" s="8">
        <v>4440.652</v>
      </c>
      <c r="H10" s="8">
        <v>4838.3389999999999</v>
      </c>
      <c r="I10" s="8">
        <v>8395</v>
      </c>
      <c r="J10" s="8">
        <v>9645</v>
      </c>
      <c r="K10" s="8">
        <v>8805</v>
      </c>
      <c r="L10" s="8"/>
      <c r="M10" s="8"/>
      <c r="N10" s="8"/>
      <c r="O10" s="8"/>
      <c r="P10" t="s">
        <v>50</v>
      </c>
    </row>
    <row r="11" spans="2:16" x14ac:dyDescent="0.45">
      <c r="B11" t="s">
        <v>16</v>
      </c>
      <c r="C11" s="1" t="s">
        <v>54</v>
      </c>
      <c r="D11" s="1" t="s">
        <v>43</v>
      </c>
      <c r="E11" s="1" t="s">
        <v>17</v>
      </c>
      <c r="F11" s="8">
        <v>2166.5</v>
      </c>
      <c r="G11" s="8">
        <v>2334</v>
      </c>
      <c r="H11" s="8">
        <v>2336.6</v>
      </c>
      <c r="I11" s="8">
        <v>2541</v>
      </c>
      <c r="J11" s="8">
        <v>3141</v>
      </c>
      <c r="K11" s="8">
        <v>3546</v>
      </c>
      <c r="L11" s="8">
        <v>4198</v>
      </c>
      <c r="M11" s="8">
        <v>4030</v>
      </c>
      <c r="N11" s="8"/>
      <c r="O11" s="8"/>
      <c r="P11" t="s">
        <v>51</v>
      </c>
    </row>
    <row r="12" spans="2:16" x14ac:dyDescent="0.45">
      <c r="B12" t="s">
        <v>18</v>
      </c>
      <c r="C12" s="1" t="s">
        <v>54</v>
      </c>
      <c r="D12" s="1" t="s">
        <v>43</v>
      </c>
      <c r="E12" s="1" t="s">
        <v>19</v>
      </c>
      <c r="F12" s="8">
        <v>432.589</v>
      </c>
      <c r="G12" s="8">
        <v>611.13699999999994</v>
      </c>
      <c r="H12" s="8">
        <v>1009.279</v>
      </c>
      <c r="I12" s="8">
        <f>AVERAGE(1000, 1100)</f>
        <v>1050</v>
      </c>
      <c r="J12" s="8">
        <f>AVERAGE(1250, 1350)</f>
        <v>1300</v>
      </c>
      <c r="K12" s="8">
        <f>AVERAGE(3100,3600)/3</f>
        <v>1116.6666666666667</v>
      </c>
      <c r="L12" s="8">
        <f>K12</f>
        <v>1116.6666666666667</v>
      </c>
      <c r="M12" s="8">
        <f>L12</f>
        <v>1116.6666666666667</v>
      </c>
      <c r="N12" s="8"/>
      <c r="O12" s="8"/>
      <c r="P12" t="s">
        <v>52</v>
      </c>
    </row>
    <row r="13" spans="2:16" x14ac:dyDescent="0.45">
      <c r="B13" t="s">
        <v>20</v>
      </c>
      <c r="C13" s="1" t="s">
        <v>54</v>
      </c>
      <c r="D13" s="1" t="s">
        <v>43</v>
      </c>
      <c r="E13" s="1" t="s">
        <v>21</v>
      </c>
      <c r="F13" s="8">
        <v>9185</v>
      </c>
      <c r="G13" s="8">
        <v>9400</v>
      </c>
      <c r="H13" s="8">
        <v>8214</v>
      </c>
      <c r="I13" s="8">
        <v>8425</v>
      </c>
      <c r="J13" s="8">
        <v>10520</v>
      </c>
      <c r="K13" s="8">
        <v>9905</v>
      </c>
      <c r="L13" s="8">
        <v>10170</v>
      </c>
      <c r="M13" s="8">
        <v>10585</v>
      </c>
      <c r="N13" s="8"/>
      <c r="O13" s="8"/>
      <c r="P13" t="s">
        <v>53</v>
      </c>
    </row>
    <row r="14" spans="2:16" x14ac:dyDescent="0.45">
      <c r="B14" t="s">
        <v>22</v>
      </c>
      <c r="C14" s="1" t="s">
        <v>54</v>
      </c>
      <c r="D14" s="1" t="s">
        <v>43</v>
      </c>
      <c r="E14" s="1" t="s">
        <v>23</v>
      </c>
      <c r="F14" s="8">
        <v>1707.49</v>
      </c>
      <c r="G14" s="8">
        <v>1846.37</v>
      </c>
      <c r="H14" s="8">
        <v>2249.1950000000002</v>
      </c>
      <c r="I14" s="8">
        <v>2400</v>
      </c>
      <c r="J14" s="8">
        <v>2550</v>
      </c>
      <c r="K14" s="8">
        <v>2650</v>
      </c>
      <c r="L14" s="8"/>
      <c r="M14" s="8"/>
      <c r="N14" s="8"/>
      <c r="O14" s="8"/>
      <c r="P14" t="s">
        <v>55</v>
      </c>
    </row>
    <row r="15" spans="2:16" x14ac:dyDescent="0.45">
      <c r="B15" t="s">
        <v>24</v>
      </c>
      <c r="C15" s="1" t="s">
        <v>54</v>
      </c>
      <c r="D15" s="1" t="s">
        <v>43</v>
      </c>
      <c r="E15" s="1" t="s">
        <v>25</v>
      </c>
      <c r="F15" s="8">
        <v>912.55700000000002</v>
      </c>
      <c r="G15" s="8">
        <v>1075.8119999999999</v>
      </c>
      <c r="H15" s="8">
        <v>1247.0409999999999</v>
      </c>
      <c r="I15" s="8">
        <v>1321.3</v>
      </c>
      <c r="J15" s="8">
        <f>6513/4</f>
        <v>1628.25</v>
      </c>
      <c r="K15" s="8">
        <f>J15</f>
        <v>1628.25</v>
      </c>
      <c r="L15" s="8">
        <f t="shared" ref="L15:M15" si="5">K15</f>
        <v>1628.25</v>
      </c>
      <c r="M15" s="8">
        <f t="shared" si="5"/>
        <v>1628.25</v>
      </c>
      <c r="N15" s="8"/>
      <c r="O15" s="8"/>
      <c r="P15" t="s">
        <v>56</v>
      </c>
    </row>
    <row r="16" spans="2:16" x14ac:dyDescent="0.45">
      <c r="B16" t="s">
        <v>26</v>
      </c>
      <c r="C16" s="1" t="s">
        <v>54</v>
      </c>
      <c r="D16" s="1" t="s">
        <v>43</v>
      </c>
      <c r="E16" s="1" t="s">
        <v>27</v>
      </c>
      <c r="F16" s="8">
        <v>766</v>
      </c>
      <c r="G16" s="8">
        <v>1358</v>
      </c>
      <c r="H16" s="8">
        <v>1268</v>
      </c>
      <c r="I16" s="8">
        <v>1270</v>
      </c>
      <c r="J16" s="8">
        <v>1150</v>
      </c>
      <c r="K16" s="8">
        <v>1280</v>
      </c>
      <c r="L16" s="8">
        <v>1340</v>
      </c>
      <c r="M16" s="8">
        <v>1435</v>
      </c>
      <c r="N16" s="8"/>
      <c r="O16" s="8"/>
      <c r="P16" t="s">
        <v>57</v>
      </c>
    </row>
    <row r="17" spans="2:16" x14ac:dyDescent="0.45">
      <c r="B17" t="s">
        <v>28</v>
      </c>
      <c r="C17" s="1" t="s">
        <v>54</v>
      </c>
      <c r="D17" s="1" t="s">
        <v>43</v>
      </c>
      <c r="E17" s="1" t="s">
        <v>29</v>
      </c>
      <c r="F17" s="8">
        <v>7923</v>
      </c>
      <c r="G17" s="8">
        <v>9095</v>
      </c>
      <c r="H17" s="8">
        <v>8955</v>
      </c>
      <c r="I17" s="8">
        <v>14800</v>
      </c>
      <c r="J17" s="8">
        <v>11500</v>
      </c>
      <c r="K17" s="8">
        <v>11000</v>
      </c>
      <c r="L17" s="8">
        <v>11300</v>
      </c>
      <c r="M17" s="8">
        <v>11000</v>
      </c>
      <c r="N17" s="8"/>
      <c r="O17" s="8"/>
      <c r="P17" t="s">
        <v>58</v>
      </c>
    </row>
    <row r="18" spans="2:16" x14ac:dyDescent="0.45">
      <c r="B18" t="s">
        <v>30</v>
      </c>
      <c r="C18" s="1" t="s">
        <v>54</v>
      </c>
      <c r="D18" s="1" t="s">
        <v>43</v>
      </c>
      <c r="E18" s="1" t="s">
        <v>31</v>
      </c>
      <c r="F18" s="8">
        <v>4638</v>
      </c>
      <c r="G18" s="8">
        <v>5854</v>
      </c>
      <c r="H18" s="8">
        <v>7364</v>
      </c>
      <c r="I18" s="8">
        <v>11000</v>
      </c>
      <c r="J18" s="8">
        <v>9840</v>
      </c>
      <c r="K18" s="8">
        <v>8750</v>
      </c>
      <c r="L18" s="8">
        <v>7570</v>
      </c>
      <c r="M18" s="8">
        <v>7840</v>
      </c>
      <c r="N18" s="8"/>
      <c r="O18" s="8"/>
      <c r="P18" t="s">
        <v>59</v>
      </c>
    </row>
    <row r="19" spans="2:16" x14ac:dyDescent="0.45">
      <c r="B19" t="s">
        <v>32</v>
      </c>
      <c r="C19" s="1" t="s">
        <v>54</v>
      </c>
      <c r="D19" s="1" t="s">
        <v>43</v>
      </c>
      <c r="E19" s="1" t="s">
        <v>33</v>
      </c>
      <c r="F19" s="8">
        <v>1594.9</v>
      </c>
      <c r="G19" s="8">
        <v>740.8</v>
      </c>
      <c r="H19" s="8">
        <v>756.2</v>
      </c>
      <c r="I19" s="8">
        <v>630</v>
      </c>
      <c r="J19" s="8">
        <v>785</v>
      </c>
      <c r="K19" s="8">
        <v>1040</v>
      </c>
      <c r="L19" s="8"/>
      <c r="M19" s="8"/>
      <c r="N19" s="8"/>
      <c r="O19" s="8"/>
      <c r="P19" t="s">
        <v>60</v>
      </c>
    </row>
    <row r="20" spans="2:16" x14ac:dyDescent="0.45">
      <c r="B20" t="s">
        <v>34</v>
      </c>
      <c r="C20" s="1" t="s">
        <v>54</v>
      </c>
      <c r="D20" s="1" t="s">
        <v>43</v>
      </c>
      <c r="E20" s="1" t="s">
        <v>35</v>
      </c>
      <c r="F20" s="8">
        <v>2646</v>
      </c>
      <c r="G20" s="8">
        <v>2976</v>
      </c>
      <c r="H20" s="8">
        <v>3206</v>
      </c>
      <c r="I20" s="8">
        <v>3400</v>
      </c>
      <c r="J20" s="8">
        <v>4000</v>
      </c>
      <c r="K20" s="8">
        <v>4100</v>
      </c>
      <c r="L20" s="8">
        <v>4400</v>
      </c>
      <c r="M20" s="8">
        <v>4600</v>
      </c>
      <c r="N20" s="8"/>
      <c r="O20" s="8"/>
      <c r="P20" t="s">
        <v>61</v>
      </c>
    </row>
    <row r="21" spans="2:16" x14ac:dyDescent="0.45">
      <c r="B21" s="4" t="s">
        <v>36</v>
      </c>
      <c r="C21" s="11" t="s">
        <v>54</v>
      </c>
      <c r="D21" s="11" t="s">
        <v>43</v>
      </c>
      <c r="E21" s="11" t="s">
        <v>37</v>
      </c>
      <c r="F21" s="13">
        <v>1301</v>
      </c>
      <c r="G21" s="13">
        <v>4329</v>
      </c>
      <c r="H21" s="13">
        <v>5247</v>
      </c>
      <c r="I21" s="13">
        <v>5178</v>
      </c>
      <c r="J21" s="13">
        <v>5192</v>
      </c>
      <c r="K21" s="13">
        <v>5588</v>
      </c>
      <c r="L21" s="13">
        <v>5443</v>
      </c>
      <c r="M21" s="13">
        <v>4606</v>
      </c>
      <c r="N21" s="13"/>
      <c r="O21" s="13"/>
      <c r="P21" t="s">
        <v>62</v>
      </c>
    </row>
    <row r="22" spans="2:16" x14ac:dyDescent="0.45">
      <c r="B22" t="s">
        <v>66</v>
      </c>
      <c r="C22" s="1" t="s">
        <v>54</v>
      </c>
      <c r="D22" s="1" t="s">
        <v>43</v>
      </c>
      <c r="E22" s="1" t="s">
        <v>63</v>
      </c>
      <c r="F22" s="8">
        <f>970+689+315</f>
        <v>1974</v>
      </c>
      <c r="G22" s="8">
        <f>974+(251*(1-35%))+634+370</f>
        <v>2141.15</v>
      </c>
      <c r="H22" s="8">
        <f>988+(943*(1-35%))+604+434</f>
        <v>2638.95</v>
      </c>
      <c r="I22" s="9">
        <f>'Capex History and Plan'!K15</f>
        <v>3750.3</v>
      </c>
      <c r="J22" s="9">
        <f>'Capex History and Plan'!L15</f>
        <v>5407.4664526348188</v>
      </c>
      <c r="K22" s="9">
        <f>'Capex History and Plan'!M15</f>
        <v>5704.450606667504</v>
      </c>
      <c r="L22" s="9">
        <f>'Capex History and Plan'!N15</f>
        <v>6009.4054099707409</v>
      </c>
      <c r="M22" s="9">
        <f>'Capex History and Plan'!O15</f>
        <v>6401.2010729287613</v>
      </c>
      <c r="N22" s="9">
        <f>'Capex History and Plan'!P15</f>
        <v>5654.9812577479579</v>
      </c>
      <c r="O22" s="9">
        <f>'Capex History and Plan'!Q15</f>
        <v>4278.5357464864683</v>
      </c>
      <c r="P22" t="s">
        <v>108</v>
      </c>
    </row>
    <row r="23" spans="2:16" x14ac:dyDescent="0.45">
      <c r="B23" s="14" t="str">
        <f>E22&amp;" "&amp;C22</f>
        <v>OPG Regulated Segment CapEx</v>
      </c>
      <c r="K23" s="27">
        <f>K22/F22</f>
        <v>2.889792607227712</v>
      </c>
      <c r="L23" s="27">
        <f>L22/F22</f>
        <v>3.0442783231867989</v>
      </c>
      <c r="M23" s="27">
        <f>M22/F22</f>
        <v>3.2427563692648231</v>
      </c>
      <c r="N23" s="27"/>
      <c r="O23" s="27"/>
    </row>
    <row r="24" spans="2:16" x14ac:dyDescent="0.45">
      <c r="B24" s="14"/>
    </row>
    <row r="25" spans="2:16" x14ac:dyDescent="0.45">
      <c r="L25" s="28" t="s">
        <v>72</v>
      </c>
      <c r="M25" s="9">
        <f>SUM(F22:H22)</f>
        <v>6754.0999999999995</v>
      </c>
      <c r="N25" s="9"/>
      <c r="O25" s="9"/>
    </row>
    <row r="26" spans="2:16" x14ac:dyDescent="0.45">
      <c r="L26" s="28" t="s">
        <v>73</v>
      </c>
      <c r="M26" s="9">
        <f>SUM(K22:M22)</f>
        <v>18115.057089567006</v>
      </c>
      <c r="N26" s="9"/>
      <c r="O26" s="9"/>
    </row>
    <row r="27" spans="2:16" x14ac:dyDescent="0.45">
      <c r="L27" s="1" t="s">
        <v>74</v>
      </c>
      <c r="M27" s="29">
        <f>M26/M25-1</f>
        <v>1.6820830443089396</v>
      </c>
      <c r="N27" s="29"/>
      <c r="O27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BF82E-4D61-4ADE-9807-50F9B150F15E}">
  <dimension ref="A1:R25"/>
  <sheetViews>
    <sheetView workbookViewId="0"/>
  </sheetViews>
  <sheetFormatPr defaultRowHeight="14.25" x14ac:dyDescent="0.45"/>
  <cols>
    <col min="1" max="1" width="47.73046875" bestFit="1" customWidth="1"/>
    <col min="2" max="9" width="10" customWidth="1"/>
    <col min="10" max="10" width="17.1328125" bestFit="1" customWidth="1"/>
    <col min="11" max="17" width="10" customWidth="1"/>
  </cols>
  <sheetData>
    <row r="1" spans="1:18" x14ac:dyDescent="0.45">
      <c r="A1" s="30" t="s">
        <v>110</v>
      </c>
    </row>
    <row r="2" spans="1:18" x14ac:dyDescent="0.45">
      <c r="A2" t="s">
        <v>75</v>
      </c>
    </row>
    <row r="3" spans="1:18" x14ac:dyDescent="0.45">
      <c r="A3" t="s">
        <v>76</v>
      </c>
    </row>
    <row r="4" spans="1:18" x14ac:dyDescent="0.45">
      <c r="B4" s="31">
        <v>2016</v>
      </c>
      <c r="C4" s="31">
        <v>2017</v>
      </c>
      <c r="D4" s="31">
        <v>2018</v>
      </c>
      <c r="E4" s="31">
        <v>2019</v>
      </c>
      <c r="F4" s="31">
        <v>2020</v>
      </c>
      <c r="G4" s="31">
        <v>2021</v>
      </c>
      <c r="H4" s="31">
        <v>2022</v>
      </c>
      <c r="I4" s="31">
        <v>2023</v>
      </c>
      <c r="J4" s="31">
        <v>2024</v>
      </c>
      <c r="K4" s="31">
        <v>2025</v>
      </c>
      <c r="L4" s="31">
        <v>2026</v>
      </c>
      <c r="M4" s="31">
        <v>2027</v>
      </c>
      <c r="N4" s="31">
        <v>2028</v>
      </c>
      <c r="O4" s="31">
        <v>2029</v>
      </c>
      <c r="P4" s="31">
        <v>2030</v>
      </c>
      <c r="Q4" s="31">
        <v>2031</v>
      </c>
      <c r="R4" s="32"/>
    </row>
    <row r="5" spans="1:18" x14ac:dyDescent="0.45">
      <c r="B5" s="31" t="s">
        <v>77</v>
      </c>
      <c r="C5" s="31" t="s">
        <v>77</v>
      </c>
      <c r="D5" s="31" t="s">
        <v>77</v>
      </c>
      <c r="E5" s="31" t="s">
        <v>77</v>
      </c>
      <c r="F5" s="31" t="s">
        <v>77</v>
      </c>
      <c r="G5" s="31" t="s">
        <v>77</v>
      </c>
      <c r="H5" s="31" t="s">
        <v>77</v>
      </c>
      <c r="I5" s="31" t="s">
        <v>77</v>
      </c>
      <c r="J5" s="31" t="s">
        <v>77</v>
      </c>
      <c r="K5" s="31" t="s">
        <v>78</v>
      </c>
      <c r="L5" s="31" t="s">
        <v>78</v>
      </c>
      <c r="M5" s="33" t="s">
        <v>79</v>
      </c>
      <c r="N5" s="33" t="s">
        <v>79</v>
      </c>
      <c r="O5" s="33" t="s">
        <v>79</v>
      </c>
      <c r="P5" s="33" t="s">
        <v>79</v>
      </c>
      <c r="Q5" s="33" t="s">
        <v>79</v>
      </c>
    </row>
    <row r="6" spans="1:18" x14ac:dyDescent="0.45">
      <c r="A6" t="s">
        <v>80</v>
      </c>
      <c r="B6">
        <v>300.46000000000004</v>
      </c>
      <c r="C6">
        <v>354.32200000000006</v>
      </c>
      <c r="D6">
        <v>381.89769599999994</v>
      </c>
      <c r="E6">
        <v>395.32799999999997</v>
      </c>
      <c r="F6">
        <v>380.8</v>
      </c>
      <c r="G6">
        <v>366.8</v>
      </c>
      <c r="H6">
        <v>481.3</v>
      </c>
      <c r="I6">
        <v>566.79999999999995</v>
      </c>
      <c r="J6">
        <v>548.6</v>
      </c>
      <c r="K6">
        <v>579.70000000000005</v>
      </c>
      <c r="L6">
        <v>861.2</v>
      </c>
      <c r="M6">
        <v>1053.0999999999999</v>
      </c>
      <c r="N6">
        <v>1004.8</v>
      </c>
      <c r="O6">
        <v>1138.7</v>
      </c>
      <c r="P6" s="42">
        <v>1154.0584650000001</v>
      </c>
      <c r="Q6" s="42">
        <v>836.64163700000017</v>
      </c>
    </row>
    <row r="7" spans="1:18" x14ac:dyDescent="0.45">
      <c r="A7" t="s">
        <v>64</v>
      </c>
      <c r="B7">
        <v>1019.2</v>
      </c>
      <c r="C7">
        <v>1249.3</v>
      </c>
      <c r="D7">
        <v>1079.2</v>
      </c>
      <c r="E7">
        <v>1150.5</v>
      </c>
      <c r="F7">
        <v>781.5</v>
      </c>
      <c r="G7">
        <v>813</v>
      </c>
      <c r="H7">
        <v>970.3</v>
      </c>
      <c r="I7">
        <v>973.2</v>
      </c>
      <c r="J7">
        <v>988.2</v>
      </c>
      <c r="K7">
        <v>835.2</v>
      </c>
      <c r="L7">
        <v>392</v>
      </c>
      <c r="M7">
        <v>0</v>
      </c>
      <c r="N7">
        <v>0</v>
      </c>
      <c r="O7">
        <v>0</v>
      </c>
      <c r="P7">
        <v>0</v>
      </c>
      <c r="Q7">
        <v>0</v>
      </c>
    </row>
    <row r="8" spans="1:18" x14ac:dyDescent="0.45">
      <c r="A8" t="s">
        <v>65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15.4</v>
      </c>
      <c r="J8">
        <v>371.6</v>
      </c>
      <c r="K8">
        <v>1500</v>
      </c>
      <c r="L8" s="42">
        <v>3045.5781779006766</v>
      </c>
      <c r="M8" s="42">
        <v>3473.2055403121285</v>
      </c>
      <c r="N8" s="42">
        <v>3607.5780614981882</v>
      </c>
      <c r="O8" s="42">
        <v>3578.2595961385764</v>
      </c>
      <c r="P8" s="42">
        <v>2681.4355246820282</v>
      </c>
      <c r="Q8" s="42">
        <v>1860.5441895692909</v>
      </c>
    </row>
    <row r="9" spans="1:18" x14ac:dyDescent="0.45">
      <c r="J9" t="s">
        <v>104</v>
      </c>
      <c r="L9" s="42">
        <v>124.45627473414234</v>
      </c>
      <c r="M9" s="42">
        <v>297.26420849537459</v>
      </c>
      <c r="N9" s="42">
        <v>476.65734847255356</v>
      </c>
      <c r="O9" s="42">
        <v>659.27417541018417</v>
      </c>
      <c r="P9" s="42">
        <v>818.24957419592931</v>
      </c>
      <c r="Q9" s="42">
        <v>634.7879827571777</v>
      </c>
    </row>
    <row r="10" spans="1:18" x14ac:dyDescent="0.45">
      <c r="A10" s="28" t="s">
        <v>81</v>
      </c>
      <c r="B10">
        <f t="shared" ref="B10:K10" si="0">SUM(B6:B8)</f>
        <v>1319.66</v>
      </c>
      <c r="C10">
        <f t="shared" si="0"/>
        <v>1603.6220000000001</v>
      </c>
      <c r="D10">
        <f t="shared" si="0"/>
        <v>1461.097696</v>
      </c>
      <c r="E10">
        <f t="shared" si="0"/>
        <v>1545.828</v>
      </c>
      <c r="F10">
        <f t="shared" si="0"/>
        <v>1162.3</v>
      </c>
      <c r="G10">
        <f t="shared" si="0"/>
        <v>1179.8</v>
      </c>
      <c r="H10">
        <f t="shared" si="0"/>
        <v>1451.6</v>
      </c>
      <c r="I10">
        <f t="shared" si="0"/>
        <v>1555.4</v>
      </c>
      <c r="J10">
        <f t="shared" si="0"/>
        <v>1908.4</v>
      </c>
      <c r="K10">
        <f t="shared" si="0"/>
        <v>2914.9</v>
      </c>
      <c r="L10" s="42">
        <f>SUM(L6:L9)</f>
        <v>4423.2344526348188</v>
      </c>
      <c r="M10" s="42">
        <f t="shared" ref="M10:Q10" si="1">SUM(M6:M9)</f>
        <v>4823.5697488075039</v>
      </c>
      <c r="N10" s="42">
        <f t="shared" si="1"/>
        <v>5089.0354099707411</v>
      </c>
      <c r="O10" s="42">
        <f t="shared" si="1"/>
        <v>5376.2337715487611</v>
      </c>
      <c r="P10" s="42">
        <f t="shared" si="1"/>
        <v>4653.743563877958</v>
      </c>
      <c r="Q10" s="42">
        <f t="shared" si="1"/>
        <v>3331.9738093264687</v>
      </c>
    </row>
    <row r="11" spans="1:18" x14ac:dyDescent="0.45">
      <c r="A11" s="28"/>
      <c r="L11" s="42"/>
      <c r="M11" s="42"/>
      <c r="N11" s="42"/>
      <c r="O11" s="42"/>
      <c r="P11" s="42"/>
      <c r="Q11" s="42"/>
    </row>
    <row r="12" spans="1:18" x14ac:dyDescent="0.45">
      <c r="A12" s="28" t="s">
        <v>105</v>
      </c>
      <c r="B12" s="42">
        <v>29.740000000000002</v>
      </c>
      <c r="C12" s="42">
        <v>35.5</v>
      </c>
      <c r="D12" s="42">
        <v>20.400000000000002</v>
      </c>
      <c r="E12" s="42">
        <v>31.499999999999996</v>
      </c>
      <c r="F12" s="42">
        <v>92</v>
      </c>
      <c r="G12" s="42">
        <v>145.16999999999999</v>
      </c>
      <c r="H12" s="42">
        <v>115.97999999999999</v>
      </c>
      <c r="I12" s="42">
        <v>120.19999999999999</v>
      </c>
      <c r="J12" s="42">
        <v>160.01999999999998</v>
      </c>
      <c r="K12" s="42">
        <v>500.29999999999995</v>
      </c>
      <c r="L12" s="42">
        <v>695</v>
      </c>
      <c r="M12" s="42">
        <v>565.45000000000005</v>
      </c>
      <c r="N12" s="42">
        <v>504.74</v>
      </c>
      <c r="O12" s="42">
        <v>428.10270859999997</v>
      </c>
      <c r="P12" s="42">
        <v>465.62</v>
      </c>
      <c r="Q12" s="42">
        <v>405.77</v>
      </c>
    </row>
    <row r="13" spans="1:18" x14ac:dyDescent="0.45">
      <c r="A13" s="28" t="s">
        <v>106</v>
      </c>
      <c r="B13" s="42">
        <v>97.75</v>
      </c>
      <c r="C13" s="42">
        <v>111.68299999999999</v>
      </c>
      <c r="D13" s="42">
        <v>147.55000000000001</v>
      </c>
      <c r="E13" s="42">
        <v>173.64000000000001</v>
      </c>
      <c r="F13" s="42">
        <v>196.96000000000004</v>
      </c>
      <c r="G13" s="42">
        <v>242.78600000000003</v>
      </c>
      <c r="H13" s="42">
        <v>198.80700000000004</v>
      </c>
      <c r="I13" s="42">
        <v>250.82</v>
      </c>
      <c r="J13" s="42">
        <v>272.96999999999991</v>
      </c>
      <c r="K13" s="42">
        <v>335.10000000000014</v>
      </c>
      <c r="L13" s="42">
        <v>289.23200000000008</v>
      </c>
      <c r="M13" s="42">
        <v>315.43085785999983</v>
      </c>
      <c r="N13" s="42">
        <v>415.63000000000022</v>
      </c>
      <c r="O13" s="42">
        <v>596.86459278000007</v>
      </c>
      <c r="P13" s="42">
        <v>535.61769386999993</v>
      </c>
      <c r="Q13" s="42">
        <v>540.79193716000009</v>
      </c>
    </row>
    <row r="14" spans="1:18" x14ac:dyDescent="0.45">
      <c r="A14" s="28" t="s">
        <v>107</v>
      </c>
      <c r="B14" s="42">
        <f>SUM(B12:B13)</f>
        <v>127.49000000000001</v>
      </c>
      <c r="C14" s="42">
        <f t="shared" ref="C14:Q14" si="2">SUM(C12:C13)</f>
        <v>147.18299999999999</v>
      </c>
      <c r="D14" s="42">
        <f t="shared" si="2"/>
        <v>167.95000000000002</v>
      </c>
      <c r="E14" s="42">
        <f t="shared" si="2"/>
        <v>205.14000000000001</v>
      </c>
      <c r="F14" s="42">
        <f t="shared" si="2"/>
        <v>288.96000000000004</v>
      </c>
      <c r="G14" s="42">
        <f t="shared" si="2"/>
        <v>387.95600000000002</v>
      </c>
      <c r="H14" s="42">
        <f t="shared" si="2"/>
        <v>314.78700000000003</v>
      </c>
      <c r="I14" s="42">
        <f t="shared" si="2"/>
        <v>371.02</v>
      </c>
      <c r="J14" s="42">
        <f t="shared" si="2"/>
        <v>432.9899999999999</v>
      </c>
      <c r="K14" s="42">
        <f t="shared" si="2"/>
        <v>835.40000000000009</v>
      </c>
      <c r="L14" s="42">
        <f t="shared" si="2"/>
        <v>984.23200000000008</v>
      </c>
      <c r="M14" s="42">
        <f t="shared" si="2"/>
        <v>880.88085785999988</v>
      </c>
      <c r="N14" s="42">
        <f t="shared" si="2"/>
        <v>920.37000000000023</v>
      </c>
      <c r="O14" s="42">
        <f t="shared" si="2"/>
        <v>1024.96730138</v>
      </c>
      <c r="P14" s="42">
        <f t="shared" si="2"/>
        <v>1001.2376938699999</v>
      </c>
      <c r="Q14" s="42">
        <f t="shared" si="2"/>
        <v>946.56193716000007</v>
      </c>
    </row>
    <row r="15" spans="1:18" s="36" customFormat="1" x14ac:dyDescent="0.45">
      <c r="A15" s="34" t="s">
        <v>82</v>
      </c>
      <c r="B15" s="35">
        <f>B10+B14</f>
        <v>1447.15</v>
      </c>
      <c r="C15" s="35">
        <f t="shared" ref="C15:Q15" si="3">C10+C14</f>
        <v>1750.8050000000001</v>
      </c>
      <c r="D15" s="35">
        <f t="shared" si="3"/>
        <v>1629.0476960000001</v>
      </c>
      <c r="E15" s="35">
        <f t="shared" si="3"/>
        <v>1750.9680000000001</v>
      </c>
      <c r="F15" s="35">
        <f t="shared" si="3"/>
        <v>1451.26</v>
      </c>
      <c r="G15" s="35">
        <f t="shared" si="3"/>
        <v>1567.7559999999999</v>
      </c>
      <c r="H15" s="35">
        <f t="shared" si="3"/>
        <v>1766.3869999999999</v>
      </c>
      <c r="I15" s="35">
        <f t="shared" si="3"/>
        <v>1926.42</v>
      </c>
      <c r="J15" s="35">
        <f t="shared" si="3"/>
        <v>2341.39</v>
      </c>
      <c r="K15" s="35">
        <f t="shared" si="3"/>
        <v>3750.3</v>
      </c>
      <c r="L15" s="35">
        <f t="shared" si="3"/>
        <v>5407.4664526348188</v>
      </c>
      <c r="M15" s="35">
        <f t="shared" si="3"/>
        <v>5704.450606667504</v>
      </c>
      <c r="N15" s="35">
        <f t="shared" si="3"/>
        <v>6009.4054099707409</v>
      </c>
      <c r="O15" s="35">
        <f t="shared" si="3"/>
        <v>6401.2010729287613</v>
      </c>
      <c r="P15" s="35">
        <f t="shared" si="3"/>
        <v>5654.9812577479579</v>
      </c>
      <c r="Q15" s="35">
        <f t="shared" si="3"/>
        <v>4278.5357464864683</v>
      </c>
    </row>
    <row r="16" spans="1:18" x14ac:dyDescent="0.45">
      <c r="B16" t="s">
        <v>83</v>
      </c>
      <c r="C16" t="s">
        <v>84</v>
      </c>
      <c r="D16" t="s">
        <v>85</v>
      </c>
      <c r="E16" t="s">
        <v>86</v>
      </c>
      <c r="F16" t="s">
        <v>87</v>
      </c>
      <c r="G16" t="s">
        <v>88</v>
      </c>
      <c r="H16" t="s">
        <v>89</v>
      </c>
      <c r="I16" t="s">
        <v>90</v>
      </c>
      <c r="J16" t="s">
        <v>91</v>
      </c>
      <c r="K16" t="s">
        <v>92</v>
      </c>
      <c r="L16" t="s">
        <v>93</v>
      </c>
      <c r="M16" t="s">
        <v>94</v>
      </c>
      <c r="N16" t="s">
        <v>95</v>
      </c>
      <c r="O16" t="s">
        <v>96</v>
      </c>
      <c r="P16" t="s">
        <v>97</v>
      </c>
      <c r="Q16" t="s">
        <v>98</v>
      </c>
    </row>
    <row r="19" spans="1:10" x14ac:dyDescent="0.45">
      <c r="A19" s="28"/>
    </row>
    <row r="20" spans="1:10" x14ac:dyDescent="0.45">
      <c r="A20" s="28"/>
    </row>
    <row r="21" spans="1:10" x14ac:dyDescent="0.45">
      <c r="A21" s="43"/>
      <c r="B21" s="2"/>
      <c r="C21" s="2"/>
      <c r="D21" s="2"/>
      <c r="E21" s="2"/>
      <c r="F21" s="2"/>
      <c r="G21" s="2"/>
      <c r="H21" s="2"/>
      <c r="I21" s="2"/>
      <c r="J21" s="2"/>
    </row>
    <row r="25" spans="1:10" x14ac:dyDescent="0.45">
      <c r="G25" s="2"/>
      <c r="H25" s="42"/>
      <c r="I25" s="42"/>
      <c r="J25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4D92-D5AA-4040-A1BD-D5B852806AC8}">
  <dimension ref="K2:O7"/>
  <sheetViews>
    <sheetView workbookViewId="0">
      <selection activeCell="L20" sqref="L20"/>
    </sheetView>
  </sheetViews>
  <sheetFormatPr defaultRowHeight="14.25" x14ac:dyDescent="0.45"/>
  <cols>
    <col min="11" max="11" width="16.9296875" customWidth="1"/>
    <col min="12" max="15" width="16.3984375" style="40" customWidth="1"/>
  </cols>
  <sheetData>
    <row r="2" spans="11:15" ht="42.75" x14ac:dyDescent="0.45">
      <c r="K2" s="46" t="s">
        <v>103</v>
      </c>
      <c r="L2" s="39" t="s">
        <v>99</v>
      </c>
      <c r="M2" s="39" t="s">
        <v>102</v>
      </c>
      <c r="N2" s="39" t="s">
        <v>100</v>
      </c>
      <c r="O2" s="39" t="s">
        <v>101</v>
      </c>
    </row>
    <row r="3" spans="11:15" x14ac:dyDescent="0.45">
      <c r="K3" s="44">
        <v>45657</v>
      </c>
      <c r="L3" s="45">
        <v>17185</v>
      </c>
      <c r="M3" s="45">
        <v>0</v>
      </c>
      <c r="N3" s="45">
        <v>8587</v>
      </c>
      <c r="O3" s="41">
        <f>SUM(L3:N3)</f>
        <v>25772</v>
      </c>
    </row>
    <row r="4" spans="11:15" x14ac:dyDescent="0.45">
      <c r="K4" s="44">
        <v>45291</v>
      </c>
      <c r="L4" s="45">
        <v>15449</v>
      </c>
      <c r="M4" s="45">
        <v>0</v>
      </c>
      <c r="N4" s="45">
        <v>8325</v>
      </c>
      <c r="O4" s="41">
        <f t="shared" ref="O4:O5" si="0">SUM(L4:N4)</f>
        <v>23774</v>
      </c>
    </row>
    <row r="5" spans="11:15" x14ac:dyDescent="0.45">
      <c r="K5" s="44">
        <v>44926</v>
      </c>
      <c r="L5" s="45">
        <v>14200</v>
      </c>
      <c r="M5" s="45">
        <v>0</v>
      </c>
      <c r="N5" s="45">
        <v>8128</v>
      </c>
      <c r="O5" s="41">
        <f t="shared" si="0"/>
        <v>22328</v>
      </c>
    </row>
    <row r="7" spans="11:15" x14ac:dyDescent="0.45">
      <c r="K7" s="30" t="s">
        <v>113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B0FF4F-5196-4E77-9F03-F69E42AA3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19D564-E6BE-4E94-988E-F05658CFA6EB}"/>
</file>

<file path=customXml/itemProps3.xml><?xml version="1.0" encoding="utf-8"?>
<ds:datastoreItem xmlns:ds="http://schemas.openxmlformats.org/officeDocument/2006/customXml" ds:itemID="{5B8AB1F9-8251-4824-912B-0CB41374B3DF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76a73a03-073c-4e8a-9fc1-654f7c642b9a"/>
    <ds:schemaRef ds:uri="http://schemas.openxmlformats.org/package/2006/metadata/core-properties"/>
    <ds:schemaRef ds:uri="63d7fcb5-7bd1-497a-b94f-6231df271a7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Summary_Annual</vt:lpstr>
      <vt:lpstr>Summary_Net Plant vs 25-29</vt:lpstr>
      <vt:lpstr>10-K CapEx Data</vt:lpstr>
      <vt:lpstr>Capex History and Plan</vt:lpstr>
      <vt:lpstr>OPG Regulated Net Plant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 Dane</cp:lastModifiedBy>
  <cp:revision/>
  <dcterms:created xsi:type="dcterms:W3CDTF">2025-06-03T16:54:36Z</dcterms:created>
  <dcterms:modified xsi:type="dcterms:W3CDTF">2026-04-08T22:05:35Z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{A44787D4-0540-4523-9961-78E4036D8C6D}">
    <vt:lpwstr>{E32B80B6-6652-4689-A009-F2992C0AE4C1}</vt:lpwstr>
  </property>
  <property fmtid="{D5CDD505-2E9C-101B-9397-08002B2CF9AE}" pid="4" name="MediaServiceImageTags">
    <vt:lpwstr/>
  </property>
  <property fmtid="{D5CDD505-2E9C-101B-9397-08002B2CF9AE}" pid="5" name="Industry_x0020_Segment">
    <vt:lpwstr/>
  </property>
  <property fmtid="{D5CDD505-2E9C-101B-9397-08002B2CF9AE}" pid="6" name="Engagement_x0020_Type">
    <vt:lpwstr/>
  </property>
  <property fmtid="{D5CDD505-2E9C-101B-9397-08002B2CF9AE}" pid="7" name="Practice_x0020_Areas_x0020_and_x0020_Services_x0020_Provided">
    <vt:lpwstr/>
  </property>
  <property fmtid="{D5CDD505-2E9C-101B-9397-08002B2CF9AE}" pid="8" name="Engagement Type">
    <vt:lpwstr/>
  </property>
  <property fmtid="{D5CDD505-2E9C-101B-9397-08002B2CF9AE}" pid="9" name="Practice Areas and Services Provided">
    <vt:lpwstr/>
  </property>
  <property fmtid="{D5CDD505-2E9C-101B-9397-08002B2CF9AE}" pid="10" name="Industry Segment">
    <vt:lpwstr/>
  </property>
</Properties>
</file>