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0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ceadvisors.sharepoint.com/sites/Projects-OPG/Shared Documents/100595 - OPG Cost of Capital/Discovery/CCC/CCC Attachments/"/>
    </mc:Choice>
  </mc:AlternateContent>
  <xr:revisionPtr revIDLastSave="446" documentId="8_{E18918E5-E95D-42CD-96DC-FACF93895516}" xr6:coauthVersionLast="47" xr6:coauthVersionMax="47" xr10:uidLastSave="{66D575DF-F3D0-4105-8CF6-12B9E678E169}"/>
  <bookViews>
    <workbookView xWindow="-120" yWindow="-120" windowWidth="38640" windowHeight="15720" xr2:uid="{00000000-000D-0000-FFFF-FFFF00000000}"/>
  </bookViews>
  <sheets>
    <sheet name="Holding Company Averages" sheetId="9" r:id="rId1"/>
    <sheet name="Authorized Equity Ratios Adj" sheetId="8" r:id="rId2"/>
    <sheet name="Zero Cost of Capital Cases" sheetId="1" r:id="rId3"/>
    <sheet name="Support " sheetId="7" r:id="rId4"/>
  </sheets>
  <definedNames>
    <definedName name="_xlnm._FilterDatabase" localSheetId="1" hidden="1">'Authorized Equity Ratios Adj'!$B$3:$H$77</definedName>
    <definedName name="_xlnm._FilterDatabase" localSheetId="2" hidden="1">'Zero Cost of Capital Cases'!$B$4:$F$17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_xlnm.Print_Area" localSheetId="2">'Zero Cost of Capital Cases'!$A$1:$F$13</definedName>
  </definedNames>
  <calcPr calcId="191028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0" i="9" l="1"/>
  <c r="D19" i="9"/>
  <c r="D18" i="9"/>
  <c r="D17" i="9"/>
  <c r="D16" i="9"/>
  <c r="D15" i="9"/>
  <c r="D14" i="9"/>
  <c r="D13" i="9"/>
  <c r="D12" i="9"/>
  <c r="D11" i="9"/>
  <c r="D10" i="9"/>
  <c r="D9" i="9"/>
  <c r="D8" i="9"/>
  <c r="D7" i="9"/>
  <c r="D6" i="9"/>
  <c r="D5" i="9"/>
  <c r="D4" i="9"/>
  <c r="D3" i="9"/>
  <c r="F22" i="9"/>
  <c r="F21" i="9"/>
  <c r="D22" i="9" l="1"/>
  <c r="D21" i="9"/>
  <c r="F44" i="8" l="1"/>
  <c r="P73" i="8"/>
  <c r="O73" i="8"/>
  <c r="C73" i="8"/>
  <c r="P72" i="8"/>
  <c r="O72" i="8"/>
  <c r="C72" i="8"/>
  <c r="P71" i="8"/>
  <c r="O71" i="8"/>
  <c r="C71" i="8"/>
  <c r="P70" i="8"/>
  <c r="O70" i="8"/>
  <c r="C70" i="8"/>
  <c r="P69" i="8"/>
  <c r="O69" i="8"/>
  <c r="C69" i="8"/>
  <c r="P68" i="8"/>
  <c r="O68" i="8"/>
  <c r="C68" i="8"/>
  <c r="P67" i="8"/>
  <c r="O67" i="8"/>
  <c r="C67" i="8"/>
  <c r="P66" i="8"/>
  <c r="O66" i="8"/>
  <c r="C66" i="8"/>
  <c r="P65" i="8"/>
  <c r="O65" i="8"/>
  <c r="C65" i="8"/>
  <c r="P64" i="8"/>
  <c r="O64" i="8"/>
  <c r="C64" i="8"/>
  <c r="P63" i="8"/>
  <c r="O63" i="8"/>
  <c r="C63" i="8"/>
  <c r="P62" i="8"/>
  <c r="O62" i="8"/>
  <c r="C62" i="8"/>
  <c r="P61" i="8"/>
  <c r="O61" i="8"/>
  <c r="C61" i="8"/>
  <c r="P60" i="8"/>
  <c r="O60" i="8"/>
  <c r="C60" i="8"/>
  <c r="P59" i="8"/>
  <c r="O59" i="8"/>
  <c r="C59" i="8"/>
  <c r="P58" i="8"/>
  <c r="O58" i="8"/>
  <c r="C58" i="8"/>
  <c r="P57" i="8"/>
  <c r="O57" i="8"/>
  <c r="C57" i="8"/>
  <c r="P56" i="8"/>
  <c r="O56" i="8"/>
  <c r="C56" i="8"/>
  <c r="P55" i="8"/>
  <c r="O55" i="8"/>
  <c r="C55" i="8"/>
  <c r="P54" i="8"/>
  <c r="O54" i="8"/>
  <c r="C54" i="8"/>
  <c r="P53" i="8"/>
  <c r="O53" i="8"/>
  <c r="C53" i="8"/>
  <c r="P52" i="8"/>
  <c r="O52" i="8"/>
  <c r="C52" i="8"/>
  <c r="P51" i="8"/>
  <c r="O51" i="8"/>
  <c r="C51" i="8"/>
  <c r="P50" i="8"/>
  <c r="O50" i="8"/>
  <c r="C50" i="8"/>
  <c r="P49" i="8"/>
  <c r="O49" i="8"/>
  <c r="C49" i="8"/>
  <c r="P48" i="8"/>
  <c r="O48" i="8"/>
  <c r="C48" i="8"/>
  <c r="P47" i="8"/>
  <c r="O47" i="8"/>
  <c r="C47" i="8"/>
  <c r="P46" i="8"/>
  <c r="O46" i="8"/>
  <c r="C46" i="8"/>
  <c r="P45" i="8"/>
  <c r="O45" i="8"/>
  <c r="C45" i="8"/>
  <c r="P44" i="8"/>
  <c r="O44" i="8"/>
  <c r="C44" i="8"/>
  <c r="P43" i="8"/>
  <c r="O43" i="8"/>
  <c r="C43" i="8"/>
  <c r="P42" i="8"/>
  <c r="O42" i="8"/>
  <c r="C42" i="8"/>
  <c r="P41" i="8"/>
  <c r="O41" i="8"/>
  <c r="C41" i="8"/>
  <c r="P40" i="8"/>
  <c r="O40" i="8"/>
  <c r="C40" i="8"/>
  <c r="P39" i="8"/>
  <c r="O39" i="8"/>
  <c r="C39" i="8"/>
  <c r="P38" i="8"/>
  <c r="O38" i="8"/>
  <c r="C38" i="8"/>
  <c r="P37" i="8"/>
  <c r="O37" i="8"/>
  <c r="C37" i="8"/>
  <c r="P36" i="8"/>
  <c r="O36" i="8"/>
  <c r="C36" i="8"/>
  <c r="O35" i="8"/>
  <c r="C35" i="8"/>
  <c r="O34" i="8"/>
  <c r="C34" i="8"/>
  <c r="P34" i="8" s="1"/>
  <c r="O33" i="8"/>
  <c r="C33" i="8"/>
  <c r="P33" i="8" s="1"/>
  <c r="O32" i="8"/>
  <c r="C32" i="8"/>
  <c r="P32" i="8" s="1"/>
  <c r="O31" i="8"/>
  <c r="C31" i="8"/>
  <c r="P31" i="8" s="1"/>
  <c r="O30" i="8"/>
  <c r="C30" i="8"/>
  <c r="P30" i="8" s="1"/>
  <c r="O29" i="8"/>
  <c r="C29" i="8"/>
  <c r="P29" i="8" s="1"/>
  <c r="O28" i="8"/>
  <c r="C28" i="8"/>
  <c r="P28" i="8" s="1"/>
  <c r="O27" i="8"/>
  <c r="C27" i="8"/>
  <c r="P27" i="8" s="1"/>
  <c r="O26" i="8"/>
  <c r="C26" i="8"/>
  <c r="P26" i="8" s="1"/>
  <c r="O25" i="8"/>
  <c r="C25" i="8"/>
  <c r="P25" i="8" s="1"/>
  <c r="O24" i="8"/>
  <c r="C24" i="8"/>
  <c r="P24" i="8" s="1"/>
  <c r="O23" i="8"/>
  <c r="C23" i="8"/>
  <c r="P23" i="8" s="1"/>
  <c r="O22" i="8"/>
  <c r="C22" i="8"/>
  <c r="P22" i="8" s="1"/>
  <c r="O21" i="8"/>
  <c r="C21" i="8"/>
  <c r="P21" i="8" s="1"/>
  <c r="P20" i="8"/>
  <c r="P19" i="8"/>
  <c r="O19" i="8"/>
  <c r="C19" i="8"/>
  <c r="P18" i="8"/>
  <c r="O18" i="8"/>
  <c r="C18" i="8"/>
  <c r="P17" i="8"/>
  <c r="O17" i="8"/>
  <c r="C17" i="8"/>
  <c r="P16" i="8"/>
  <c r="O16" i="8"/>
  <c r="C16" i="8"/>
  <c r="P15" i="8"/>
  <c r="O15" i="8"/>
  <c r="C15" i="8"/>
  <c r="P14" i="8"/>
  <c r="O14" i="8"/>
  <c r="C14" i="8"/>
  <c r="P13" i="8"/>
  <c r="O13" i="8"/>
  <c r="C13" i="8"/>
  <c r="P12" i="8"/>
  <c r="O12" i="8"/>
  <c r="C12" i="8"/>
  <c r="P11" i="8"/>
  <c r="O11" i="8"/>
  <c r="C11" i="8"/>
  <c r="P10" i="8"/>
  <c r="O10" i="8"/>
  <c r="C10" i="8"/>
  <c r="P9" i="8"/>
  <c r="O9" i="8"/>
  <c r="C9" i="8"/>
  <c r="P8" i="8"/>
  <c r="O8" i="8"/>
  <c r="C8" i="8"/>
  <c r="P7" i="8"/>
  <c r="O7" i="8"/>
  <c r="C7" i="8"/>
  <c r="P6" i="8"/>
  <c r="O6" i="8"/>
  <c r="C6" i="8"/>
  <c r="P5" i="8"/>
  <c r="O5" i="8"/>
  <c r="C5" i="8"/>
  <c r="P4" i="8"/>
  <c r="O4" i="8"/>
  <c r="C4" i="8"/>
  <c r="F84" i="8" l="1"/>
  <c r="F12" i="1" l="1"/>
  <c r="F61" i="8" s="1"/>
  <c r="G152" i="7"/>
  <c r="G154" i="7" s="1"/>
  <c r="G10" i="7"/>
  <c r="F5" i="1"/>
  <c r="F10" i="8" s="1"/>
  <c r="G8" i="7"/>
  <c r="F8" i="1" l="1"/>
  <c r="F25" i="8" s="1"/>
  <c r="G114" i="7"/>
  <c r="G116" i="7" s="1"/>
  <c r="F9" i="1" s="1"/>
  <c r="F26" i="8" s="1"/>
  <c r="G22" i="7"/>
  <c r="G24" i="7" s="1"/>
  <c r="F6" i="1" s="1"/>
  <c r="F11" i="8" s="1"/>
  <c r="F90" i="8" l="1" a="1"/>
  <c r="F90" i="8" s="1"/>
  <c r="F88" i="8"/>
  <c r="G73" i="7"/>
  <c r="G75" i="7" s="1"/>
  <c r="F7" i="1" s="1"/>
  <c r="F17" i="8" s="1"/>
  <c r="F85" i="8" s="1" a="1"/>
  <c r="F85" i="8" s="1"/>
  <c r="G39" i="7"/>
  <c r="G41" i="7" s="1"/>
  <c r="F10" i="1" s="1"/>
  <c r="F32" i="8" s="1"/>
  <c r="F79" i="8" s="1"/>
  <c r="G52" i="7"/>
  <c r="G54" i="7" s="1"/>
  <c r="F13" i="1" s="1"/>
  <c r="F65" i="8" s="1"/>
  <c r="F75" i="8" l="1"/>
  <c r="F74" i="8"/>
  <c r="F82" i="8" a="1"/>
  <c r="F82" i="8" s="1"/>
  <c r="F89" i="8" a="1"/>
  <c r="F89" i="8" s="1"/>
  <c r="F81" i="8" a="1"/>
  <c r="F81" i="8" s="1"/>
  <c r="F86" i="8" a="1"/>
  <c r="F86" i="8" s="1"/>
  <c r="F76" i="8"/>
  <c r="F91" i="8" a="1"/>
  <c r="F91" i="8" s="1"/>
  <c r="F80" i="8" a="1"/>
  <c r="F80" i="8" s="1"/>
  <c r="F87" i="8" a="1"/>
  <c r="F87" i="8" s="1"/>
  <c r="F77" i="8"/>
  <c r="C12" i="1"/>
  <c r="C13" i="1"/>
  <c r="K5" i="1"/>
  <c r="K6" i="1"/>
  <c r="K7" i="1"/>
  <c r="K8" i="1"/>
  <c r="K9" i="1"/>
  <c r="K10" i="1"/>
  <c r="K11" i="1"/>
  <c r="K12" i="1"/>
  <c r="K13" i="1"/>
  <c r="C11" i="1" l="1"/>
  <c r="C10" i="1"/>
  <c r="C9" i="1"/>
  <c r="C8" i="1"/>
  <c r="C7" i="1"/>
  <c r="C6" i="1"/>
  <c r="C5" i="1"/>
  <c r="F26" i="1" l="1" a="1"/>
  <c r="F26" i="1" s="1"/>
  <c r="F25" i="1" a="1"/>
  <c r="F25" i="1" s="1"/>
  <c r="F24" i="1"/>
  <c r="F27" i="1" a="1"/>
  <c r="F27" i="1" s="1"/>
  <c r="P15" i="1"/>
  <c r="F28" i="1" s="1"/>
  <c r="F31" i="1" a="1"/>
  <c r="F31" i="1" s="1"/>
  <c r="F30" i="1" a="1"/>
  <c r="F30" i="1" s="1"/>
  <c r="F29" i="1" a="1"/>
  <c r="F29" i="1" s="1"/>
  <c r="O15" i="1" a="1"/>
  <c r="O15" i="1" s="1"/>
  <c r="F16" i="1"/>
  <c r="F17" i="1"/>
  <c r="F22" i="1" a="1"/>
  <c r="F22" i="1" s="1"/>
  <c r="F21" i="1" a="1"/>
  <c r="F21" i="1" s="1"/>
  <c r="F19" i="1"/>
  <c r="F20" i="1" a="1"/>
  <c r="F20" i="1" s="1"/>
  <c r="F15" i="1"/>
  <c r="F14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<sst xmlns="http://schemas.openxmlformats.org/spreadsheetml/2006/main" count="936" uniqueCount="259">
  <si>
    <t>HoldCo Name</t>
  </si>
  <si>
    <t>Ticker</t>
  </si>
  <si>
    <t>Average Authorized Equity Ratio of Operating Subsidiaries</t>
  </si>
  <si>
    <t>As Filed</t>
  </si>
  <si>
    <t>ALLETE, Inc.</t>
  </si>
  <si>
    <t>ALE</t>
  </si>
  <si>
    <t>Ameren Corporation</t>
  </si>
  <si>
    <t>AEE</t>
  </si>
  <si>
    <t>American Electric Power Company, Inc.</t>
  </si>
  <si>
    <t>AEP</t>
  </si>
  <si>
    <t>Dominion Resources, Inc.</t>
  </si>
  <si>
    <t>D</t>
  </si>
  <si>
    <t>Duke Energy Corporation</t>
  </si>
  <si>
    <t>DUK</t>
  </si>
  <si>
    <t>Edison International</t>
  </si>
  <si>
    <t>EIX</t>
  </si>
  <si>
    <t>n/a</t>
  </si>
  <si>
    <t>Entergy Corporation</t>
  </si>
  <si>
    <t>ETR</t>
  </si>
  <si>
    <t xml:space="preserve">Evergy, Inc. </t>
  </si>
  <si>
    <t>EVRG</t>
  </si>
  <si>
    <t>IDACORP, Inc.</t>
  </si>
  <si>
    <t>IDA</t>
  </si>
  <si>
    <t>NextEra Energy, Inc.</t>
  </si>
  <si>
    <t>NEE</t>
  </si>
  <si>
    <t>Pinnacle West Capital Corporation</t>
  </si>
  <si>
    <t>PNW</t>
  </si>
  <si>
    <t>TXNM Energy, Inc.</t>
  </si>
  <si>
    <t>TXNM</t>
  </si>
  <si>
    <t>Portland General Electric Company</t>
  </si>
  <si>
    <t>POR</t>
  </si>
  <si>
    <t>Southern Company</t>
  </si>
  <si>
    <t>SO</t>
  </si>
  <si>
    <t>Xcel Energy Inc.</t>
  </si>
  <si>
    <t>XEL</t>
  </si>
  <si>
    <t>Algonquin Power &amp; Utilities Corporation</t>
  </si>
  <si>
    <t>AQN</t>
  </si>
  <si>
    <t>Emera Inc.</t>
  </si>
  <si>
    <t>EMA</t>
  </si>
  <si>
    <t>Fortis Inc.</t>
  </si>
  <si>
    <t>FTS</t>
  </si>
  <si>
    <t>MEAN</t>
  </si>
  <si>
    <t>MEDIAN</t>
  </si>
  <si>
    <t>Cases originally marked "n/a" and now adjusted to exclude zero-cost of capital items are marked in green highlight</t>
  </si>
  <si>
    <t>AUTHORIZED EQUITY RATIOS - PROXY GROUP UTILITY OPERATING COMPANIES</t>
  </si>
  <si>
    <t>Company Name</t>
  </si>
  <si>
    <t>State</t>
  </si>
  <si>
    <t>Service Type</t>
  </si>
  <si>
    <t>Current</t>
  </si>
  <si>
    <t>Group</t>
  </si>
  <si>
    <t>S&amp;P Credit Supportiveness</t>
  </si>
  <si>
    <t>S&amp;P Company Name</t>
  </si>
  <si>
    <t>Lookup</t>
  </si>
  <si>
    <t>Commission</t>
  </si>
  <si>
    <t>Minnesota Power Enterprises, Inc.</t>
  </si>
  <si>
    <t>Electric</t>
  </si>
  <si>
    <t/>
  </si>
  <si>
    <t>Hydro</t>
  </si>
  <si>
    <t>Highly Credit Supportive</t>
  </si>
  <si>
    <t>Minnesota Power Entrprs Inc.</t>
  </si>
  <si>
    <t>Minnesota</t>
  </si>
  <si>
    <t>Ameren Illinois Company</t>
  </si>
  <si>
    <t>Very Credit Supportive</t>
  </si>
  <si>
    <t>Ameren Illinois</t>
  </si>
  <si>
    <t>Illinois</t>
  </si>
  <si>
    <t>Union Electric Company</t>
  </si>
  <si>
    <t>Nuclear</t>
  </si>
  <si>
    <t>Union Electric Co.</t>
  </si>
  <si>
    <t>Missouri</t>
  </si>
  <si>
    <t>AEP Texas, Inc.</t>
  </si>
  <si>
    <t>AEP Texas Inc.</t>
  </si>
  <si>
    <t>Texas</t>
  </si>
  <si>
    <t>Appalachian Power Company</t>
  </si>
  <si>
    <t>Appalachian Power Co.</t>
  </si>
  <si>
    <t>Virginia</t>
  </si>
  <si>
    <t>West Virginia</t>
  </si>
  <si>
    <t>Indiana Michigan Power Company</t>
  </si>
  <si>
    <t>Indiana Michigan Power Co.</t>
  </si>
  <si>
    <t>Indiana</t>
  </si>
  <si>
    <t>Most Credit Supportive</t>
  </si>
  <si>
    <t>Michigan</t>
  </si>
  <si>
    <t>Kentucky Power Company</t>
  </si>
  <si>
    <t>Kentucky Power Co.</t>
  </si>
  <si>
    <t>Kentucky</t>
  </si>
  <si>
    <t>Kingsport Power Company</t>
  </si>
  <si>
    <t>Tennessee</t>
  </si>
  <si>
    <t>Ohio Power Company</t>
  </si>
  <si>
    <t>Ohio Power Co.</t>
  </si>
  <si>
    <t>Ohio</t>
  </si>
  <si>
    <t>Public Service Company of Oklahoma</t>
  </si>
  <si>
    <t>Public Service Co. of OK</t>
  </si>
  <si>
    <t>Oklahoma</t>
  </si>
  <si>
    <t>Southwestern Electric Power Company</t>
  </si>
  <si>
    <t>Southwestern Electric Power Co</t>
  </si>
  <si>
    <t>Louisiana</t>
  </si>
  <si>
    <t>Arkansas</t>
  </si>
  <si>
    <t>Wheeling Power Company</t>
  </si>
  <si>
    <t>Wheeling Power Co.</t>
  </si>
  <si>
    <t>Virginia Electric and Power Company</t>
  </si>
  <si>
    <t>Virginia Electric &amp; Power Co.</t>
  </si>
  <si>
    <t>Virginia Electric &amp; Power Co.VirginiaElectric</t>
  </si>
  <si>
    <t>North Carolina</t>
  </si>
  <si>
    <t>Dominion Energy South Carolina</t>
  </si>
  <si>
    <t>More Credit Supportive</t>
  </si>
  <si>
    <t>South Carolina</t>
  </si>
  <si>
    <t>Duke Energy Carolinas, LLC</t>
  </si>
  <si>
    <t>Duke Energy Carolinas LLC</t>
  </si>
  <si>
    <t>Duke Energy Florida, LLC</t>
  </si>
  <si>
    <t>Duke Energy Florida LLC</t>
  </si>
  <si>
    <t>Florida</t>
  </si>
  <si>
    <t>Duke Energy Indiana, LLC</t>
  </si>
  <si>
    <t>Duke Energy Kentucky, Inc.</t>
  </si>
  <si>
    <t>Duke Energy Kentucky Inc.</t>
  </si>
  <si>
    <t>Duke Energy Ohio, Inc.</t>
  </si>
  <si>
    <t>Duke Energy Ohio Inc.</t>
  </si>
  <si>
    <t>Duke Energy Progress, LLC</t>
  </si>
  <si>
    <t>Duke Energy Progress LLC</t>
  </si>
  <si>
    <t>Southern California Edison Company</t>
  </si>
  <si>
    <t>Southern California Edison Co.</t>
  </si>
  <si>
    <t>California</t>
  </si>
  <si>
    <t>Entergy Arkansas, Inc.</t>
  </si>
  <si>
    <t>Entergy Arkansas LLC</t>
  </si>
  <si>
    <t>Entergy Louisiana, LLC</t>
  </si>
  <si>
    <t>Entergy Louisiana LLC</t>
  </si>
  <si>
    <t>Entergy Mississippi, Inc.</t>
  </si>
  <si>
    <t>Entergy Mississippi LLC</t>
  </si>
  <si>
    <t>Mississippi</t>
  </si>
  <si>
    <t>Entergy New Orleans, LLC</t>
  </si>
  <si>
    <t>Entergy New Orleans LLC</t>
  </si>
  <si>
    <t>New Orleans</t>
  </si>
  <si>
    <t>Entergy Texas, Inc.</t>
  </si>
  <si>
    <t>Entergy Texas Inc.</t>
  </si>
  <si>
    <t>Evergy Metro</t>
  </si>
  <si>
    <t>Evergy Metro Inc</t>
  </si>
  <si>
    <t>Kansas</t>
  </si>
  <si>
    <t>Evergy Kansas South</t>
  </si>
  <si>
    <t>Evergy Missouri West, Inc.</t>
  </si>
  <si>
    <t>Evergy Missouri West</t>
  </si>
  <si>
    <t>Westar Energy (KPL)</t>
  </si>
  <si>
    <t>Evergy Kansas Central Inc.</t>
  </si>
  <si>
    <t>Idaho Power Co.</t>
  </si>
  <si>
    <t>Idaho</t>
  </si>
  <si>
    <t>Oregon</t>
  </si>
  <si>
    <t>Florida Power &amp; Light Company</t>
  </si>
  <si>
    <t>Florida Power &amp; Light Co.</t>
  </si>
  <si>
    <t>Arizona Public Service Company</t>
  </si>
  <si>
    <t>Arizona Public Service Co.</t>
  </si>
  <si>
    <t>Arizona</t>
  </si>
  <si>
    <t>Public Service Company of New Mexico</t>
  </si>
  <si>
    <t>Credit Supportive</t>
  </si>
  <si>
    <t>Public Service Co. of NM</t>
  </si>
  <si>
    <t>New Mexico</t>
  </si>
  <si>
    <t>Texas-New Mexico Power Company</t>
  </si>
  <si>
    <t>Texas-New Mexico Power Co.</t>
  </si>
  <si>
    <t>Portland General Electric Co.</t>
  </si>
  <si>
    <t>Alabama Power Company</t>
  </si>
  <si>
    <t>Alabama</t>
  </si>
  <si>
    <t>Georgia Power Company</t>
  </si>
  <si>
    <t>Georgia Power Co.</t>
  </si>
  <si>
    <t>Georgia</t>
  </si>
  <si>
    <t>Mississippi Power Company</t>
  </si>
  <si>
    <t>Mississippi Power Co.</t>
  </si>
  <si>
    <t>Northern States Power Company</t>
  </si>
  <si>
    <t>Northern States Power Co.</t>
  </si>
  <si>
    <t>North Dakota</t>
  </si>
  <si>
    <t>Wisconsin</t>
  </si>
  <si>
    <t>South Dakota</t>
  </si>
  <si>
    <t>Public Service Company of Colorado</t>
  </si>
  <si>
    <t>Public Service Co. of CO</t>
  </si>
  <si>
    <t>Colorado</t>
  </si>
  <si>
    <t>Southwestern Public Service Company</t>
  </si>
  <si>
    <t>Southwestern Public Svc Co.</t>
  </si>
  <si>
    <t>Liberty Utilities (CalPeco Electric) LLC</t>
  </si>
  <si>
    <t>Liberty Utilities (CalPeco Ele</t>
  </si>
  <si>
    <t>Liberty Utilities (Granite State Electric) Corp.</t>
  </si>
  <si>
    <t>Liberty Utilities Granite St</t>
  </si>
  <si>
    <t>New Hampshire</t>
  </si>
  <si>
    <t>The Empire District Electric Company</t>
  </si>
  <si>
    <t>The Empire District Electric C</t>
  </si>
  <si>
    <t>Tampa Electric Company</t>
  </si>
  <si>
    <t>Nova Scotia Power</t>
  </si>
  <si>
    <t>Nova Scotia Power Inc.</t>
  </si>
  <si>
    <t>Nova Scotia</t>
  </si>
  <si>
    <t>Central Hudson Gas &amp; Electric Corp.</t>
  </si>
  <si>
    <t>Central Hudson Gas &amp; Electric</t>
  </si>
  <si>
    <t>New York</t>
  </si>
  <si>
    <t>Tucson Electric Power Company</t>
  </si>
  <si>
    <t>Tucson Electric Power Co.</t>
  </si>
  <si>
    <t>UNS Electric, Inc.</t>
  </si>
  <si>
    <t>UNS Electric Inc.</t>
  </si>
  <si>
    <t>FortisAlberta</t>
  </si>
  <si>
    <t>FortisAlberta Inc.</t>
  </si>
  <si>
    <t>Alberta</t>
  </si>
  <si>
    <t>FortisBC Inc.</t>
  </si>
  <si>
    <t>British Columbia</t>
  </si>
  <si>
    <t>Newfoundland Power</t>
  </si>
  <si>
    <t>Newfoundland Power Inc.</t>
  </si>
  <si>
    <t>Newfoundland and Labrador</t>
  </si>
  <si>
    <t>Maritime Electric</t>
  </si>
  <si>
    <t>Maritime Electric Company Limited</t>
  </si>
  <si>
    <t>Prince Edward Island</t>
  </si>
  <si>
    <t>Average</t>
  </si>
  <si>
    <t>Median</t>
  </si>
  <si>
    <t>Min</t>
  </si>
  <si>
    <t>Max</t>
  </si>
  <si>
    <t>Average Nuclear</t>
  </si>
  <si>
    <t>Median Nuclear</t>
  </si>
  <si>
    <t>Min Nuclear</t>
  </si>
  <si>
    <t>Max Nuclear</t>
  </si>
  <si>
    <t>Average Hydro</t>
  </si>
  <si>
    <t>Median Hydro</t>
  </si>
  <si>
    <t>Min Hydro</t>
  </si>
  <si>
    <t>Max Hydro</t>
  </si>
  <si>
    <t>Average Most Cred. Supp.</t>
  </si>
  <si>
    <t>Median Most Cred. Supp.</t>
  </si>
  <si>
    <t>Min Most Cred. Supp.</t>
  </si>
  <si>
    <t>Max Most Cred. Supp.</t>
  </si>
  <si>
    <t>Notes:</t>
  </si>
  <si>
    <t>Source: S&amp;P Capital IQ, RRA rate case database, as of May 28, 2025, and internal Concentric research.</t>
  </si>
  <si>
    <t>Note that only electric operating subsidiaries were included in this analysis. U.S. states that account for zero-cost of capital items in utilities' regulated capital structure (Florida Arkansas, Indiana, and Michigan) were excluded from this analysis.</t>
  </si>
  <si>
    <t>Florida Power &amp; Light's authorized equity ratio was included based off of internal Concentric data regarding the capital structure excluding zero cost of capital effects.</t>
  </si>
  <si>
    <t>Operating subsidaries were included in the Nuclear and Hydro groups based off of operating subsidiary-level owned generation data, rather than holding company-level, to better reflect operating subsidiary characteristics.</t>
  </si>
  <si>
    <t>Equity ratios adjusted from including zero-cost of capital items to debt- and equity-only</t>
  </si>
  <si>
    <t>Source:</t>
  </si>
  <si>
    <t>RRA Commission Ranking</t>
  </si>
  <si>
    <t>Indiana Utility Regulatory Commission Order dated February 23, 2022 for Cause No. 45576</t>
  </si>
  <si>
    <t>Average / 1</t>
  </si>
  <si>
    <t>Michigan Public Service Commission Order in Case No. U-21461</t>
  </si>
  <si>
    <t>Arkansas Public Service Commission Order No. 14 for Docket No. 21-070-U</t>
  </si>
  <si>
    <t>Florida Public Service Commission Order No. PSC-2024-0472-AS-EI</t>
  </si>
  <si>
    <t>Above Average / 2</t>
  </si>
  <si>
    <t>Indiana Utility Regulatory Commission Cause No. 46038</t>
  </si>
  <si>
    <t>Arkansas PSC Docket No. 16-036-FR, Order No. 74</t>
  </si>
  <si>
    <t>RRA Rate Case Database</t>
  </si>
  <si>
    <t>Arkansas PSC Docket No. 22-085-U, Joint Motion to Approve Settlement, Attachment 1</t>
  </si>
  <si>
    <t>Florida Public Service Commission Order No. PSC-2025-0038-FOF-EI</t>
  </si>
  <si>
    <t># Above Average:</t>
  </si>
  <si>
    <t># Most Cred. Supp.:</t>
  </si>
  <si>
    <t>Source: S&amp;P Capital IQ, RRA rate case database, and internal Concentric research.</t>
  </si>
  <si>
    <t>Indiana Michigan Power (IND)</t>
  </si>
  <si>
    <t>Description</t>
  </si>
  <si>
    <t>Capital Ratio</t>
  </si>
  <si>
    <t>Long Term Debt</t>
  </si>
  <si>
    <t>Common Equity</t>
  </si>
  <si>
    <t>(3) = (1) + (2)</t>
  </si>
  <si>
    <t>(4) = (2) / (3)</t>
  </si>
  <si>
    <t>Indiana Utility Regulatory Commission’s Order dated February 23, 2022 for Cause No. 45576</t>
  </si>
  <si>
    <t>Indiana Michigan Power (MI)</t>
  </si>
  <si>
    <t>Short Term Debt</t>
  </si>
  <si>
    <t>(4) = (1) + (2) + (3)</t>
  </si>
  <si>
    <t>(5) = (3) / (4)</t>
  </si>
  <si>
    <t>Per Michigan Public Service Commission's Order in Case No. U-21461</t>
  </si>
  <si>
    <t>Entergy Arkansas</t>
  </si>
  <si>
    <t>Florida PSC  Order No. PSC-2025-0038-FOF-EI</t>
  </si>
  <si>
    <t>Southwest Electric Power Co.</t>
  </si>
  <si>
    <t>Per Arkansas PSC Docket No. 21-070-U, Surrebuttal Exhibit DD-2</t>
  </si>
  <si>
    <t>Duke Energy Indiana</t>
  </si>
  <si>
    <t>Per Indiana Utility Regulatory Commission Cause No. 46038</t>
  </si>
  <si>
    <t>Arkansas PSC Docket No. 22-085-U, Joint Motion to Approve Settlement,Attachment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</si>
</sst>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(* #,##0_);_(* \(#,##0\);_(* &quot;-&quot;_);_(@_)"/>
    <numFmt numFmtId="164" formatCode="0.0%"/>
  </numFmts>
  <fonts count="20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color theme="1"/>
      <name val="Arial"/>
      <family val="2"/>
    </font>
    <font>
      <i/>
      <sz val="10"/>
      <color rgb="FF0070C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0070C0"/>
      <name val="Aptos Narrow"/>
      <family val="2"/>
      <scheme val="minor"/>
    </font>
    <font>
      <i/>
      <sz val="10"/>
      <color theme="0" tint="-0.499984740745262"/>
      <name val="Arial"/>
      <family val="2"/>
    </font>
    <font>
      <sz val="11"/>
      <color theme="0" tint="-0.499984740745262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b/>
      <i/>
      <sz val="10"/>
      <color rgb="FF0070C0"/>
      <name val="Arial"/>
      <family val="2"/>
    </font>
    <font>
      <b/>
      <i/>
      <sz val="10"/>
      <color theme="0" tint="-0.499984740745262"/>
      <name val="Arial"/>
      <family val="2"/>
    </font>
    <font>
      <sz val="10"/>
      <color theme="0" tint="-0.499984740745262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0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1" fillId="0" borderId="0"/>
    <xf numFmtId="0" fontId="6" fillId="0" borderId="0"/>
  </cellStyleXfs>
  <cellXfs count="112">
    <xf numFmtId="0" fontId="0" fillId="0" borderId="0" xfId="0"/>
    <xf numFmtId="0" fontId="6" fillId="0" borderId="0" xfId="3" applyAlignment="1">
      <alignment horizontal="center" wrapText="1"/>
    </xf>
    <xf numFmtId="0" fontId="5" fillId="0" borderId="0" xfId="0" applyFont="1" applyAlignment="1">
      <alignment horizontal="left" wrapText="1"/>
    </xf>
    <xf numFmtId="0" fontId="5" fillId="0" borderId="0" xfId="2" applyFont="1" applyAlignment="1">
      <alignment horizontal="center"/>
    </xf>
    <xf numFmtId="0" fontId="4" fillId="0" borderId="0" xfId="2" applyFont="1" applyAlignment="1">
      <alignment horizontal="left" wrapText="1"/>
    </xf>
    <xf numFmtId="0" fontId="5" fillId="0" borderId="1" xfId="2" applyFont="1" applyBorder="1" applyAlignment="1">
      <alignment wrapText="1"/>
    </xf>
    <xf numFmtId="0" fontId="5" fillId="0" borderId="1" xfId="2" applyFont="1" applyBorder="1" applyAlignment="1">
      <alignment horizontal="center"/>
    </xf>
    <xf numFmtId="0" fontId="6" fillId="0" borderId="1" xfId="3" applyBorder="1" applyAlignment="1">
      <alignment horizontal="center" wrapText="1"/>
    </xf>
    <xf numFmtId="0" fontId="5" fillId="0" borderId="0" xfId="0" applyFont="1" applyAlignment="1">
      <alignment horizontal="center" wrapText="1"/>
    </xf>
    <xf numFmtId="10" fontId="5" fillId="0" borderId="0" xfId="1" applyNumberFormat="1" applyFont="1" applyAlignment="1">
      <alignment horizontal="center" wrapText="1"/>
    </xf>
    <xf numFmtId="0" fontId="4" fillId="0" borderId="0" xfId="0" applyFont="1" applyAlignment="1">
      <alignment horizontal="left"/>
    </xf>
    <xf numFmtId="10" fontId="3" fillId="0" borderId="0" xfId="0" applyNumberFormat="1" applyFont="1" applyAlignment="1">
      <alignment horizontal="center" wrapText="1"/>
    </xf>
    <xf numFmtId="0" fontId="7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0" fillId="0" borderId="0" xfId="0" applyAlignment="1">
      <alignment horizontal="center"/>
    </xf>
    <xf numFmtId="0" fontId="9" fillId="0" borderId="0" xfId="0" applyFont="1" applyAlignment="1">
      <alignment horizontal="left" wrapText="1"/>
    </xf>
    <xf numFmtId="0" fontId="9" fillId="0" borderId="0" xfId="2" applyFont="1" applyAlignment="1">
      <alignment horizontal="left" wrapText="1"/>
    </xf>
    <xf numFmtId="0" fontId="10" fillId="0" borderId="0" xfId="0" applyFont="1"/>
    <xf numFmtId="0" fontId="11" fillId="0" borderId="0" xfId="0" applyFont="1"/>
    <xf numFmtId="0" fontId="13" fillId="0" borderId="0" xfId="0" applyFont="1" applyAlignment="1">
      <alignment horizontal="left" wrapText="1"/>
    </xf>
    <xf numFmtId="0" fontId="14" fillId="0" borderId="0" xfId="0" applyFont="1" applyAlignment="1">
      <alignment horizontal="left" wrapText="1"/>
    </xf>
    <xf numFmtId="0" fontId="2" fillId="0" borderId="0" xfId="0" applyFont="1"/>
    <xf numFmtId="10" fontId="5" fillId="0" borderId="0" xfId="0" applyNumberFormat="1" applyFont="1" applyAlignment="1">
      <alignment horizontal="center" wrapText="1"/>
    </xf>
    <xf numFmtId="0" fontId="3" fillId="0" borderId="0" xfId="0" applyFont="1" applyAlignment="1">
      <alignment horizontal="left" wrapText="1"/>
    </xf>
    <xf numFmtId="0" fontId="2" fillId="0" borderId="0" xfId="0" applyFont="1" applyAlignment="1">
      <alignment horizontal="center"/>
    </xf>
    <xf numFmtId="10" fontId="3" fillId="0" borderId="0" xfId="1" applyNumberFormat="1" applyFont="1" applyFill="1" applyAlignment="1">
      <alignment horizontal="center" wrapText="1"/>
    </xf>
    <xf numFmtId="0" fontId="13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9" fontId="8" fillId="0" borderId="0" xfId="0" applyNumberFormat="1" applyFont="1" applyAlignment="1">
      <alignment horizontal="center"/>
    </xf>
    <xf numFmtId="0" fontId="15" fillId="0" borderId="0" xfId="0" applyFont="1" applyAlignment="1">
      <alignment horizontal="center" wrapText="1"/>
    </xf>
    <xf numFmtId="0" fontId="15" fillId="0" borderId="0" xfId="2" applyFont="1" applyAlignment="1">
      <alignment horizontal="center" wrapText="1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10" fontId="5" fillId="0" borderId="0" xfId="1" applyNumberFormat="1" applyFont="1" applyAlignment="1">
      <alignment horizontal="left" wrapText="1"/>
    </xf>
    <xf numFmtId="0" fontId="5" fillId="2" borderId="0" xfId="0" applyFont="1" applyFill="1" applyAlignment="1">
      <alignment horizontal="left" wrapText="1"/>
    </xf>
    <xf numFmtId="0" fontId="5" fillId="2" borderId="0" xfId="0" applyFont="1" applyFill="1" applyAlignment="1">
      <alignment horizontal="center" wrapText="1"/>
    </xf>
    <xf numFmtId="10" fontId="5" fillId="2" borderId="0" xfId="1" applyNumberFormat="1" applyFont="1" applyFill="1" applyAlignment="1">
      <alignment horizontal="center" wrapText="1"/>
    </xf>
    <xf numFmtId="10" fontId="5" fillId="0" borderId="0" xfId="1" applyNumberFormat="1" applyFont="1" applyAlignment="1">
      <alignment horizontal="center"/>
    </xf>
    <xf numFmtId="0" fontId="5" fillId="3" borderId="0" xfId="0" applyFont="1" applyFill="1" applyAlignment="1">
      <alignment horizontal="left"/>
    </xf>
    <xf numFmtId="0" fontId="6" fillId="3" borderId="0" xfId="3" applyFill="1" applyAlignment="1">
      <alignment horizontal="center" wrapText="1"/>
    </xf>
    <xf numFmtId="0" fontId="5" fillId="2" borderId="1" xfId="0" applyFont="1" applyFill="1" applyBorder="1" applyAlignment="1">
      <alignment horizontal="left" wrapText="1"/>
    </xf>
    <xf numFmtId="0" fontId="0" fillId="2" borderId="1" xfId="0" applyFill="1" applyBorder="1" applyAlignment="1">
      <alignment horizontal="center"/>
    </xf>
    <xf numFmtId="10" fontId="5" fillId="2" borderId="1" xfId="1" applyNumberFormat="1" applyFont="1" applyFill="1" applyBorder="1" applyAlignment="1">
      <alignment horizontal="center" wrapText="1"/>
    </xf>
    <xf numFmtId="0" fontId="0" fillId="0" borderId="8" xfId="0" applyBorder="1"/>
    <xf numFmtId="41" fontId="0" fillId="0" borderId="4" xfId="0" applyNumberFormat="1" applyBorder="1"/>
    <xf numFmtId="10" fontId="0" fillId="0" borderId="5" xfId="1" applyNumberFormat="1" applyFont="1" applyBorder="1"/>
    <xf numFmtId="10" fontId="0" fillId="0" borderId="9" xfId="1" applyNumberFormat="1" applyFont="1" applyBorder="1"/>
    <xf numFmtId="0" fontId="2" fillId="0" borderId="5" xfId="0" applyFont="1" applyBorder="1" applyAlignment="1">
      <alignment horizontal="center"/>
    </xf>
    <xf numFmtId="41" fontId="0" fillId="0" borderId="4" xfId="0" quotePrefix="1" applyNumberFormat="1" applyBorder="1"/>
    <xf numFmtId="10" fontId="0" fillId="0" borderId="11" xfId="1" applyNumberFormat="1" applyFont="1" applyBorder="1"/>
    <xf numFmtId="41" fontId="0" fillId="0" borderId="15" xfId="0" applyNumberFormat="1" applyBorder="1"/>
    <xf numFmtId="0" fontId="0" fillId="0" borderId="16" xfId="0" applyBorder="1"/>
    <xf numFmtId="164" fontId="0" fillId="0" borderId="17" xfId="1" applyNumberFormat="1" applyFont="1" applyBorder="1"/>
    <xf numFmtId="0" fontId="7" fillId="0" borderId="0" xfId="0" applyFont="1" applyAlignment="1">
      <alignment horizontal="left"/>
    </xf>
    <xf numFmtId="0" fontId="11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left" wrapText="1"/>
    </xf>
    <xf numFmtId="0" fontId="16" fillId="0" borderId="0" xfId="0" applyFont="1" applyAlignment="1">
      <alignment horizontal="left" wrapText="1"/>
    </xf>
    <xf numFmtId="0" fontId="6" fillId="0" borderId="0" xfId="2" applyFont="1" applyAlignment="1">
      <alignment horizontal="center"/>
    </xf>
    <xf numFmtId="9" fontId="11" fillId="0" borderId="0" xfId="0" applyNumberFormat="1" applyFont="1" applyAlignment="1">
      <alignment horizontal="center"/>
    </xf>
    <xf numFmtId="0" fontId="6" fillId="0" borderId="0" xfId="2" applyFont="1" applyAlignment="1">
      <alignment horizontal="center" wrapText="1"/>
    </xf>
    <xf numFmtId="0" fontId="16" fillId="0" borderId="0" xfId="2" applyFont="1" applyAlignment="1">
      <alignment horizontal="left" wrapText="1"/>
    </xf>
    <xf numFmtId="0" fontId="6" fillId="0" borderId="1" xfId="2" applyFont="1" applyBorder="1" applyAlignment="1">
      <alignment wrapText="1"/>
    </xf>
    <xf numFmtId="0" fontId="6" fillId="0" borderId="1" xfId="2" applyFont="1" applyBorder="1" applyAlignment="1">
      <alignment horizontal="center"/>
    </xf>
    <xf numFmtId="10" fontId="6" fillId="0" borderId="0" xfId="1" applyNumberFormat="1" applyFont="1" applyAlignment="1">
      <alignment horizontal="center" wrapText="1"/>
    </xf>
    <xf numFmtId="0" fontId="16" fillId="0" borderId="0" xfId="0" applyFont="1" applyAlignment="1">
      <alignment horizontal="left"/>
    </xf>
    <xf numFmtId="10" fontId="6" fillId="0" borderId="0" xfId="1" applyNumberFormat="1" applyFont="1" applyFill="1" applyAlignment="1">
      <alignment horizontal="center" wrapText="1"/>
    </xf>
    <xf numFmtId="0" fontId="6" fillId="0" borderId="1" xfId="0" applyFont="1" applyBorder="1" applyAlignment="1">
      <alignment horizontal="left" wrapText="1"/>
    </xf>
    <xf numFmtId="0" fontId="11" fillId="0" borderId="1" xfId="0" applyFont="1" applyBorder="1" applyAlignment="1">
      <alignment horizontal="center"/>
    </xf>
    <xf numFmtId="10" fontId="6" fillId="0" borderId="1" xfId="1" applyNumberFormat="1" applyFont="1" applyFill="1" applyBorder="1" applyAlignment="1">
      <alignment horizontal="center" wrapText="1"/>
    </xf>
    <xf numFmtId="0" fontId="17" fillId="0" borderId="0" xfId="0" applyFont="1" applyAlignment="1">
      <alignment horizontal="left" wrapText="1"/>
    </xf>
    <xf numFmtId="0" fontId="12" fillId="0" borderId="0" xfId="0" applyFont="1" applyAlignment="1">
      <alignment horizontal="center"/>
    </xf>
    <xf numFmtId="10" fontId="17" fillId="0" borderId="0" xfId="1" applyNumberFormat="1" applyFont="1" applyFill="1" applyAlignment="1">
      <alignment horizontal="center" wrapText="1"/>
    </xf>
    <xf numFmtId="0" fontId="18" fillId="0" borderId="0" xfId="0" applyFont="1" applyAlignment="1">
      <alignment horizontal="left"/>
    </xf>
    <xf numFmtId="0" fontId="18" fillId="0" borderId="0" xfId="0" applyFont="1" applyAlignment="1">
      <alignment horizontal="left" wrapText="1"/>
    </xf>
    <xf numFmtId="0" fontId="12" fillId="0" borderId="0" xfId="0" applyFont="1"/>
    <xf numFmtId="10" fontId="17" fillId="0" borderId="0" xfId="0" applyNumberFormat="1" applyFont="1" applyAlignment="1">
      <alignment horizontal="center" wrapText="1"/>
    </xf>
    <xf numFmtId="10" fontId="6" fillId="0" borderId="0" xfId="0" applyNumberFormat="1" applyFont="1" applyAlignment="1">
      <alignment horizontal="center" wrapText="1"/>
    </xf>
    <xf numFmtId="10" fontId="6" fillId="0" borderId="0" xfId="1" applyNumberFormat="1" applyFont="1" applyAlignment="1">
      <alignment horizontal="left" wrapText="1"/>
    </xf>
    <xf numFmtId="0" fontId="6" fillId="0" borderId="0" xfId="0" applyFont="1" applyAlignment="1">
      <alignment horizontal="left"/>
    </xf>
    <xf numFmtId="0" fontId="6" fillId="2" borderId="0" xfId="0" applyFont="1" applyFill="1" applyAlignment="1">
      <alignment horizontal="left" wrapText="1"/>
    </xf>
    <xf numFmtId="0" fontId="6" fillId="2" borderId="0" xfId="0" applyFont="1" applyFill="1" applyAlignment="1">
      <alignment horizontal="center" wrapText="1"/>
    </xf>
    <xf numFmtId="10" fontId="6" fillId="2" borderId="0" xfId="1" applyNumberFormat="1" applyFont="1" applyFill="1" applyAlignment="1">
      <alignment horizontal="center" wrapText="1"/>
    </xf>
    <xf numFmtId="0" fontId="11" fillId="2" borderId="0" xfId="0" applyFont="1" applyFill="1" applyAlignment="1">
      <alignment horizontal="center"/>
    </xf>
    <xf numFmtId="0" fontId="19" fillId="0" borderId="0" xfId="3" applyFont="1" applyAlignment="1">
      <alignment horizontal="left"/>
    </xf>
    <xf numFmtId="0" fontId="12" fillId="0" borderId="1" xfId="0" applyFont="1" applyBorder="1"/>
    <xf numFmtId="0" fontId="12" fillId="0" borderId="1" xfId="0" applyFont="1" applyBorder="1" applyAlignment="1">
      <alignment horizontal="center"/>
    </xf>
    <xf numFmtId="10" fontId="12" fillId="0" borderId="1" xfId="1" applyNumberFormat="1" applyFont="1" applyBorder="1" applyAlignment="1">
      <alignment horizontal="center" wrapText="1"/>
    </xf>
    <xf numFmtId="10" fontId="11" fillId="0" borderId="0" xfId="1" applyNumberFormat="1" applyFont="1" applyAlignment="1">
      <alignment horizontal="center"/>
    </xf>
    <xf numFmtId="0" fontId="11" fillId="0" borderId="1" xfId="0" applyFont="1" applyBorder="1"/>
    <xf numFmtId="10" fontId="11" fillId="0" borderId="1" xfId="1" applyNumberFormat="1" applyFont="1" applyBorder="1" applyAlignment="1">
      <alignment horizontal="center"/>
    </xf>
    <xf numFmtId="10" fontId="12" fillId="0" borderId="0" xfId="1" applyNumberFormat="1" applyFont="1" applyAlignment="1">
      <alignment horizontal="center"/>
    </xf>
    <xf numFmtId="10" fontId="12" fillId="4" borderId="1" xfId="1" applyNumberFormat="1" applyFont="1" applyFill="1" applyBorder="1" applyAlignment="1">
      <alignment horizontal="center" wrapText="1"/>
    </xf>
    <xf numFmtId="10" fontId="11" fillId="4" borderId="0" xfId="1" applyNumberFormat="1" applyFont="1" applyFill="1" applyAlignment="1">
      <alignment horizontal="center"/>
    </xf>
    <xf numFmtId="10" fontId="11" fillId="4" borderId="1" xfId="1" applyNumberFormat="1" applyFont="1" applyFill="1" applyBorder="1" applyAlignment="1">
      <alignment horizontal="center"/>
    </xf>
    <xf numFmtId="10" fontId="12" fillId="4" borderId="0" xfId="1" applyNumberFormat="1" applyFont="1" applyFill="1" applyAlignment="1">
      <alignment horizontal="center"/>
    </xf>
    <xf numFmtId="0" fontId="6" fillId="0" borderId="0" xfId="0" applyFont="1" applyAlignment="1">
      <alignment horizontal="center" wrapText="1"/>
    </xf>
    <xf numFmtId="0" fontId="5" fillId="0" borderId="0" xfId="0" applyFont="1" applyAlignment="1">
      <alignment horizontal="left" wrapText="1"/>
    </xf>
    <xf numFmtId="0" fontId="2" fillId="0" borderId="2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6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0" fillId="0" borderId="6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</cellXfs>
  <cellStyles count="4">
    <cellStyle name="Normal" xfId="0" builtinId="0"/>
    <cellStyle name="Normal 12 50 2" xfId="2" xr:uid="{D2CBFD97-0B2E-42A5-8A40-D64F870C12D5}"/>
    <cellStyle name="Normal 5 3 7" xfId="3" xr:uid="{B4962DE8-10DD-4D1C-94C8-A5BD7F642A91}"/>
    <cellStyle name="Percent" xfId="1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28903</xdr:colOff>
      <xdr:row>29</xdr:row>
      <xdr:rowOff>4972</xdr:rowOff>
    </xdr:from>
    <xdr:to>
      <xdr:col>14</xdr:col>
      <xdr:colOff>162417</xdr:colOff>
      <xdr:row>41</xdr:row>
      <xdr:rowOff>351886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0F31F48-D9C6-719D-2BD9-7602CC9E1C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12420" y="3690162"/>
          <a:ext cx="4035480" cy="2573793"/>
        </a:xfrm>
        <a:prstGeom prst="rect">
          <a:avLst/>
        </a:prstGeom>
      </xdr:spPr>
    </xdr:pic>
    <xdr:clientData/>
  </xdr:twoCellAnchor>
  <xdr:twoCellAnchor editAs="oneCell">
    <xdr:from>
      <xdr:col>7</xdr:col>
      <xdr:colOff>628815</xdr:colOff>
      <xdr:row>44</xdr:row>
      <xdr:rowOff>17900</xdr:rowOff>
    </xdr:from>
    <xdr:to>
      <xdr:col>14</xdr:col>
      <xdr:colOff>303373</xdr:colOff>
      <xdr:row>60</xdr:row>
      <xdr:rowOff>27149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954CA1C0-E4C3-D30A-CE97-74CB4E6562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62005" y="6665693"/>
          <a:ext cx="4226851" cy="3151022"/>
        </a:xfrm>
        <a:prstGeom prst="rect">
          <a:avLst/>
        </a:prstGeom>
      </xdr:spPr>
    </xdr:pic>
    <xdr:clientData/>
  </xdr:twoCellAnchor>
  <xdr:twoCellAnchor editAs="oneCell">
    <xdr:from>
      <xdr:col>7</xdr:col>
      <xdr:colOff>510572</xdr:colOff>
      <xdr:row>61</xdr:row>
      <xdr:rowOff>31038</xdr:rowOff>
    </xdr:from>
    <xdr:to>
      <xdr:col>16</xdr:col>
      <xdr:colOff>285943</xdr:colOff>
      <xdr:row>85</xdr:row>
      <xdr:rowOff>75069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3936C57E-02A0-01C6-F9E3-A9BCBD7949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3469" y="7611624"/>
          <a:ext cx="5628319" cy="4749217"/>
        </a:xfrm>
        <a:prstGeom prst="rect">
          <a:avLst/>
        </a:prstGeom>
      </xdr:spPr>
    </xdr:pic>
    <xdr:clientData/>
  </xdr:twoCellAnchor>
  <xdr:twoCellAnchor editAs="oneCell">
    <xdr:from>
      <xdr:col>8</xdr:col>
      <xdr:colOff>29231</xdr:colOff>
      <xdr:row>14</xdr:row>
      <xdr:rowOff>24712</xdr:rowOff>
    </xdr:from>
    <xdr:to>
      <xdr:col>14</xdr:col>
      <xdr:colOff>295603</xdr:colOff>
      <xdr:row>24</xdr:row>
      <xdr:rowOff>334966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55C3C742-F8AE-AA50-302B-35024870BF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12748" y="767005"/>
          <a:ext cx="4168338" cy="2162703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106</xdr:row>
      <xdr:rowOff>0</xdr:rowOff>
    </xdr:from>
    <xdr:to>
      <xdr:col>15</xdr:col>
      <xdr:colOff>153714</xdr:colOff>
      <xdr:row>142</xdr:row>
      <xdr:rowOff>46284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776C3CF9-75CF-CBE9-8AEA-7A6D8C7E3E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83517" y="15423931"/>
          <a:ext cx="4706007" cy="6868484"/>
        </a:xfrm>
        <a:prstGeom prst="rect">
          <a:avLst/>
        </a:prstGeom>
      </xdr:spPr>
    </xdr:pic>
    <xdr:clientData/>
  </xdr:twoCellAnchor>
  <xdr:twoCellAnchor editAs="oneCell">
    <xdr:from>
      <xdr:col>8</xdr:col>
      <xdr:colOff>37608</xdr:colOff>
      <xdr:row>87</xdr:row>
      <xdr:rowOff>19705</xdr:rowOff>
    </xdr:from>
    <xdr:to>
      <xdr:col>17</xdr:col>
      <xdr:colOff>543483</xdr:colOff>
      <xdr:row>104</xdr:row>
      <xdr:rowOff>27040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DC9E7A7F-05E8-B371-3F7B-90D825D032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1125" y="15075774"/>
          <a:ext cx="6358824" cy="3148452"/>
        </a:xfrm>
        <a:prstGeom prst="rect">
          <a:avLst/>
        </a:prstGeom>
      </xdr:spPr>
    </xdr:pic>
    <xdr:clientData/>
  </xdr:twoCellAnchor>
  <xdr:twoCellAnchor editAs="oneCell">
    <xdr:from>
      <xdr:col>8</xdr:col>
      <xdr:colOff>13138</xdr:colOff>
      <xdr:row>0</xdr:row>
      <xdr:rowOff>39413</xdr:rowOff>
    </xdr:from>
    <xdr:to>
      <xdr:col>13</xdr:col>
      <xdr:colOff>438314</xdr:colOff>
      <xdr:row>10</xdr:row>
      <xdr:rowOff>381813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C567FBB6-4904-6D6E-08C5-DD738B23E5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96655" y="39413"/>
          <a:ext cx="3672052" cy="2201417"/>
        </a:xfrm>
        <a:prstGeom prst="rect">
          <a:avLst/>
        </a:prstGeom>
      </xdr:spPr>
    </xdr:pic>
    <xdr:clientData/>
  </xdr:twoCellAnchor>
  <xdr:twoCellAnchor editAs="oneCell">
    <xdr:from>
      <xdr:col>7</xdr:col>
      <xdr:colOff>571500</xdr:colOff>
      <xdr:row>143</xdr:row>
      <xdr:rowOff>104775</xdr:rowOff>
    </xdr:from>
    <xdr:to>
      <xdr:col>20</xdr:col>
      <xdr:colOff>371475</xdr:colOff>
      <xdr:row>166</xdr:row>
      <xdr:rowOff>38100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41D7FDC-6705-024F-1126-064273B2AC80}"/>
            </a:ext>
            <a:ext uri="{147F2762-F138-4A5C-976F-8EAC2B608ADB}">
              <a16:predDERef xmlns:a16="http://schemas.microsoft.com/office/drawing/2014/main" pred="{C567FBB6-4904-6D6E-08C5-DD738B23E5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858000" y="27384375"/>
          <a:ext cx="7724775" cy="4591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EAF328-E34D-4597-97E7-3CDFB8F285A9}">
  <dimension ref="B2:F22"/>
  <sheetViews>
    <sheetView tabSelected="1" workbookViewId="0">
      <selection activeCell="D14" sqref="D14"/>
    </sheetView>
  </sheetViews>
  <sheetFormatPr defaultRowHeight="15"/>
  <cols>
    <col min="1" max="1" width="2.5703125" style="18" customWidth="1"/>
    <col min="2" max="2" width="36.5703125" style="18" bestFit="1" customWidth="1"/>
    <col min="3" max="3" width="15.7109375" style="56" customWidth="1"/>
    <col min="4" max="4" width="23.85546875" style="90" customWidth="1"/>
    <col min="5" max="5" width="1.7109375" style="18" customWidth="1"/>
    <col min="6" max="6" width="23.85546875" style="18" customWidth="1"/>
    <col min="7" max="16384" width="9.140625" style="18"/>
  </cols>
  <sheetData>
    <row r="2" spans="2:6" ht="45">
      <c r="B2" s="87" t="s">
        <v>0</v>
      </c>
      <c r="C2" s="88" t="s">
        <v>1</v>
      </c>
      <c r="D2" s="89" t="s">
        <v>2</v>
      </c>
      <c r="F2" s="94" t="s">
        <v>3</v>
      </c>
    </row>
    <row r="3" spans="2:6">
      <c r="B3" s="18" t="s">
        <v>4</v>
      </c>
      <c r="C3" s="56" t="s">
        <v>5</v>
      </c>
      <c r="D3" s="90">
        <f>IFERROR(AVERAGEIF('Authorized Equity Ratios Adj'!D:D, C3, 'Authorized Equity Ratios Adj'!F:F), "n/a")</f>
        <v>0.53</v>
      </c>
      <c r="F3" s="95">
        <v>0.53</v>
      </c>
    </row>
    <row r="4" spans="2:6">
      <c r="B4" s="18" t="s">
        <v>6</v>
      </c>
      <c r="C4" s="56" t="s">
        <v>7</v>
      </c>
      <c r="D4" s="90">
        <f>IFERROR(AVERAGEIF('Authorized Equity Ratios Adj'!D:D, C4, 'Authorized Equity Ratios Adj'!F:F), "n/a")</f>
        <v>0.5</v>
      </c>
      <c r="F4" s="95">
        <v>0.5</v>
      </c>
    </row>
    <row r="5" spans="2:6">
      <c r="B5" s="18" t="s">
        <v>8</v>
      </c>
      <c r="C5" s="56" t="s">
        <v>9</v>
      </c>
      <c r="D5" s="90">
        <f>IFERROR(AVERAGEIF('Authorized Equity Ratios Adj'!D:D, C5, 'Authorized Equity Ratios Adj'!F:F), "n/a")</f>
        <v>0.47764373220808665</v>
      </c>
      <c r="F5" s="95">
        <v>0.47972857142857145</v>
      </c>
    </row>
    <row r="6" spans="2:6">
      <c r="B6" s="18" t="s">
        <v>10</v>
      </c>
      <c r="C6" s="56" t="s">
        <v>11</v>
      </c>
      <c r="D6" s="90">
        <f>IFERROR(AVERAGEIF('Authorized Equity Ratios Adj'!D:D, C6, 'Authorized Equity Ratios Adj'!F:F), "n/a")</f>
        <v>0.52349999999999997</v>
      </c>
      <c r="F6" s="95">
        <v>0.52505000000000002</v>
      </c>
    </row>
    <row r="7" spans="2:6">
      <c r="B7" s="18" t="s">
        <v>12</v>
      </c>
      <c r="C7" s="56" t="s">
        <v>13</v>
      </c>
      <c r="D7" s="90">
        <f>IFERROR(AVERAGEIF('Authorized Equity Ratios Adj'!D:D, C7, 'Authorized Equity Ratios Adj'!F:F), "n/a")</f>
        <v>0.52292720109036217</v>
      </c>
      <c r="F7" s="95">
        <v>0.52048333333333341</v>
      </c>
    </row>
    <row r="8" spans="2:6">
      <c r="B8" s="18" t="s">
        <v>14</v>
      </c>
      <c r="C8" s="56" t="s">
        <v>15</v>
      </c>
      <c r="D8" s="90" t="str">
        <f>IFERROR(AVERAGEIF('Authorized Equity Ratios Adj'!D:D, C8, 'Authorized Equity Ratios Adj'!F:F), "n/a")</f>
        <v>n/a</v>
      </c>
      <c r="F8" s="95" t="s">
        <v>16</v>
      </c>
    </row>
    <row r="9" spans="2:6">
      <c r="B9" s="18" t="s">
        <v>17</v>
      </c>
      <c r="C9" s="56" t="s">
        <v>18</v>
      </c>
      <c r="D9" s="90">
        <f>IFERROR(AVERAGEIF('Authorized Equity Ratios Adj'!D:D, C9, 'Authorized Equity Ratios Adj'!F:F), "n/a")</f>
        <v>0.49722846247840558</v>
      </c>
      <c r="F9" s="95">
        <v>0.50605</v>
      </c>
    </row>
    <row r="10" spans="2:6">
      <c r="B10" s="18" t="s">
        <v>19</v>
      </c>
      <c r="C10" s="56" t="s">
        <v>20</v>
      </c>
      <c r="D10" s="90">
        <f>IFERROR(AVERAGEIF('Authorized Equity Ratios Adj'!D:D, C10, 'Authorized Equity Ratios Adj'!F:F), "n/a")</f>
        <v>0.50130000000000008</v>
      </c>
      <c r="F10" s="95">
        <v>0.50130000000000008</v>
      </c>
    </row>
    <row r="11" spans="2:6">
      <c r="B11" s="18" t="s">
        <v>21</v>
      </c>
      <c r="C11" s="56" t="s">
        <v>22</v>
      </c>
      <c r="D11" s="90">
        <f>IFERROR(AVERAGEIF('Authorized Equity Ratios Adj'!D:D, C11, 'Authorized Equity Ratios Adj'!F:F), "n/a")</f>
        <v>0.5</v>
      </c>
      <c r="F11" s="95">
        <v>0.5</v>
      </c>
    </row>
    <row r="12" spans="2:6">
      <c r="B12" s="18" t="s">
        <v>23</v>
      </c>
      <c r="C12" s="56" t="s">
        <v>24</v>
      </c>
      <c r="D12" s="90">
        <f>IFERROR(AVERAGEIF('Authorized Equity Ratios Adj'!D:D, C12, 'Authorized Equity Ratios Adj'!F:F), "n/a")</f>
        <v>0.59599999999999997</v>
      </c>
      <c r="F12" s="95">
        <v>0.59599999999999997</v>
      </c>
    </row>
    <row r="13" spans="2:6">
      <c r="B13" s="18" t="s">
        <v>25</v>
      </c>
      <c r="C13" s="56" t="s">
        <v>26</v>
      </c>
      <c r="D13" s="90">
        <f>IFERROR(AVERAGEIF('Authorized Equity Ratios Adj'!D:D, C13, 'Authorized Equity Ratios Adj'!F:F), "n/a")</f>
        <v>0.51929999999999998</v>
      </c>
      <c r="F13" s="95">
        <v>0.51929999999999998</v>
      </c>
    </row>
    <row r="14" spans="2:6">
      <c r="B14" s="18" t="s">
        <v>27</v>
      </c>
      <c r="C14" s="56" t="s">
        <v>28</v>
      </c>
      <c r="D14" s="90">
        <f>IFERROR(AVERAGEIF('Authorized Equity Ratios Adj'!D:D, C14, 'Authorized Equity Ratios Adj'!F:F), "n/a")</f>
        <v>0.48</v>
      </c>
      <c r="F14" s="95">
        <v>0.48</v>
      </c>
    </row>
    <row r="15" spans="2:6">
      <c r="B15" s="18" t="s">
        <v>29</v>
      </c>
      <c r="C15" s="56" t="s">
        <v>30</v>
      </c>
      <c r="D15" s="90">
        <f>IFERROR(AVERAGEIF('Authorized Equity Ratios Adj'!D:D, C15, 'Authorized Equity Ratios Adj'!F:F), "n/a")</f>
        <v>0.5</v>
      </c>
      <c r="F15" s="95">
        <v>0.5</v>
      </c>
    </row>
    <row r="16" spans="2:6">
      <c r="B16" s="18" t="s">
        <v>31</v>
      </c>
      <c r="C16" s="56" t="s">
        <v>32</v>
      </c>
      <c r="D16" s="90">
        <f>IFERROR(AVERAGEIF('Authorized Equity Ratios Adj'!D:D, C16, 'Authorized Equity Ratios Adj'!F:F), "n/a")</f>
        <v>0.54500000000000004</v>
      </c>
      <c r="F16" s="95">
        <v>0.54500000000000004</v>
      </c>
    </row>
    <row r="17" spans="2:6">
      <c r="B17" s="18" t="s">
        <v>33</v>
      </c>
      <c r="C17" s="56" t="s">
        <v>34</v>
      </c>
      <c r="D17" s="90">
        <f>IFERROR(AVERAGEIF('Authorized Equity Ratios Adj'!D:D, C17, 'Authorized Equity Ratios Adj'!F:F), "n/a")</f>
        <v>0.53578000000000003</v>
      </c>
      <c r="F17" s="95">
        <v>0.53578000000000003</v>
      </c>
    </row>
    <row r="18" spans="2:6">
      <c r="B18" s="18" t="s">
        <v>35</v>
      </c>
      <c r="C18" s="56" t="s">
        <v>36</v>
      </c>
      <c r="D18" s="90">
        <f>IFERROR(AVERAGEIF('Authorized Equity Ratios Adj'!D:D, C18, 'Authorized Equity Ratios Adj'!F:F), "n/a")</f>
        <v>0.4945291925991786</v>
      </c>
      <c r="F18" s="95">
        <v>0.52249999999999996</v>
      </c>
    </row>
    <row r="19" spans="2:6">
      <c r="B19" s="18" t="s">
        <v>37</v>
      </c>
      <c r="C19" s="56" t="s">
        <v>38</v>
      </c>
      <c r="D19" s="90">
        <f>IFERROR(AVERAGEIF('Authorized Equity Ratios Adj'!D:D, C19, 'Authorized Equity Ratios Adj'!F:F), "n/a")</f>
        <v>0.47001497523326807</v>
      </c>
      <c r="F19" s="95">
        <v>0.4</v>
      </c>
    </row>
    <row r="20" spans="2:6">
      <c r="B20" s="91" t="s">
        <v>39</v>
      </c>
      <c r="C20" s="70" t="s">
        <v>40</v>
      </c>
      <c r="D20" s="92">
        <f>IFERROR(AVERAGEIF('Authorized Equity Ratios Adj'!D:D, C20, 'Authorized Equity Ratios Adj'!F:F), "n/a")</f>
        <v>0.45577142857142861</v>
      </c>
      <c r="F20" s="96">
        <v>0.45577142857142861</v>
      </c>
    </row>
    <row r="21" spans="2:6" s="77" customFormat="1">
      <c r="B21" s="73" t="s">
        <v>41</v>
      </c>
      <c r="C21" s="73"/>
      <c r="D21" s="93">
        <f>AVERAGE(D3:D20)</f>
        <v>0.50876441130474881</v>
      </c>
      <c r="F21" s="97">
        <f>AVERAGE(F3:F20)</f>
        <v>0.50688019607843149</v>
      </c>
    </row>
    <row r="22" spans="2:6" s="77" customFormat="1">
      <c r="B22" s="73" t="s">
        <v>42</v>
      </c>
      <c r="C22" s="73"/>
      <c r="D22" s="93">
        <f>MEDIAN(D3:D20)</f>
        <v>0.5</v>
      </c>
      <c r="F22" s="97">
        <f>MEDIAN(F3:F20)</f>
        <v>0.50605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E201F3-3575-44DE-88FE-6602659069A8}">
  <dimension ref="B1:P100"/>
  <sheetViews>
    <sheetView topLeftCell="A46" zoomScale="85" zoomScaleNormal="85" workbookViewId="0">
      <selection activeCell="F61" sqref="F61"/>
    </sheetView>
  </sheetViews>
  <sheetFormatPr defaultColWidth="9.140625" defaultRowHeight="15"/>
  <cols>
    <col min="1" max="1" width="2.5703125" style="18" customWidth="1"/>
    <col min="2" max="2" width="39" style="18" customWidth="1"/>
    <col min="3" max="3" width="25.28515625" style="18" customWidth="1"/>
    <col min="4" max="4" width="23" style="56" customWidth="1"/>
    <col min="5" max="5" width="11.28515625" style="56" bestFit="1" customWidth="1"/>
    <col min="6" max="6" width="15.140625" style="18" customWidth="1"/>
    <col min="7" max="7" width="2.5703125" style="18" customWidth="1"/>
    <col min="8" max="9" width="9.140625" style="56"/>
    <col min="10" max="10" width="28.7109375" style="56" customWidth="1"/>
    <col min="11" max="11" width="2.7109375" style="56" customWidth="1"/>
    <col min="12" max="12" width="30" style="18" customWidth="1"/>
    <col min="13" max="13" width="24.42578125" style="18" bestFit="1" customWidth="1"/>
    <col min="14" max="14" width="12" style="18" bestFit="1" customWidth="1"/>
    <col min="15" max="15" width="58" style="18" customWidth="1"/>
    <col min="16" max="16" width="22.85546875" style="56" bestFit="1" customWidth="1"/>
    <col min="17" max="16384" width="9.140625" style="18"/>
  </cols>
  <sheetData>
    <row r="1" spans="2:16">
      <c r="B1" s="86" t="s">
        <v>43</v>
      </c>
      <c r="C1" s="1"/>
      <c r="D1" s="1"/>
      <c r="E1" s="1"/>
      <c r="F1" s="1"/>
      <c r="G1" s="1"/>
      <c r="J1" s="57"/>
      <c r="K1" s="57"/>
      <c r="L1" s="58"/>
      <c r="M1" s="58"/>
      <c r="N1" s="58"/>
      <c r="O1" s="59"/>
    </row>
    <row r="2" spans="2:16">
      <c r="B2" s="98" t="s">
        <v>44</v>
      </c>
      <c r="C2" s="98"/>
      <c r="D2" s="98"/>
      <c r="E2" s="98"/>
      <c r="F2" s="98"/>
      <c r="G2" s="60"/>
      <c r="H2" s="61">
        <v>0.05</v>
      </c>
      <c r="I2" s="61">
        <v>0.05</v>
      </c>
      <c r="J2" s="62"/>
      <c r="K2" s="62"/>
      <c r="L2" s="63"/>
      <c r="M2" s="63"/>
      <c r="N2" s="63"/>
      <c r="O2" s="63"/>
      <c r="P2" s="61"/>
    </row>
    <row r="3" spans="2:16">
      <c r="B3" s="64" t="s">
        <v>45</v>
      </c>
      <c r="C3" s="64" t="s">
        <v>46</v>
      </c>
      <c r="D3" s="65" t="s">
        <v>1</v>
      </c>
      <c r="E3" s="65" t="s">
        <v>47</v>
      </c>
      <c r="F3" s="7" t="s">
        <v>48</v>
      </c>
      <c r="G3" s="1"/>
      <c r="H3" s="56" t="s">
        <v>49</v>
      </c>
      <c r="I3" s="56" t="s">
        <v>49</v>
      </c>
      <c r="J3" s="62" t="s">
        <v>50</v>
      </c>
      <c r="K3" s="62"/>
      <c r="L3" s="63" t="s">
        <v>51</v>
      </c>
      <c r="M3" s="63" t="s">
        <v>46</v>
      </c>
      <c r="N3" s="63" t="s">
        <v>47</v>
      </c>
      <c r="O3" s="63" t="s">
        <v>52</v>
      </c>
      <c r="P3" s="56" t="s">
        <v>53</v>
      </c>
    </row>
    <row r="4" spans="2:16">
      <c r="B4" s="58" t="s">
        <v>54</v>
      </c>
      <c r="C4" s="58" t="str">
        <f>M4</f>
        <v>Minnesota</v>
      </c>
      <c r="D4" s="57" t="s">
        <v>5</v>
      </c>
      <c r="E4" s="57" t="s">
        <v>55</v>
      </c>
      <c r="F4" s="66">
        <v>0.53</v>
      </c>
      <c r="G4" s="66"/>
      <c r="H4" s="56" t="s">
        <v>56</v>
      </c>
      <c r="I4" s="56" t="s">
        <v>57</v>
      </c>
      <c r="J4" s="57" t="s">
        <v>58</v>
      </c>
      <c r="K4" s="57"/>
      <c r="L4" s="58" t="s">
        <v>59</v>
      </c>
      <c r="M4" s="58" t="s">
        <v>60</v>
      </c>
      <c r="N4" s="58" t="s">
        <v>55</v>
      </c>
      <c r="O4" s="59" t="str">
        <f>L4&amp;M4&amp;N4</f>
        <v>Minnesota Power Entrprs Inc.MinnesotaElectric</v>
      </c>
      <c r="P4" s="56" t="str">
        <f t="shared" ref="P4:P34" si="0">C4</f>
        <v>Minnesota</v>
      </c>
    </row>
    <row r="5" spans="2:16">
      <c r="B5" s="58" t="s">
        <v>61</v>
      </c>
      <c r="C5" s="58" t="str">
        <f t="shared" ref="C5:C68" si="1">M5</f>
        <v>Illinois</v>
      </c>
      <c r="D5" s="57" t="s">
        <v>7</v>
      </c>
      <c r="E5" s="57" t="s">
        <v>55</v>
      </c>
      <c r="F5" s="66">
        <v>0.5</v>
      </c>
      <c r="G5" s="66"/>
      <c r="H5" s="56" t="s">
        <v>56</v>
      </c>
      <c r="I5" s="56" t="s">
        <v>56</v>
      </c>
      <c r="J5" s="57" t="s">
        <v>62</v>
      </c>
      <c r="K5" s="57"/>
      <c r="L5" s="58" t="s">
        <v>63</v>
      </c>
      <c r="M5" s="58" t="s">
        <v>64</v>
      </c>
      <c r="N5" s="58" t="s">
        <v>55</v>
      </c>
      <c r="O5" s="59" t="str">
        <f t="shared" ref="O5:O68" si="2">L5&amp;M5&amp;N5</f>
        <v>Ameren IllinoisIllinoisElectric</v>
      </c>
      <c r="P5" s="56" t="str">
        <f t="shared" si="0"/>
        <v>Illinois</v>
      </c>
    </row>
    <row r="6" spans="2:16">
      <c r="B6" s="58" t="s">
        <v>65</v>
      </c>
      <c r="C6" s="58" t="str">
        <f t="shared" si="1"/>
        <v>Missouri</v>
      </c>
      <c r="D6" s="57" t="s">
        <v>7</v>
      </c>
      <c r="E6" s="57" t="s">
        <v>55</v>
      </c>
      <c r="F6" s="66" t="s">
        <v>16</v>
      </c>
      <c r="G6" s="66"/>
      <c r="H6" s="56" t="s">
        <v>66</v>
      </c>
      <c r="I6" s="56" t="s">
        <v>57</v>
      </c>
      <c r="J6" s="57" t="s">
        <v>62</v>
      </c>
      <c r="K6" s="57"/>
      <c r="L6" s="58" t="s">
        <v>67</v>
      </c>
      <c r="M6" s="58" t="s">
        <v>68</v>
      </c>
      <c r="N6" s="58" t="s">
        <v>55</v>
      </c>
      <c r="O6" s="59" t="str">
        <f t="shared" si="2"/>
        <v>Union Electric Co.MissouriElectric</v>
      </c>
      <c r="P6" s="56" t="str">
        <f t="shared" si="0"/>
        <v>Missouri</v>
      </c>
    </row>
    <row r="7" spans="2:16">
      <c r="B7" s="58" t="s">
        <v>69</v>
      </c>
      <c r="C7" s="58" t="str">
        <f t="shared" si="1"/>
        <v>Texas</v>
      </c>
      <c r="D7" s="57" t="s">
        <v>9</v>
      </c>
      <c r="E7" s="57" t="s">
        <v>55</v>
      </c>
      <c r="F7" s="66">
        <v>0.42499999999999999</v>
      </c>
      <c r="G7" s="66"/>
      <c r="H7" s="56" t="s">
        <v>56</v>
      </c>
      <c r="I7" s="56" t="s">
        <v>56</v>
      </c>
      <c r="J7" s="57" t="s">
        <v>62</v>
      </c>
      <c r="K7" s="57"/>
      <c r="L7" s="58" t="s">
        <v>70</v>
      </c>
      <c r="M7" s="58" t="s">
        <v>71</v>
      </c>
      <c r="N7" s="58" t="s">
        <v>55</v>
      </c>
      <c r="O7" s="59" t="str">
        <f t="shared" si="2"/>
        <v>AEP Texas Inc.TexasElectric</v>
      </c>
      <c r="P7" s="56" t="str">
        <f t="shared" si="0"/>
        <v>Texas</v>
      </c>
    </row>
    <row r="8" spans="2:16">
      <c r="B8" s="58" t="s">
        <v>72</v>
      </c>
      <c r="C8" s="58" t="str">
        <f t="shared" si="1"/>
        <v>Virginia</v>
      </c>
      <c r="D8" s="57" t="s">
        <v>9</v>
      </c>
      <c r="E8" s="57" t="s">
        <v>55</v>
      </c>
      <c r="F8" s="66">
        <v>0.4824</v>
      </c>
      <c r="G8" s="66"/>
      <c r="H8" s="56" t="s">
        <v>56</v>
      </c>
      <c r="I8" s="56" t="s">
        <v>57</v>
      </c>
      <c r="J8" s="57" t="s">
        <v>58</v>
      </c>
      <c r="K8" s="57"/>
      <c r="L8" s="58" t="s">
        <v>73</v>
      </c>
      <c r="M8" s="58" t="s">
        <v>74</v>
      </c>
      <c r="N8" s="58" t="s">
        <v>55</v>
      </c>
      <c r="O8" s="59" t="str">
        <f t="shared" si="2"/>
        <v>Appalachian Power Co.VirginiaElectric</v>
      </c>
      <c r="P8" s="56" t="str">
        <f t="shared" si="0"/>
        <v>Virginia</v>
      </c>
    </row>
    <row r="9" spans="2:16">
      <c r="B9" s="58" t="s">
        <v>72</v>
      </c>
      <c r="C9" s="58" t="str">
        <f t="shared" si="1"/>
        <v>West Virginia</v>
      </c>
      <c r="D9" s="57" t="s">
        <v>9</v>
      </c>
      <c r="E9" s="57" t="s">
        <v>55</v>
      </c>
      <c r="F9" s="66" t="s">
        <v>16</v>
      </c>
      <c r="G9" s="66"/>
      <c r="H9" s="56" t="s">
        <v>56</v>
      </c>
      <c r="I9" s="56" t="s">
        <v>57</v>
      </c>
      <c r="J9" s="57" t="s">
        <v>62</v>
      </c>
      <c r="K9" s="57"/>
      <c r="L9" s="58" t="s">
        <v>73</v>
      </c>
      <c r="M9" s="58" t="s">
        <v>75</v>
      </c>
      <c r="N9" s="58" t="s">
        <v>55</v>
      </c>
      <c r="O9" s="59" t="str">
        <f t="shared" si="2"/>
        <v>Appalachian Power Co.West VirginiaElectric</v>
      </c>
      <c r="P9" s="56" t="str">
        <f t="shared" si="0"/>
        <v>West Virginia</v>
      </c>
    </row>
    <row r="10" spans="2:16">
      <c r="B10" s="82" t="s">
        <v>76</v>
      </c>
      <c r="C10" s="82" t="str">
        <f t="shared" si="1"/>
        <v>Indiana</v>
      </c>
      <c r="D10" s="83" t="s">
        <v>9</v>
      </c>
      <c r="E10" s="83" t="s">
        <v>55</v>
      </c>
      <c r="F10" s="84">
        <f>'Zero Cost of Capital Cases'!F5</f>
        <v>0.5</v>
      </c>
      <c r="G10" s="66"/>
      <c r="H10" s="56" t="s">
        <v>66</v>
      </c>
      <c r="I10" s="56" t="s">
        <v>56</v>
      </c>
      <c r="J10" s="57" t="s">
        <v>58</v>
      </c>
      <c r="K10" s="57"/>
      <c r="L10" s="58" t="s">
        <v>77</v>
      </c>
      <c r="M10" s="58" t="s">
        <v>78</v>
      </c>
      <c r="N10" s="58" t="s">
        <v>55</v>
      </c>
      <c r="O10" s="59" t="str">
        <f t="shared" si="2"/>
        <v>Indiana Michigan Power Co.IndianaElectric</v>
      </c>
      <c r="P10" s="56" t="str">
        <f t="shared" si="0"/>
        <v>Indiana</v>
      </c>
    </row>
    <row r="11" spans="2:16">
      <c r="B11" s="82" t="s">
        <v>76</v>
      </c>
      <c r="C11" s="82" t="str">
        <f t="shared" si="1"/>
        <v>Michigan</v>
      </c>
      <c r="D11" s="83" t="s">
        <v>9</v>
      </c>
      <c r="E11" s="83" t="s">
        <v>55</v>
      </c>
      <c r="F11" s="84">
        <f>'Zero Cost of Capital Cases'!F6</f>
        <v>0.4729411764705882</v>
      </c>
      <c r="G11" s="66"/>
      <c r="H11" s="56" t="s">
        <v>66</v>
      </c>
      <c r="I11" s="56" t="s">
        <v>56</v>
      </c>
      <c r="J11" s="57" t="s">
        <v>79</v>
      </c>
      <c r="K11" s="57"/>
      <c r="L11" s="58" t="s">
        <v>77</v>
      </c>
      <c r="M11" s="58" t="s">
        <v>80</v>
      </c>
      <c r="N11" s="58" t="s">
        <v>55</v>
      </c>
      <c r="O11" s="59" t="str">
        <f t="shared" si="2"/>
        <v>Indiana Michigan Power Co.MichiganElectric</v>
      </c>
      <c r="P11" s="56" t="str">
        <f t="shared" si="0"/>
        <v>Michigan</v>
      </c>
    </row>
    <row r="12" spans="2:16">
      <c r="B12" s="58" t="s">
        <v>81</v>
      </c>
      <c r="C12" s="58" t="str">
        <f t="shared" si="1"/>
        <v>Kentucky</v>
      </c>
      <c r="D12" s="57" t="s">
        <v>9</v>
      </c>
      <c r="E12" s="57" t="s">
        <v>55</v>
      </c>
      <c r="F12" s="66">
        <v>0.41249999999999998</v>
      </c>
      <c r="G12" s="66"/>
      <c r="H12" s="56" t="s">
        <v>56</v>
      </c>
      <c r="I12" s="56" t="s">
        <v>56</v>
      </c>
      <c r="J12" s="57" t="s">
        <v>79</v>
      </c>
      <c r="K12" s="57"/>
      <c r="L12" s="58" t="s">
        <v>82</v>
      </c>
      <c r="M12" s="58" t="s">
        <v>83</v>
      </c>
      <c r="N12" s="58" t="s">
        <v>55</v>
      </c>
      <c r="O12" s="59" t="str">
        <f t="shared" si="2"/>
        <v>Kentucky Power Co.KentuckyElectric</v>
      </c>
      <c r="P12" s="56" t="str">
        <f t="shared" si="0"/>
        <v>Kentucky</v>
      </c>
    </row>
    <row r="13" spans="2:16">
      <c r="B13" s="58" t="s">
        <v>84</v>
      </c>
      <c r="C13" s="58" t="str">
        <f t="shared" si="1"/>
        <v>Tennessee</v>
      </c>
      <c r="D13" s="57" t="s">
        <v>9</v>
      </c>
      <c r="E13" s="57" t="s">
        <v>55</v>
      </c>
      <c r="F13" s="66">
        <v>0.48899999999999999</v>
      </c>
      <c r="G13" s="66"/>
      <c r="H13" s="56" t="s">
        <v>56</v>
      </c>
      <c r="I13" s="56" t="s">
        <v>56</v>
      </c>
      <c r="J13" s="57" t="s">
        <v>58</v>
      </c>
      <c r="K13" s="57"/>
      <c r="L13" s="58" t="s">
        <v>84</v>
      </c>
      <c r="M13" s="58" t="s">
        <v>85</v>
      </c>
      <c r="N13" s="58" t="s">
        <v>55</v>
      </c>
      <c r="O13" s="59" t="str">
        <f t="shared" si="2"/>
        <v>Kingsport Power CompanyTennesseeElectric</v>
      </c>
      <c r="P13" s="56" t="str">
        <f t="shared" si="0"/>
        <v>Tennessee</v>
      </c>
    </row>
    <row r="14" spans="2:16">
      <c r="B14" s="58" t="s">
        <v>86</v>
      </c>
      <c r="C14" s="58" t="str">
        <f t="shared" si="1"/>
        <v>Ohio</v>
      </c>
      <c r="D14" s="57" t="s">
        <v>9</v>
      </c>
      <c r="E14" s="57" t="s">
        <v>55</v>
      </c>
      <c r="F14" s="66">
        <v>0.54430000000000001</v>
      </c>
      <c r="G14" s="66"/>
      <c r="H14" s="56" t="s">
        <v>56</v>
      </c>
      <c r="I14" s="56" t="s">
        <v>56</v>
      </c>
      <c r="J14" s="57" t="s">
        <v>62</v>
      </c>
      <c r="K14" s="57"/>
      <c r="L14" s="58" t="s">
        <v>87</v>
      </c>
      <c r="M14" s="58" t="s">
        <v>88</v>
      </c>
      <c r="N14" s="58" t="s">
        <v>55</v>
      </c>
      <c r="O14" s="59" t="str">
        <f t="shared" si="2"/>
        <v>Ohio Power Co.OhioElectric</v>
      </c>
      <c r="P14" s="56" t="str">
        <f t="shared" si="0"/>
        <v>Ohio</v>
      </c>
    </row>
    <row r="15" spans="2:16">
      <c r="B15" s="58" t="s">
        <v>89</v>
      </c>
      <c r="C15" s="58" t="str">
        <f t="shared" si="1"/>
        <v>Oklahoma</v>
      </c>
      <c r="D15" s="57" t="s">
        <v>9</v>
      </c>
      <c r="E15" s="57" t="s">
        <v>55</v>
      </c>
      <c r="F15" s="66">
        <v>0.51119999999999999</v>
      </c>
      <c r="G15" s="66"/>
      <c r="H15" s="56" t="s">
        <v>56</v>
      </c>
      <c r="I15" s="56" t="s">
        <v>56</v>
      </c>
      <c r="J15" s="57" t="s">
        <v>62</v>
      </c>
      <c r="K15" s="57"/>
      <c r="L15" s="58" t="s">
        <v>90</v>
      </c>
      <c r="M15" s="58" t="s">
        <v>91</v>
      </c>
      <c r="N15" s="58" t="s">
        <v>55</v>
      </c>
      <c r="O15" s="59" t="str">
        <f t="shared" si="2"/>
        <v>Public Service Co. of OKOklahomaElectric</v>
      </c>
      <c r="P15" s="56" t="str">
        <f t="shared" si="0"/>
        <v>Oklahoma</v>
      </c>
    </row>
    <row r="16" spans="2:16">
      <c r="B16" s="58" t="s">
        <v>92</v>
      </c>
      <c r="C16" s="58" t="str">
        <f t="shared" si="1"/>
        <v>Louisiana</v>
      </c>
      <c r="D16" s="57" t="s">
        <v>9</v>
      </c>
      <c r="E16" s="57" t="s">
        <v>55</v>
      </c>
      <c r="F16" s="66" t="s">
        <v>16</v>
      </c>
      <c r="G16" s="66"/>
      <c r="H16" s="56" t="s">
        <v>56</v>
      </c>
      <c r="I16" s="56" t="s">
        <v>56</v>
      </c>
      <c r="J16" s="57" t="s">
        <v>58</v>
      </c>
      <c r="K16" s="57"/>
      <c r="L16" s="58" t="s">
        <v>93</v>
      </c>
      <c r="M16" s="58" t="s">
        <v>94</v>
      </c>
      <c r="N16" s="58" t="s">
        <v>55</v>
      </c>
      <c r="O16" s="59" t="str">
        <f t="shared" si="2"/>
        <v>Southwestern Electric Power CoLouisianaElectric</v>
      </c>
      <c r="P16" s="56" t="str">
        <f t="shared" si="0"/>
        <v>Louisiana</v>
      </c>
    </row>
    <row r="17" spans="2:16">
      <c r="B17" s="82" t="s">
        <v>92</v>
      </c>
      <c r="C17" s="82" t="str">
        <f t="shared" si="1"/>
        <v>Arkansas</v>
      </c>
      <c r="D17" s="83" t="s">
        <v>9</v>
      </c>
      <c r="E17" s="83" t="s">
        <v>55</v>
      </c>
      <c r="F17" s="84">
        <f>'Zero Cost of Capital Cases'!F7</f>
        <v>0.44539614561027829</v>
      </c>
      <c r="G17" s="66"/>
      <c r="H17" s="56" t="s">
        <v>56</v>
      </c>
      <c r="I17" s="56" t="s">
        <v>56</v>
      </c>
      <c r="J17" s="57" t="s">
        <v>58</v>
      </c>
      <c r="K17" s="57"/>
      <c r="L17" s="58" t="s">
        <v>93</v>
      </c>
      <c r="M17" s="58" t="s">
        <v>95</v>
      </c>
      <c r="N17" s="58" t="s">
        <v>55</v>
      </c>
      <c r="O17" s="59" t="str">
        <f t="shared" si="2"/>
        <v>Southwestern Electric Power CoArkansasElectric</v>
      </c>
      <c r="P17" s="56" t="str">
        <f t="shared" si="0"/>
        <v>Arkansas</v>
      </c>
    </row>
    <row r="18" spans="2:16">
      <c r="B18" s="58" t="s">
        <v>92</v>
      </c>
      <c r="C18" s="58" t="str">
        <f t="shared" si="1"/>
        <v>Texas</v>
      </c>
      <c r="D18" s="57" t="s">
        <v>9</v>
      </c>
      <c r="E18" s="57" t="s">
        <v>55</v>
      </c>
      <c r="F18" s="66">
        <v>0.49369999999999997</v>
      </c>
      <c r="G18" s="66"/>
      <c r="H18" s="56" t="s">
        <v>56</v>
      </c>
      <c r="I18" s="56" t="s">
        <v>56</v>
      </c>
      <c r="J18" s="57" t="s">
        <v>62</v>
      </c>
      <c r="K18" s="57"/>
      <c r="L18" s="58" t="s">
        <v>93</v>
      </c>
      <c r="M18" s="58" t="s">
        <v>71</v>
      </c>
      <c r="N18" s="58" t="s">
        <v>55</v>
      </c>
      <c r="O18" s="59" t="str">
        <f t="shared" si="2"/>
        <v>Southwestern Electric Power CoTexasElectric</v>
      </c>
      <c r="P18" s="56" t="str">
        <f t="shared" si="0"/>
        <v>Texas</v>
      </c>
    </row>
    <row r="19" spans="2:16">
      <c r="B19" s="58" t="s">
        <v>96</v>
      </c>
      <c r="C19" s="58" t="str">
        <f t="shared" si="1"/>
        <v>West Virginia</v>
      </c>
      <c r="D19" s="57" t="s">
        <v>9</v>
      </c>
      <c r="E19" s="57" t="s">
        <v>55</v>
      </c>
      <c r="F19" s="66" t="s">
        <v>16</v>
      </c>
      <c r="G19" s="66"/>
      <c r="H19" s="56" t="s">
        <v>56</v>
      </c>
      <c r="I19" s="56" t="s">
        <v>56</v>
      </c>
      <c r="J19" s="57" t="s">
        <v>62</v>
      </c>
      <c r="K19" s="57"/>
      <c r="L19" s="58" t="s">
        <v>97</v>
      </c>
      <c r="M19" s="58" t="s">
        <v>75</v>
      </c>
      <c r="N19" s="58" t="s">
        <v>55</v>
      </c>
      <c r="O19" s="59" t="str">
        <f t="shared" si="2"/>
        <v>Wheeling Power Co.West VirginiaElectric</v>
      </c>
      <c r="P19" s="56" t="str">
        <f t="shared" si="0"/>
        <v>West Virginia</v>
      </c>
    </row>
    <row r="20" spans="2:16">
      <c r="B20" s="58" t="s">
        <v>98</v>
      </c>
      <c r="C20" s="58" t="s">
        <v>74</v>
      </c>
      <c r="D20" s="57" t="s">
        <v>11</v>
      </c>
      <c r="E20" s="57" t="s">
        <v>55</v>
      </c>
      <c r="F20" s="66">
        <v>0.52039999999999997</v>
      </c>
      <c r="G20" s="66"/>
      <c r="H20" s="56" t="s">
        <v>66</v>
      </c>
      <c r="J20" s="57" t="s">
        <v>58</v>
      </c>
      <c r="K20" s="57"/>
      <c r="L20" s="58" t="s">
        <v>99</v>
      </c>
      <c r="M20" s="58" t="s">
        <v>74</v>
      </c>
      <c r="N20" s="58" t="s">
        <v>55</v>
      </c>
      <c r="O20" s="59" t="s">
        <v>100</v>
      </c>
      <c r="P20" s="56" t="str">
        <f t="shared" si="0"/>
        <v>Virginia</v>
      </c>
    </row>
    <row r="21" spans="2:16">
      <c r="B21" s="58" t="s">
        <v>98</v>
      </c>
      <c r="C21" s="58" t="str">
        <f t="shared" si="1"/>
        <v>North Carolina</v>
      </c>
      <c r="D21" s="57" t="s">
        <v>11</v>
      </c>
      <c r="E21" s="57" t="s">
        <v>55</v>
      </c>
      <c r="F21" s="66">
        <v>0.52500000000000002</v>
      </c>
      <c r="G21" s="66"/>
      <c r="H21" s="56" t="s">
        <v>66</v>
      </c>
      <c r="I21" s="56" t="s">
        <v>56</v>
      </c>
      <c r="J21" s="57" t="s">
        <v>58</v>
      </c>
      <c r="K21" s="57"/>
      <c r="L21" s="58" t="s">
        <v>99</v>
      </c>
      <c r="M21" s="58" t="s">
        <v>101</v>
      </c>
      <c r="N21" s="58" t="s">
        <v>55</v>
      </c>
      <c r="O21" s="59" t="str">
        <f t="shared" si="2"/>
        <v>Virginia Electric &amp; Power Co.North CarolinaElectric</v>
      </c>
      <c r="P21" s="56" t="str">
        <f t="shared" si="0"/>
        <v>North Carolina</v>
      </c>
    </row>
    <row r="22" spans="2:16">
      <c r="B22" s="58" t="s">
        <v>102</v>
      </c>
      <c r="C22" s="58" t="str">
        <f t="shared" si="1"/>
        <v>South Carolina</v>
      </c>
      <c r="D22" s="57" t="s">
        <v>11</v>
      </c>
      <c r="E22" s="57" t="s">
        <v>55</v>
      </c>
      <c r="F22" s="66">
        <v>0.52510000000000001</v>
      </c>
      <c r="G22" s="66"/>
      <c r="H22" s="56" t="s">
        <v>66</v>
      </c>
      <c r="I22" s="56" t="s">
        <v>56</v>
      </c>
      <c r="J22" s="57" t="s">
        <v>103</v>
      </c>
      <c r="K22" s="57"/>
      <c r="L22" s="58" t="s">
        <v>102</v>
      </c>
      <c r="M22" s="58" t="s">
        <v>104</v>
      </c>
      <c r="N22" s="58" t="s">
        <v>55</v>
      </c>
      <c r="O22" s="59" t="str">
        <f t="shared" si="2"/>
        <v>Dominion Energy South CarolinaSouth CarolinaElectric</v>
      </c>
      <c r="P22" s="56" t="str">
        <f t="shared" si="0"/>
        <v>South Carolina</v>
      </c>
    </row>
    <row r="23" spans="2:16">
      <c r="B23" s="58" t="s">
        <v>105</v>
      </c>
      <c r="C23" s="58" t="str">
        <f t="shared" si="1"/>
        <v>North Carolina</v>
      </c>
      <c r="D23" s="57" t="s">
        <v>13</v>
      </c>
      <c r="E23" s="57" t="s">
        <v>55</v>
      </c>
      <c r="F23" s="66">
        <v>0.53</v>
      </c>
      <c r="G23" s="66"/>
      <c r="H23" s="56" t="s">
        <v>66</v>
      </c>
      <c r="I23" s="56" t="s">
        <v>57</v>
      </c>
      <c r="J23" s="57" t="s">
        <v>58</v>
      </c>
      <c r="K23" s="57"/>
      <c r="L23" s="58" t="s">
        <v>106</v>
      </c>
      <c r="M23" s="58" t="s">
        <v>101</v>
      </c>
      <c r="N23" s="58" t="s">
        <v>55</v>
      </c>
      <c r="O23" s="59" t="str">
        <f t="shared" si="2"/>
        <v>Duke Energy Carolinas LLCNorth CarolinaElectric</v>
      </c>
      <c r="P23" s="56" t="str">
        <f t="shared" si="0"/>
        <v>North Carolina</v>
      </c>
    </row>
    <row r="24" spans="2:16">
      <c r="B24" s="58" t="s">
        <v>105</v>
      </c>
      <c r="C24" s="58" t="str">
        <f t="shared" si="1"/>
        <v>South Carolina</v>
      </c>
      <c r="D24" s="57" t="s">
        <v>13</v>
      </c>
      <c r="E24" s="57" t="s">
        <v>55</v>
      </c>
      <c r="F24" s="66">
        <v>0.5121</v>
      </c>
      <c r="G24" s="66"/>
      <c r="H24" s="56" t="s">
        <v>66</v>
      </c>
      <c r="I24" s="56" t="s">
        <v>57</v>
      </c>
      <c r="J24" s="57" t="s">
        <v>103</v>
      </c>
      <c r="K24" s="57"/>
      <c r="L24" s="58" t="s">
        <v>106</v>
      </c>
      <c r="M24" s="58" t="s">
        <v>104</v>
      </c>
      <c r="N24" s="58" t="s">
        <v>55</v>
      </c>
      <c r="O24" s="59" t="str">
        <f t="shared" si="2"/>
        <v>Duke Energy Carolinas LLCSouth CarolinaElectric</v>
      </c>
      <c r="P24" s="56" t="str">
        <f t="shared" si="0"/>
        <v>South Carolina</v>
      </c>
    </row>
    <row r="25" spans="2:16">
      <c r="B25" s="82" t="s">
        <v>107</v>
      </c>
      <c r="C25" s="82" t="str">
        <f t="shared" si="1"/>
        <v>Florida</v>
      </c>
      <c r="D25" s="83" t="s">
        <v>13</v>
      </c>
      <c r="E25" s="83" t="s">
        <v>55</v>
      </c>
      <c r="F25" s="84">
        <f>'Zero Cost of Capital Cases'!F8</f>
        <v>0.53</v>
      </c>
      <c r="G25" s="66"/>
      <c r="H25" s="56" t="s">
        <v>56</v>
      </c>
      <c r="I25" s="56" t="s">
        <v>56</v>
      </c>
      <c r="J25" s="57" t="s">
        <v>79</v>
      </c>
      <c r="K25" s="57"/>
      <c r="L25" s="58" t="s">
        <v>108</v>
      </c>
      <c r="M25" s="58" t="s">
        <v>109</v>
      </c>
      <c r="N25" s="58" t="s">
        <v>55</v>
      </c>
      <c r="O25" s="59" t="str">
        <f t="shared" si="2"/>
        <v>Duke Energy Florida LLCFloridaElectric</v>
      </c>
      <c r="P25" s="56" t="str">
        <f t="shared" si="0"/>
        <v>Florida</v>
      </c>
    </row>
    <row r="26" spans="2:16">
      <c r="B26" s="82" t="s">
        <v>110</v>
      </c>
      <c r="C26" s="82" t="str">
        <f t="shared" si="1"/>
        <v>Indiana</v>
      </c>
      <c r="D26" s="83" t="s">
        <v>13</v>
      </c>
      <c r="E26" s="83" t="s">
        <v>55</v>
      </c>
      <c r="F26" s="84">
        <f>'Zero Cost of Capital Cases'!F9</f>
        <v>0.53051760872289755</v>
      </c>
      <c r="G26" s="66"/>
      <c r="H26" s="56" t="s">
        <v>56</v>
      </c>
      <c r="I26" s="56" t="s">
        <v>56</v>
      </c>
      <c r="J26" s="57" t="s">
        <v>58</v>
      </c>
      <c r="K26" s="57"/>
      <c r="L26" s="58" t="s">
        <v>110</v>
      </c>
      <c r="M26" s="58" t="s">
        <v>78</v>
      </c>
      <c r="N26" s="58" t="s">
        <v>55</v>
      </c>
      <c r="O26" s="59" t="str">
        <f t="shared" si="2"/>
        <v>Duke Energy Indiana, LLCIndianaElectric</v>
      </c>
      <c r="P26" s="56" t="str">
        <f t="shared" si="0"/>
        <v>Indiana</v>
      </c>
    </row>
    <row r="27" spans="2:16">
      <c r="B27" s="58" t="s">
        <v>111</v>
      </c>
      <c r="C27" s="58" t="str">
        <f t="shared" si="1"/>
        <v>Kentucky</v>
      </c>
      <c r="D27" s="57" t="s">
        <v>13</v>
      </c>
      <c r="E27" s="57" t="s">
        <v>55</v>
      </c>
      <c r="F27" s="66">
        <v>0.52149999999999996</v>
      </c>
      <c r="G27" s="66"/>
      <c r="H27" s="56" t="s">
        <v>56</v>
      </c>
      <c r="I27" s="56" t="s">
        <v>56</v>
      </c>
      <c r="J27" s="57" t="s">
        <v>79</v>
      </c>
      <c r="K27" s="57"/>
      <c r="L27" s="58" t="s">
        <v>112</v>
      </c>
      <c r="M27" s="58" t="s">
        <v>83</v>
      </c>
      <c r="N27" s="58" t="s">
        <v>55</v>
      </c>
      <c r="O27" s="59" t="str">
        <f t="shared" si="2"/>
        <v>Duke Energy Kentucky Inc.KentuckyElectric</v>
      </c>
      <c r="P27" s="56" t="str">
        <f t="shared" si="0"/>
        <v>Kentucky</v>
      </c>
    </row>
    <row r="28" spans="2:16">
      <c r="B28" s="58" t="s">
        <v>113</v>
      </c>
      <c r="C28" s="58" t="str">
        <f t="shared" si="1"/>
        <v>Ohio</v>
      </c>
      <c r="D28" s="57" t="s">
        <v>13</v>
      </c>
      <c r="E28" s="57" t="s">
        <v>55</v>
      </c>
      <c r="F28" s="66">
        <v>0.505</v>
      </c>
      <c r="G28" s="66"/>
      <c r="H28" s="56" t="s">
        <v>56</v>
      </c>
      <c r="I28" s="56" t="s">
        <v>56</v>
      </c>
      <c r="J28" s="57" t="s">
        <v>62</v>
      </c>
      <c r="K28" s="57"/>
      <c r="L28" s="58" t="s">
        <v>114</v>
      </c>
      <c r="M28" s="58" t="s">
        <v>88</v>
      </c>
      <c r="N28" s="58" t="s">
        <v>55</v>
      </c>
      <c r="O28" s="59" t="str">
        <f t="shared" si="2"/>
        <v>Duke Energy Ohio Inc.OhioElectric</v>
      </c>
      <c r="P28" s="56" t="str">
        <f t="shared" si="0"/>
        <v>Ohio</v>
      </c>
    </row>
    <row r="29" spans="2:16">
      <c r="B29" s="58" t="s">
        <v>115</v>
      </c>
      <c r="C29" s="58" t="str">
        <f t="shared" si="1"/>
        <v>North Carolina</v>
      </c>
      <c r="D29" s="57" t="s">
        <v>13</v>
      </c>
      <c r="E29" s="57" t="s">
        <v>55</v>
      </c>
      <c r="F29" s="66">
        <v>0.53</v>
      </c>
      <c r="G29" s="66"/>
      <c r="H29" s="56" t="s">
        <v>66</v>
      </c>
      <c r="I29" s="56" t="s">
        <v>56</v>
      </c>
      <c r="J29" s="57" t="s">
        <v>58</v>
      </c>
      <c r="K29" s="57"/>
      <c r="L29" s="58" t="s">
        <v>116</v>
      </c>
      <c r="M29" s="58" t="s">
        <v>101</v>
      </c>
      <c r="N29" s="58" t="s">
        <v>55</v>
      </c>
      <c r="O29" s="59" t="str">
        <f t="shared" si="2"/>
        <v>Duke Energy Progress LLCNorth CarolinaElectric</v>
      </c>
      <c r="P29" s="56" t="str">
        <f t="shared" si="0"/>
        <v>North Carolina</v>
      </c>
    </row>
    <row r="30" spans="2:16">
      <c r="B30" s="58" t="s">
        <v>115</v>
      </c>
      <c r="C30" s="58" t="str">
        <f t="shared" si="1"/>
        <v>South Carolina</v>
      </c>
      <c r="D30" s="57" t="s">
        <v>13</v>
      </c>
      <c r="E30" s="57" t="s">
        <v>55</v>
      </c>
      <c r="F30" s="66">
        <v>0.52429999999999999</v>
      </c>
      <c r="G30" s="66"/>
      <c r="H30" s="56" t="s">
        <v>66</v>
      </c>
      <c r="I30" s="56" t="s">
        <v>56</v>
      </c>
      <c r="J30" s="57" t="s">
        <v>103</v>
      </c>
      <c r="K30" s="57"/>
      <c r="L30" s="58" t="s">
        <v>116</v>
      </c>
      <c r="M30" s="58" t="s">
        <v>104</v>
      </c>
      <c r="N30" s="58" t="s">
        <v>55</v>
      </c>
      <c r="O30" s="59" t="str">
        <f t="shared" si="2"/>
        <v>Duke Energy Progress LLCSouth CarolinaElectric</v>
      </c>
      <c r="P30" s="56" t="str">
        <f t="shared" si="0"/>
        <v>South Carolina</v>
      </c>
    </row>
    <row r="31" spans="2:16">
      <c r="B31" s="58" t="s">
        <v>117</v>
      </c>
      <c r="C31" s="58" t="str">
        <f t="shared" si="1"/>
        <v>California</v>
      </c>
      <c r="D31" s="57" t="s">
        <v>15</v>
      </c>
      <c r="E31" s="57" t="s">
        <v>55</v>
      </c>
      <c r="F31" s="66" t="s">
        <v>16</v>
      </c>
      <c r="G31" s="66"/>
      <c r="H31" s="56" t="s">
        <v>66</v>
      </c>
      <c r="I31" s="56" t="s">
        <v>57</v>
      </c>
      <c r="J31" s="57" t="s">
        <v>103</v>
      </c>
      <c r="K31" s="57"/>
      <c r="L31" s="58" t="s">
        <v>118</v>
      </c>
      <c r="M31" s="58" t="s">
        <v>119</v>
      </c>
      <c r="N31" s="58" t="s">
        <v>55</v>
      </c>
      <c r="O31" s="59" t="str">
        <f t="shared" si="2"/>
        <v>Southern California Edison Co.CaliforniaElectric</v>
      </c>
      <c r="P31" s="56" t="str">
        <f t="shared" si="0"/>
        <v>California</v>
      </c>
    </row>
    <row r="32" spans="2:16">
      <c r="B32" s="82" t="s">
        <v>120</v>
      </c>
      <c r="C32" s="82" t="str">
        <f t="shared" si="1"/>
        <v>Arkansas</v>
      </c>
      <c r="D32" s="83" t="s">
        <v>18</v>
      </c>
      <c r="E32" s="83" t="s">
        <v>55</v>
      </c>
      <c r="F32" s="84">
        <f>'Zero Cost of Capital Cases'!F10</f>
        <v>0.47958538743521678</v>
      </c>
      <c r="G32" s="66"/>
      <c r="H32" s="56" t="s">
        <v>66</v>
      </c>
      <c r="I32" s="56" t="s">
        <v>56</v>
      </c>
      <c r="J32" s="57" t="s">
        <v>58</v>
      </c>
      <c r="K32" s="57"/>
      <c r="L32" s="58" t="s">
        <v>121</v>
      </c>
      <c r="M32" s="58" t="s">
        <v>95</v>
      </c>
      <c r="N32" s="58" t="s">
        <v>55</v>
      </c>
      <c r="O32" s="59" t="str">
        <f t="shared" si="2"/>
        <v>Entergy Arkansas LLCArkansasElectric</v>
      </c>
      <c r="P32" s="56" t="str">
        <f t="shared" si="0"/>
        <v>Arkansas</v>
      </c>
    </row>
    <row r="33" spans="2:16">
      <c r="B33" s="58" t="s">
        <v>122</v>
      </c>
      <c r="C33" s="58" t="str">
        <f t="shared" si="1"/>
        <v>Louisiana</v>
      </c>
      <c r="D33" s="57" t="s">
        <v>18</v>
      </c>
      <c r="E33" s="57" t="s">
        <v>55</v>
      </c>
      <c r="F33" s="66" t="s">
        <v>16</v>
      </c>
      <c r="G33" s="66"/>
      <c r="H33" s="56" t="s">
        <v>66</v>
      </c>
      <c r="I33" s="56" t="s">
        <v>56</v>
      </c>
      <c r="J33" s="57" t="s">
        <v>58</v>
      </c>
      <c r="K33" s="57"/>
      <c r="L33" s="58" t="s">
        <v>123</v>
      </c>
      <c r="M33" s="67" t="s">
        <v>94</v>
      </c>
      <c r="N33" s="58" t="s">
        <v>55</v>
      </c>
      <c r="O33" s="59" t="str">
        <f t="shared" si="2"/>
        <v>Entergy Louisiana LLCLouisianaElectric</v>
      </c>
      <c r="P33" s="56" t="str">
        <f t="shared" si="0"/>
        <v>Louisiana</v>
      </c>
    </row>
    <row r="34" spans="2:16">
      <c r="B34" s="58" t="s">
        <v>124</v>
      </c>
      <c r="C34" s="58" t="str">
        <f t="shared" si="1"/>
        <v>Mississippi</v>
      </c>
      <c r="D34" s="57" t="s">
        <v>18</v>
      </c>
      <c r="E34" s="57" t="s">
        <v>55</v>
      </c>
      <c r="F34" s="66" t="s">
        <v>16</v>
      </c>
      <c r="G34" s="66"/>
      <c r="H34" s="56" t="s">
        <v>56</v>
      </c>
      <c r="I34" s="56" t="s">
        <v>56</v>
      </c>
      <c r="J34" s="57" t="s">
        <v>58</v>
      </c>
      <c r="K34" s="57"/>
      <c r="L34" s="58" t="s">
        <v>125</v>
      </c>
      <c r="M34" s="67" t="s">
        <v>126</v>
      </c>
      <c r="N34" s="58" t="s">
        <v>55</v>
      </c>
      <c r="O34" s="59" t="str">
        <f t="shared" si="2"/>
        <v>Entergy Mississippi LLCMississippiElectric</v>
      </c>
      <c r="P34" s="56" t="str">
        <f t="shared" si="0"/>
        <v>Mississippi</v>
      </c>
    </row>
    <row r="35" spans="2:16">
      <c r="B35" s="58" t="s">
        <v>127</v>
      </c>
      <c r="C35" s="58" t="str">
        <f t="shared" si="1"/>
        <v>Louisiana</v>
      </c>
      <c r="D35" s="57" t="s">
        <v>18</v>
      </c>
      <c r="E35" s="57" t="s">
        <v>55</v>
      </c>
      <c r="F35" s="66">
        <v>0.5</v>
      </c>
      <c r="G35" s="66"/>
      <c r="H35" s="56" t="s">
        <v>56</v>
      </c>
      <c r="I35" s="56" t="s">
        <v>56</v>
      </c>
      <c r="J35" s="57" t="s">
        <v>103</v>
      </c>
      <c r="K35" s="57"/>
      <c r="L35" s="67" t="s">
        <v>128</v>
      </c>
      <c r="M35" s="67" t="s">
        <v>94</v>
      </c>
      <c r="N35" s="58" t="s">
        <v>55</v>
      </c>
      <c r="O35" s="59" t="str">
        <f t="shared" si="2"/>
        <v>Entergy New Orleans LLCLouisianaElectric</v>
      </c>
      <c r="P35" s="56" t="s">
        <v>129</v>
      </c>
    </row>
    <row r="36" spans="2:16">
      <c r="B36" s="58" t="s">
        <v>130</v>
      </c>
      <c r="C36" s="58" t="str">
        <f t="shared" si="1"/>
        <v>Texas</v>
      </c>
      <c r="D36" s="57" t="s">
        <v>18</v>
      </c>
      <c r="E36" s="57" t="s">
        <v>55</v>
      </c>
      <c r="F36" s="66">
        <v>0.5121</v>
      </c>
      <c r="G36" s="66"/>
      <c r="H36" s="56" t="s">
        <v>56</v>
      </c>
      <c r="I36" s="56" t="s">
        <v>56</v>
      </c>
      <c r="J36" s="57" t="s">
        <v>62</v>
      </c>
      <c r="K36" s="57"/>
      <c r="L36" s="67" t="s">
        <v>131</v>
      </c>
      <c r="M36" s="67" t="s">
        <v>71</v>
      </c>
      <c r="N36" s="58" t="s">
        <v>55</v>
      </c>
      <c r="O36" s="59" t="str">
        <f t="shared" si="2"/>
        <v>Entergy Texas Inc.TexasElectric</v>
      </c>
      <c r="P36" s="56" t="str">
        <f t="shared" ref="P36:P73" si="3">C36</f>
        <v>Texas</v>
      </c>
    </row>
    <row r="37" spans="2:16">
      <c r="B37" s="58" t="s">
        <v>132</v>
      </c>
      <c r="C37" s="58" t="str">
        <f t="shared" si="1"/>
        <v>Kansas</v>
      </c>
      <c r="D37" s="57" t="s">
        <v>20</v>
      </c>
      <c r="E37" s="57" t="s">
        <v>55</v>
      </c>
      <c r="F37" s="66" t="s">
        <v>16</v>
      </c>
      <c r="G37" s="66"/>
      <c r="H37" s="56" t="s">
        <v>66</v>
      </c>
      <c r="I37" s="56" t="s">
        <v>56</v>
      </c>
      <c r="J37" s="57" t="s">
        <v>58</v>
      </c>
      <c r="K37" s="57"/>
      <c r="L37" s="67" t="s">
        <v>133</v>
      </c>
      <c r="M37" s="67" t="s">
        <v>134</v>
      </c>
      <c r="N37" s="58" t="s">
        <v>55</v>
      </c>
      <c r="O37" s="59" t="str">
        <f t="shared" si="2"/>
        <v>Evergy Metro IncKansasElectric</v>
      </c>
      <c r="P37" s="56" t="str">
        <f t="shared" si="3"/>
        <v>Kansas</v>
      </c>
    </row>
    <row r="38" spans="2:16">
      <c r="B38" s="58" t="s">
        <v>132</v>
      </c>
      <c r="C38" s="58" t="str">
        <f t="shared" si="1"/>
        <v>Missouri</v>
      </c>
      <c r="D38" s="57" t="s">
        <v>20</v>
      </c>
      <c r="E38" s="57" t="s">
        <v>55</v>
      </c>
      <c r="F38" s="66" t="s">
        <v>16</v>
      </c>
      <c r="G38" s="66"/>
      <c r="H38" s="56" t="s">
        <v>66</v>
      </c>
      <c r="I38" s="56" t="s">
        <v>56</v>
      </c>
      <c r="J38" s="57" t="s">
        <v>62</v>
      </c>
      <c r="K38" s="57"/>
      <c r="L38" s="67" t="s">
        <v>133</v>
      </c>
      <c r="M38" s="67" t="s">
        <v>68</v>
      </c>
      <c r="N38" s="58" t="s">
        <v>55</v>
      </c>
      <c r="O38" s="59" t="str">
        <f t="shared" si="2"/>
        <v>Evergy Metro IncMissouriElectric</v>
      </c>
      <c r="P38" s="56" t="str">
        <f t="shared" si="3"/>
        <v>Missouri</v>
      </c>
    </row>
    <row r="39" spans="2:16">
      <c r="B39" s="58" t="s">
        <v>135</v>
      </c>
      <c r="C39" s="58" t="str">
        <f t="shared" si="1"/>
        <v>Kansas</v>
      </c>
      <c r="D39" s="57" t="s">
        <v>20</v>
      </c>
      <c r="E39" s="57" t="s">
        <v>55</v>
      </c>
      <c r="F39" s="66">
        <v>0.50130000000000008</v>
      </c>
      <c r="G39" s="66"/>
      <c r="H39" s="56" t="s">
        <v>66</v>
      </c>
      <c r="I39" s="56" t="s">
        <v>56</v>
      </c>
      <c r="J39" s="57" t="s">
        <v>58</v>
      </c>
      <c r="K39" s="57"/>
      <c r="L39" s="67" t="s">
        <v>135</v>
      </c>
      <c r="M39" s="67" t="s">
        <v>134</v>
      </c>
      <c r="N39" s="58" t="s">
        <v>55</v>
      </c>
      <c r="O39" s="59" t="str">
        <f t="shared" si="2"/>
        <v>Evergy Kansas SouthKansasElectric</v>
      </c>
      <c r="P39" s="56" t="str">
        <f t="shared" si="3"/>
        <v>Kansas</v>
      </c>
    </row>
    <row r="40" spans="2:16">
      <c r="B40" s="58" t="s">
        <v>136</v>
      </c>
      <c r="C40" s="58" t="str">
        <f t="shared" si="1"/>
        <v>Missouri</v>
      </c>
      <c r="D40" s="57" t="s">
        <v>20</v>
      </c>
      <c r="E40" s="57" t="s">
        <v>55</v>
      </c>
      <c r="F40" s="66" t="s">
        <v>16</v>
      </c>
      <c r="G40" s="66"/>
      <c r="H40" s="56" t="s">
        <v>56</v>
      </c>
      <c r="I40" s="56" t="s">
        <v>56</v>
      </c>
      <c r="J40" s="57" t="s">
        <v>62</v>
      </c>
      <c r="K40" s="57"/>
      <c r="L40" s="67" t="s">
        <v>137</v>
      </c>
      <c r="M40" s="67" t="s">
        <v>68</v>
      </c>
      <c r="N40" s="58" t="s">
        <v>55</v>
      </c>
      <c r="O40" s="59" t="str">
        <f t="shared" si="2"/>
        <v>Evergy Missouri WestMissouriElectric</v>
      </c>
      <c r="P40" s="56" t="str">
        <f t="shared" si="3"/>
        <v>Missouri</v>
      </c>
    </row>
    <row r="41" spans="2:16">
      <c r="B41" s="58" t="s">
        <v>138</v>
      </c>
      <c r="C41" s="58" t="str">
        <f t="shared" si="1"/>
        <v>Kansas</v>
      </c>
      <c r="D41" s="57" t="s">
        <v>20</v>
      </c>
      <c r="E41" s="57" t="s">
        <v>55</v>
      </c>
      <c r="F41" s="66" t="s">
        <v>16</v>
      </c>
      <c r="G41" s="66"/>
      <c r="H41" s="56" t="s">
        <v>56</v>
      </c>
      <c r="I41" s="56" t="s">
        <v>56</v>
      </c>
      <c r="J41" s="57" t="s">
        <v>58</v>
      </c>
      <c r="K41" s="57"/>
      <c r="L41" s="67" t="s">
        <v>139</v>
      </c>
      <c r="M41" s="67" t="s">
        <v>134</v>
      </c>
      <c r="N41" s="58" t="s">
        <v>55</v>
      </c>
      <c r="O41" s="59" t="str">
        <f t="shared" si="2"/>
        <v>Evergy Kansas Central Inc.KansasElectric</v>
      </c>
      <c r="P41" s="56" t="str">
        <f t="shared" si="3"/>
        <v>Kansas</v>
      </c>
    </row>
    <row r="42" spans="2:16">
      <c r="B42" s="58" t="s">
        <v>140</v>
      </c>
      <c r="C42" s="58" t="str">
        <f t="shared" si="1"/>
        <v>Idaho</v>
      </c>
      <c r="D42" s="57" t="s">
        <v>22</v>
      </c>
      <c r="E42" s="57" t="s">
        <v>55</v>
      </c>
      <c r="F42" s="66" t="s">
        <v>16</v>
      </c>
      <c r="G42" s="66"/>
      <c r="H42" s="56" t="s">
        <v>56</v>
      </c>
      <c r="I42" s="56" t="s">
        <v>57</v>
      </c>
      <c r="J42" s="57" t="s">
        <v>62</v>
      </c>
      <c r="K42" s="57"/>
      <c r="L42" s="67" t="s">
        <v>140</v>
      </c>
      <c r="M42" s="67" t="s">
        <v>141</v>
      </c>
      <c r="N42" s="58" t="s">
        <v>55</v>
      </c>
      <c r="O42" s="59" t="str">
        <f t="shared" si="2"/>
        <v>Idaho Power Co.IdahoElectric</v>
      </c>
      <c r="P42" s="56" t="str">
        <f t="shared" si="3"/>
        <v>Idaho</v>
      </c>
    </row>
    <row r="43" spans="2:16">
      <c r="B43" s="58" t="s">
        <v>140</v>
      </c>
      <c r="C43" s="58" t="str">
        <f t="shared" si="1"/>
        <v>Oregon</v>
      </c>
      <c r="D43" s="57" t="s">
        <v>22</v>
      </c>
      <c r="E43" s="57" t="s">
        <v>55</v>
      </c>
      <c r="F43" s="66">
        <v>0.5</v>
      </c>
      <c r="G43" s="66"/>
      <c r="H43" s="56" t="s">
        <v>56</v>
      </c>
      <c r="I43" s="56" t="s">
        <v>57</v>
      </c>
      <c r="J43" s="57" t="s">
        <v>103</v>
      </c>
      <c r="K43" s="57"/>
      <c r="L43" s="67" t="s">
        <v>140</v>
      </c>
      <c r="M43" s="67" t="s">
        <v>142</v>
      </c>
      <c r="N43" s="58" t="s">
        <v>55</v>
      </c>
      <c r="O43" s="59" t="str">
        <f t="shared" si="2"/>
        <v>Idaho Power Co.OregonElectric</v>
      </c>
      <c r="P43" s="56" t="str">
        <f t="shared" si="3"/>
        <v>Oregon</v>
      </c>
    </row>
    <row r="44" spans="2:16">
      <c r="B44" s="82" t="s">
        <v>143</v>
      </c>
      <c r="C44" s="82" t="str">
        <f t="shared" si="1"/>
        <v>Florida</v>
      </c>
      <c r="D44" s="83" t="s">
        <v>24</v>
      </c>
      <c r="E44" s="83" t="s">
        <v>55</v>
      </c>
      <c r="F44" s="84">
        <f>'Zero Cost of Capital Cases'!F11</f>
        <v>0.59599999999999997</v>
      </c>
      <c r="G44" s="66"/>
      <c r="H44" s="56" t="s">
        <v>66</v>
      </c>
      <c r="I44" s="56" t="s">
        <v>56</v>
      </c>
      <c r="J44" s="57" t="s">
        <v>79</v>
      </c>
      <c r="K44" s="57"/>
      <c r="L44" s="67" t="s">
        <v>144</v>
      </c>
      <c r="M44" s="67" t="s">
        <v>109</v>
      </c>
      <c r="N44" s="58" t="s">
        <v>55</v>
      </c>
      <c r="O44" s="59" t="str">
        <f t="shared" si="2"/>
        <v>Florida Power &amp; Light Co.FloridaElectric</v>
      </c>
      <c r="P44" s="56" t="str">
        <f t="shared" si="3"/>
        <v>Florida</v>
      </c>
    </row>
    <row r="45" spans="2:16">
      <c r="B45" s="58" t="s">
        <v>145</v>
      </c>
      <c r="C45" s="58" t="str">
        <f t="shared" si="1"/>
        <v>Arizona</v>
      </c>
      <c r="D45" s="57" t="s">
        <v>26</v>
      </c>
      <c r="E45" s="57" t="s">
        <v>55</v>
      </c>
      <c r="F45" s="66">
        <v>0.51929999999999998</v>
      </c>
      <c r="G45" s="66"/>
      <c r="H45" s="56" t="s">
        <v>66</v>
      </c>
      <c r="I45" s="56" t="s">
        <v>56</v>
      </c>
      <c r="J45" s="57" t="s">
        <v>103</v>
      </c>
      <c r="K45" s="57"/>
      <c r="L45" s="67" t="s">
        <v>146</v>
      </c>
      <c r="M45" s="67" t="s">
        <v>147</v>
      </c>
      <c r="N45" s="58" t="s">
        <v>55</v>
      </c>
      <c r="O45" s="59" t="str">
        <f t="shared" si="2"/>
        <v>Arizona Public Service Co.ArizonaElectric</v>
      </c>
      <c r="P45" s="56" t="str">
        <f t="shared" si="3"/>
        <v>Arizona</v>
      </c>
    </row>
    <row r="46" spans="2:16">
      <c r="B46" s="58" t="s">
        <v>148</v>
      </c>
      <c r="C46" s="58" t="str">
        <f t="shared" si="1"/>
        <v>New Mexico</v>
      </c>
      <c r="D46" s="57" t="s">
        <v>28</v>
      </c>
      <c r="E46" s="57" t="s">
        <v>55</v>
      </c>
      <c r="F46" s="66">
        <v>0.51</v>
      </c>
      <c r="G46" s="66"/>
      <c r="H46" s="56" t="s">
        <v>66</v>
      </c>
      <c r="I46" s="56" t="s">
        <v>56</v>
      </c>
      <c r="J46" s="57" t="s">
        <v>149</v>
      </c>
      <c r="K46" s="57"/>
      <c r="L46" s="67" t="s">
        <v>150</v>
      </c>
      <c r="M46" s="67" t="s">
        <v>151</v>
      </c>
      <c r="N46" s="58" t="s">
        <v>55</v>
      </c>
      <c r="O46" s="59" t="str">
        <f t="shared" si="2"/>
        <v>Public Service Co. of NMNew MexicoElectric</v>
      </c>
      <c r="P46" s="56" t="str">
        <f t="shared" si="3"/>
        <v>New Mexico</v>
      </c>
    </row>
    <row r="47" spans="2:16">
      <c r="B47" s="58" t="s">
        <v>152</v>
      </c>
      <c r="C47" s="58" t="str">
        <f t="shared" si="1"/>
        <v>Texas</v>
      </c>
      <c r="D47" s="57" t="s">
        <v>28</v>
      </c>
      <c r="E47" s="57" t="s">
        <v>55</v>
      </c>
      <c r="F47" s="66">
        <v>0.45</v>
      </c>
      <c r="G47" s="66"/>
      <c r="H47" s="56" t="s">
        <v>56</v>
      </c>
      <c r="I47" s="56" t="s">
        <v>56</v>
      </c>
      <c r="J47" s="57" t="s">
        <v>62</v>
      </c>
      <c r="K47" s="57"/>
      <c r="L47" s="67" t="s">
        <v>153</v>
      </c>
      <c r="M47" s="67" t="s">
        <v>71</v>
      </c>
      <c r="N47" s="58" t="s">
        <v>55</v>
      </c>
      <c r="O47" s="59" t="str">
        <f t="shared" si="2"/>
        <v>Texas-New Mexico Power Co.TexasElectric</v>
      </c>
      <c r="P47" s="56" t="str">
        <f t="shared" si="3"/>
        <v>Texas</v>
      </c>
    </row>
    <row r="48" spans="2:16">
      <c r="B48" s="58" t="s">
        <v>29</v>
      </c>
      <c r="C48" s="58" t="str">
        <f t="shared" si="1"/>
        <v>Oregon</v>
      </c>
      <c r="D48" s="57" t="s">
        <v>30</v>
      </c>
      <c r="E48" s="57" t="s">
        <v>55</v>
      </c>
      <c r="F48" s="66">
        <v>0.5</v>
      </c>
      <c r="G48" s="66"/>
      <c r="H48" s="56" t="s">
        <v>56</v>
      </c>
      <c r="I48" s="56" t="s">
        <v>57</v>
      </c>
      <c r="J48" s="57" t="s">
        <v>103</v>
      </c>
      <c r="K48" s="57"/>
      <c r="L48" s="67" t="s">
        <v>154</v>
      </c>
      <c r="M48" s="67" t="s">
        <v>142</v>
      </c>
      <c r="N48" s="58" t="s">
        <v>55</v>
      </c>
      <c r="O48" s="59" t="str">
        <f t="shared" si="2"/>
        <v>Portland General Electric Co.OregonElectric</v>
      </c>
      <c r="P48" s="56" t="str">
        <f t="shared" si="3"/>
        <v>Oregon</v>
      </c>
    </row>
    <row r="49" spans="2:16">
      <c r="B49" s="58" t="s">
        <v>155</v>
      </c>
      <c r="C49" s="58" t="str">
        <f t="shared" si="1"/>
        <v>Alabama</v>
      </c>
      <c r="D49" s="57" t="s">
        <v>32</v>
      </c>
      <c r="E49" s="57" t="s">
        <v>55</v>
      </c>
      <c r="F49" s="66" t="s">
        <v>16</v>
      </c>
      <c r="G49" s="66"/>
      <c r="H49" s="56" t="s">
        <v>66</v>
      </c>
      <c r="I49" s="56" t="s">
        <v>57</v>
      </c>
      <c r="J49" s="57" t="s">
        <v>79</v>
      </c>
      <c r="K49" s="57"/>
      <c r="L49" s="67" t="s">
        <v>155</v>
      </c>
      <c r="M49" s="67" t="s">
        <v>156</v>
      </c>
      <c r="N49" s="58" t="s">
        <v>55</v>
      </c>
      <c r="O49" s="59" t="str">
        <f t="shared" si="2"/>
        <v>Alabama Power CompanyAlabamaElectric</v>
      </c>
      <c r="P49" s="56" t="str">
        <f t="shared" si="3"/>
        <v>Alabama</v>
      </c>
    </row>
    <row r="50" spans="2:16">
      <c r="B50" s="58" t="s">
        <v>157</v>
      </c>
      <c r="C50" s="58" t="str">
        <f t="shared" si="1"/>
        <v>Georgia</v>
      </c>
      <c r="D50" s="57" t="s">
        <v>32</v>
      </c>
      <c r="E50" s="57" t="s">
        <v>55</v>
      </c>
      <c r="F50" s="66">
        <v>0.56000000000000005</v>
      </c>
      <c r="G50" s="66"/>
      <c r="H50" s="56" t="s">
        <v>66</v>
      </c>
      <c r="I50" s="56" t="s">
        <v>56</v>
      </c>
      <c r="J50" s="57" t="s">
        <v>58</v>
      </c>
      <c r="K50" s="57"/>
      <c r="L50" s="67" t="s">
        <v>158</v>
      </c>
      <c r="M50" s="67" t="s">
        <v>159</v>
      </c>
      <c r="N50" s="58" t="s">
        <v>55</v>
      </c>
      <c r="O50" s="59" t="str">
        <f t="shared" si="2"/>
        <v>Georgia Power Co.GeorgiaElectric</v>
      </c>
      <c r="P50" s="56" t="str">
        <f t="shared" si="3"/>
        <v>Georgia</v>
      </c>
    </row>
    <row r="51" spans="2:16">
      <c r="B51" s="58" t="s">
        <v>160</v>
      </c>
      <c r="C51" s="58" t="str">
        <f t="shared" si="1"/>
        <v>Mississippi</v>
      </c>
      <c r="D51" s="57" t="s">
        <v>32</v>
      </c>
      <c r="E51" s="57" t="s">
        <v>55</v>
      </c>
      <c r="F51" s="66">
        <v>0.53</v>
      </c>
      <c r="G51" s="66"/>
      <c r="H51" s="56" t="s">
        <v>56</v>
      </c>
      <c r="I51" s="56" t="s">
        <v>56</v>
      </c>
      <c r="J51" s="57" t="s">
        <v>58</v>
      </c>
      <c r="K51" s="57"/>
      <c r="L51" s="67" t="s">
        <v>161</v>
      </c>
      <c r="M51" s="67" t="s">
        <v>126</v>
      </c>
      <c r="N51" s="58" t="s">
        <v>55</v>
      </c>
      <c r="O51" s="59" t="str">
        <f t="shared" si="2"/>
        <v>Mississippi Power Co.MississippiElectric</v>
      </c>
      <c r="P51" s="56" t="str">
        <f t="shared" si="3"/>
        <v>Mississippi</v>
      </c>
    </row>
    <row r="52" spans="2:16">
      <c r="B52" s="58" t="s">
        <v>162</v>
      </c>
      <c r="C52" s="58" t="str">
        <f t="shared" si="1"/>
        <v>Minnesota</v>
      </c>
      <c r="D52" s="56" t="s">
        <v>34</v>
      </c>
      <c r="E52" s="56" t="s">
        <v>55</v>
      </c>
      <c r="F52" s="66">
        <v>0.52500000000000002</v>
      </c>
      <c r="G52" s="66"/>
      <c r="H52" s="56" t="s">
        <v>66</v>
      </c>
      <c r="I52" s="56" t="s">
        <v>56</v>
      </c>
      <c r="J52" s="57" t="s">
        <v>58</v>
      </c>
      <c r="K52" s="57"/>
      <c r="L52" s="67" t="s">
        <v>163</v>
      </c>
      <c r="M52" s="67" t="s">
        <v>60</v>
      </c>
      <c r="N52" s="58" t="s">
        <v>55</v>
      </c>
      <c r="O52" s="59" t="str">
        <f t="shared" si="2"/>
        <v>Northern States Power Co.MinnesotaElectric</v>
      </c>
      <c r="P52" s="56" t="str">
        <f t="shared" si="3"/>
        <v>Minnesota</v>
      </c>
    </row>
    <row r="53" spans="2:16">
      <c r="B53" s="58" t="s">
        <v>162</v>
      </c>
      <c r="C53" s="58" t="str">
        <f t="shared" si="1"/>
        <v>North Dakota</v>
      </c>
      <c r="D53" s="56" t="s">
        <v>34</v>
      </c>
      <c r="E53" s="56" t="s">
        <v>55</v>
      </c>
      <c r="F53" s="66">
        <v>0.52500000000000002</v>
      </c>
      <c r="G53" s="66"/>
      <c r="H53" s="56" t="s">
        <v>66</v>
      </c>
      <c r="I53" s="56" t="s">
        <v>56</v>
      </c>
      <c r="J53" s="57" t="s">
        <v>58</v>
      </c>
      <c r="K53" s="57"/>
      <c r="L53" s="67" t="s">
        <v>163</v>
      </c>
      <c r="M53" s="67" t="s">
        <v>164</v>
      </c>
      <c r="N53" s="58" t="s">
        <v>55</v>
      </c>
      <c r="O53" s="59" t="str">
        <f t="shared" si="2"/>
        <v>Northern States Power Co.North DakotaElectric</v>
      </c>
      <c r="P53" s="56" t="str">
        <f t="shared" si="3"/>
        <v>North Dakota</v>
      </c>
    </row>
    <row r="54" spans="2:16">
      <c r="B54" s="58" t="s">
        <v>162</v>
      </c>
      <c r="C54" s="58" t="str">
        <f t="shared" si="1"/>
        <v>Wisconsin</v>
      </c>
      <c r="D54" s="56" t="s">
        <v>34</v>
      </c>
      <c r="E54" s="56" t="s">
        <v>55</v>
      </c>
      <c r="F54" s="66">
        <v>0.52500000000000002</v>
      </c>
      <c r="G54" s="66"/>
      <c r="H54" s="56" t="s">
        <v>66</v>
      </c>
      <c r="I54" s="56" t="s">
        <v>56</v>
      </c>
      <c r="J54" s="57" t="s">
        <v>79</v>
      </c>
      <c r="K54" s="57"/>
      <c r="L54" s="67" t="s">
        <v>163</v>
      </c>
      <c r="M54" s="67" t="s">
        <v>165</v>
      </c>
      <c r="N54" s="58" t="s">
        <v>55</v>
      </c>
      <c r="O54" s="59" t="str">
        <f t="shared" si="2"/>
        <v>Northern States Power Co.WisconsinElectric</v>
      </c>
      <c r="P54" s="56" t="str">
        <f t="shared" si="3"/>
        <v>Wisconsin</v>
      </c>
    </row>
    <row r="55" spans="2:16">
      <c r="B55" s="58" t="s">
        <v>162</v>
      </c>
      <c r="C55" s="58" t="str">
        <f t="shared" si="1"/>
        <v>South Dakota</v>
      </c>
      <c r="D55" s="56" t="s">
        <v>34</v>
      </c>
      <c r="E55" s="56" t="s">
        <v>55</v>
      </c>
      <c r="F55" s="66" t="s">
        <v>16</v>
      </c>
      <c r="G55" s="66"/>
      <c r="H55" s="56" t="s">
        <v>66</v>
      </c>
      <c r="I55" s="56" t="s">
        <v>56</v>
      </c>
      <c r="J55" s="57" t="s">
        <v>62</v>
      </c>
      <c r="K55" s="57"/>
      <c r="L55" s="67" t="s">
        <v>163</v>
      </c>
      <c r="M55" s="67" t="s">
        <v>166</v>
      </c>
      <c r="N55" s="58" t="s">
        <v>55</v>
      </c>
      <c r="O55" s="59" t="str">
        <f t="shared" si="2"/>
        <v>Northern States Power Co.South DakotaElectric</v>
      </c>
      <c r="P55" s="56" t="str">
        <f t="shared" si="3"/>
        <v>South Dakota</v>
      </c>
    </row>
    <row r="56" spans="2:16">
      <c r="B56" s="58" t="s">
        <v>167</v>
      </c>
      <c r="C56" s="58" t="str">
        <f t="shared" si="1"/>
        <v>Colorado</v>
      </c>
      <c r="D56" s="56" t="s">
        <v>34</v>
      </c>
      <c r="E56" s="56" t="s">
        <v>55</v>
      </c>
      <c r="F56" s="66">
        <v>0.55689999999999995</v>
      </c>
      <c r="G56" s="66"/>
      <c r="H56" s="56" t="s">
        <v>56</v>
      </c>
      <c r="I56" s="56" t="s">
        <v>56</v>
      </c>
      <c r="J56" s="57" t="s">
        <v>62</v>
      </c>
      <c r="K56" s="57"/>
      <c r="L56" s="67" t="s">
        <v>168</v>
      </c>
      <c r="M56" s="67" t="s">
        <v>169</v>
      </c>
      <c r="N56" s="58" t="s">
        <v>55</v>
      </c>
      <c r="O56" s="59" t="str">
        <f t="shared" si="2"/>
        <v>Public Service Co. of COColoradoElectric</v>
      </c>
      <c r="P56" s="56" t="str">
        <f t="shared" si="3"/>
        <v>Colorado</v>
      </c>
    </row>
    <row r="57" spans="2:16">
      <c r="B57" s="58" t="s">
        <v>170</v>
      </c>
      <c r="C57" s="58" t="str">
        <f t="shared" si="1"/>
        <v>Texas</v>
      </c>
      <c r="D57" s="56" t="s">
        <v>34</v>
      </c>
      <c r="E57" s="56" t="s">
        <v>55</v>
      </c>
      <c r="F57" s="66" t="s">
        <v>16</v>
      </c>
      <c r="G57" s="66"/>
      <c r="H57" s="56" t="s">
        <v>56</v>
      </c>
      <c r="I57" s="56" t="s">
        <v>56</v>
      </c>
      <c r="J57" s="57" t="s">
        <v>62</v>
      </c>
      <c r="K57" s="57"/>
      <c r="L57" s="67" t="s">
        <v>171</v>
      </c>
      <c r="M57" s="67" t="s">
        <v>71</v>
      </c>
      <c r="N57" s="58" t="s">
        <v>55</v>
      </c>
      <c r="O57" s="59" t="str">
        <f t="shared" si="2"/>
        <v>Southwestern Public Svc Co.TexasElectric</v>
      </c>
      <c r="P57" s="56" t="str">
        <f t="shared" si="3"/>
        <v>Texas</v>
      </c>
    </row>
    <row r="58" spans="2:16">
      <c r="B58" s="58" t="s">
        <v>170</v>
      </c>
      <c r="C58" s="58" t="str">
        <f t="shared" si="1"/>
        <v>New Mexico</v>
      </c>
      <c r="D58" s="56" t="s">
        <v>34</v>
      </c>
      <c r="E58" s="56" t="s">
        <v>55</v>
      </c>
      <c r="F58" s="66">
        <v>0.54700000000000004</v>
      </c>
      <c r="G58" s="66"/>
      <c r="H58" s="56" t="s">
        <v>56</v>
      </c>
      <c r="I58" s="56" t="s">
        <v>56</v>
      </c>
      <c r="J58" s="57" t="s">
        <v>149</v>
      </c>
      <c r="K58" s="57"/>
      <c r="L58" s="67" t="s">
        <v>171</v>
      </c>
      <c r="M58" s="67" t="s">
        <v>151</v>
      </c>
      <c r="N58" s="58" t="s">
        <v>55</v>
      </c>
      <c r="O58" s="59" t="str">
        <f t="shared" si="2"/>
        <v>Southwestern Public Svc Co.New MexicoElectric</v>
      </c>
      <c r="P58" s="56" t="str">
        <f t="shared" si="3"/>
        <v>New Mexico</v>
      </c>
    </row>
    <row r="59" spans="2:16">
      <c r="B59" s="58" t="s">
        <v>172</v>
      </c>
      <c r="C59" s="58" t="str">
        <f t="shared" si="1"/>
        <v>California</v>
      </c>
      <c r="D59" s="57" t="s">
        <v>36</v>
      </c>
      <c r="E59" s="57" t="s">
        <v>55</v>
      </c>
      <c r="F59" s="66">
        <v>0.52500000000000002</v>
      </c>
      <c r="G59" s="66"/>
      <c r="H59" s="56" t="s">
        <v>56</v>
      </c>
      <c r="I59" s="56" t="s">
        <v>56</v>
      </c>
      <c r="J59" s="57" t="s">
        <v>103</v>
      </c>
      <c r="K59" s="57"/>
      <c r="L59" s="67" t="s">
        <v>173</v>
      </c>
      <c r="M59" s="67" t="s">
        <v>119</v>
      </c>
      <c r="N59" s="58" t="s">
        <v>55</v>
      </c>
      <c r="O59" s="59" t="str">
        <f t="shared" si="2"/>
        <v>Liberty Utilities (CalPeco EleCaliforniaElectric</v>
      </c>
      <c r="P59" s="56" t="str">
        <f t="shared" si="3"/>
        <v>California</v>
      </c>
    </row>
    <row r="60" spans="2:16">
      <c r="B60" s="58" t="s">
        <v>174</v>
      </c>
      <c r="C60" s="58" t="str">
        <f t="shared" si="1"/>
        <v>New Hampshire</v>
      </c>
      <c r="D60" s="57" t="s">
        <v>36</v>
      </c>
      <c r="E60" s="57" t="s">
        <v>55</v>
      </c>
      <c r="F60" s="66">
        <v>0.52</v>
      </c>
      <c r="G60" s="66"/>
      <c r="H60" s="56" t="s">
        <v>56</v>
      </c>
      <c r="I60" s="56" t="s">
        <v>56</v>
      </c>
      <c r="J60" s="57" t="s">
        <v>58</v>
      </c>
      <c r="K60" s="57"/>
      <c r="L60" s="67" t="s">
        <v>175</v>
      </c>
      <c r="M60" s="67" t="s">
        <v>176</v>
      </c>
      <c r="N60" s="58" t="s">
        <v>55</v>
      </c>
      <c r="O60" s="59" t="str">
        <f t="shared" si="2"/>
        <v>Liberty Utilities Granite StNew HampshireElectric</v>
      </c>
      <c r="P60" s="56" t="str">
        <f t="shared" si="3"/>
        <v>New Hampshire</v>
      </c>
    </row>
    <row r="61" spans="2:16">
      <c r="B61" s="82" t="s">
        <v>177</v>
      </c>
      <c r="C61" s="82" t="str">
        <f t="shared" si="1"/>
        <v>Arkansas</v>
      </c>
      <c r="D61" s="83" t="s">
        <v>36</v>
      </c>
      <c r="E61" s="83" t="s">
        <v>55</v>
      </c>
      <c r="F61" s="84">
        <f>'Zero Cost of Capital Cases'!F12</f>
        <v>0.43858757779753588</v>
      </c>
      <c r="G61" s="66"/>
      <c r="H61" s="56" t="s">
        <v>56</v>
      </c>
      <c r="I61" s="56" t="s">
        <v>56</v>
      </c>
      <c r="J61" s="57" t="s">
        <v>58</v>
      </c>
      <c r="K61" s="57"/>
      <c r="L61" s="67" t="s">
        <v>178</v>
      </c>
      <c r="M61" s="67" t="s">
        <v>95</v>
      </c>
      <c r="N61" s="58" t="s">
        <v>55</v>
      </c>
      <c r="O61" s="59" t="str">
        <f t="shared" si="2"/>
        <v>The Empire District Electric CArkansasElectric</v>
      </c>
      <c r="P61" s="56" t="str">
        <f t="shared" si="3"/>
        <v>Arkansas</v>
      </c>
    </row>
    <row r="62" spans="2:16">
      <c r="B62" s="58" t="s">
        <v>177</v>
      </c>
      <c r="C62" s="58" t="str">
        <f t="shared" si="1"/>
        <v>Oklahoma</v>
      </c>
      <c r="D62" s="57" t="s">
        <v>36</v>
      </c>
      <c r="E62" s="57" t="s">
        <v>55</v>
      </c>
      <c r="F62" s="66" t="s">
        <v>16</v>
      </c>
      <c r="G62" s="66"/>
      <c r="H62" s="56" t="s">
        <v>56</v>
      </c>
      <c r="I62" s="56" t="s">
        <v>56</v>
      </c>
      <c r="J62" s="57" t="s">
        <v>62</v>
      </c>
      <c r="K62" s="57"/>
      <c r="L62" s="67" t="s">
        <v>178</v>
      </c>
      <c r="M62" s="67" t="s">
        <v>91</v>
      </c>
      <c r="N62" s="58" t="s">
        <v>55</v>
      </c>
      <c r="O62" s="59" t="str">
        <f t="shared" si="2"/>
        <v>The Empire District Electric COklahomaElectric</v>
      </c>
      <c r="P62" s="56" t="str">
        <f t="shared" si="3"/>
        <v>Oklahoma</v>
      </c>
    </row>
    <row r="63" spans="2:16">
      <c r="B63" s="58" t="s">
        <v>177</v>
      </c>
      <c r="C63" s="58" t="str">
        <f t="shared" si="1"/>
        <v>Missouri</v>
      </c>
      <c r="D63" s="57" t="s">
        <v>36</v>
      </c>
      <c r="E63" s="57" t="s">
        <v>55</v>
      </c>
      <c r="F63" s="66" t="s">
        <v>16</v>
      </c>
      <c r="G63" s="66"/>
      <c r="H63" s="56" t="s">
        <v>56</v>
      </c>
      <c r="I63" s="56" t="s">
        <v>56</v>
      </c>
      <c r="J63" s="57" t="s">
        <v>62</v>
      </c>
      <c r="K63" s="57"/>
      <c r="L63" s="67" t="s">
        <v>178</v>
      </c>
      <c r="M63" s="67" t="s">
        <v>68</v>
      </c>
      <c r="N63" s="58" t="s">
        <v>55</v>
      </c>
      <c r="O63" s="59" t="str">
        <f t="shared" si="2"/>
        <v>The Empire District Electric CMissouriElectric</v>
      </c>
      <c r="P63" s="56" t="str">
        <f t="shared" si="3"/>
        <v>Missouri</v>
      </c>
    </row>
    <row r="64" spans="2:16">
      <c r="B64" s="58" t="s">
        <v>177</v>
      </c>
      <c r="C64" s="58" t="str">
        <f t="shared" si="1"/>
        <v>Kansas</v>
      </c>
      <c r="D64" s="57" t="s">
        <v>36</v>
      </c>
      <c r="E64" s="57" t="s">
        <v>55</v>
      </c>
      <c r="F64" s="66" t="s">
        <v>16</v>
      </c>
      <c r="G64" s="66"/>
      <c r="H64" s="56" t="s">
        <v>56</v>
      </c>
      <c r="I64" s="56" t="s">
        <v>56</v>
      </c>
      <c r="J64" s="57" t="s">
        <v>58</v>
      </c>
      <c r="K64" s="57"/>
      <c r="L64" s="67" t="s">
        <v>178</v>
      </c>
      <c r="M64" s="67" t="s">
        <v>134</v>
      </c>
      <c r="N64" s="58" t="s">
        <v>55</v>
      </c>
      <c r="O64" s="59" t="str">
        <f t="shared" si="2"/>
        <v>The Empire District Electric CKansasElectric</v>
      </c>
      <c r="P64" s="56" t="str">
        <f t="shared" si="3"/>
        <v>Kansas</v>
      </c>
    </row>
    <row r="65" spans="2:16">
      <c r="B65" s="82" t="s">
        <v>179</v>
      </c>
      <c r="C65" s="82" t="str">
        <f t="shared" si="1"/>
        <v>Florida</v>
      </c>
      <c r="D65" s="85" t="s">
        <v>38</v>
      </c>
      <c r="E65" s="85" t="s">
        <v>55</v>
      </c>
      <c r="F65" s="84">
        <f>'Zero Cost of Capital Cases'!F13</f>
        <v>0.54002995046653612</v>
      </c>
      <c r="G65" s="66"/>
      <c r="H65" s="56" t="s">
        <v>56</v>
      </c>
      <c r="I65" s="56" t="s">
        <v>56</v>
      </c>
      <c r="J65" s="57" t="s">
        <v>79</v>
      </c>
      <c r="K65" s="57"/>
      <c r="L65" s="67" t="s">
        <v>179</v>
      </c>
      <c r="M65" s="67" t="s">
        <v>109</v>
      </c>
      <c r="N65" s="58" t="s">
        <v>55</v>
      </c>
      <c r="O65" s="59" t="str">
        <f t="shared" si="2"/>
        <v>Tampa Electric CompanyFloridaElectric</v>
      </c>
      <c r="P65" s="56" t="str">
        <f t="shared" si="3"/>
        <v>Florida</v>
      </c>
    </row>
    <row r="66" spans="2:16">
      <c r="B66" s="58" t="s">
        <v>180</v>
      </c>
      <c r="C66" s="58" t="str">
        <f t="shared" si="1"/>
        <v>Nova Scotia</v>
      </c>
      <c r="D66" s="56" t="s">
        <v>38</v>
      </c>
      <c r="E66" s="56" t="s">
        <v>55</v>
      </c>
      <c r="F66" s="66">
        <v>0.4</v>
      </c>
      <c r="G66" s="66"/>
      <c r="H66" s="56" t="s">
        <v>56</v>
      </c>
      <c r="I66" s="56" t="s">
        <v>56</v>
      </c>
      <c r="J66" s="57" t="s">
        <v>149</v>
      </c>
      <c r="K66" s="57"/>
      <c r="L66" s="67" t="s">
        <v>181</v>
      </c>
      <c r="M66" s="67" t="s">
        <v>182</v>
      </c>
      <c r="N66" s="58" t="s">
        <v>55</v>
      </c>
      <c r="O66" s="59" t="str">
        <f t="shared" si="2"/>
        <v>Nova Scotia Power Inc.Nova ScotiaElectric</v>
      </c>
      <c r="P66" s="56" t="str">
        <f t="shared" si="3"/>
        <v>Nova Scotia</v>
      </c>
    </row>
    <row r="67" spans="2:16">
      <c r="B67" s="58" t="s">
        <v>183</v>
      </c>
      <c r="C67" s="58" t="str">
        <f t="shared" si="1"/>
        <v>New York</v>
      </c>
      <c r="D67" s="56" t="s">
        <v>40</v>
      </c>
      <c r="E67" s="56" t="s">
        <v>55</v>
      </c>
      <c r="F67" s="66">
        <v>0.48</v>
      </c>
      <c r="G67" s="66"/>
      <c r="H67" s="56" t="s">
        <v>56</v>
      </c>
      <c r="I67" s="56" t="s">
        <v>57</v>
      </c>
      <c r="J67" s="57" t="s">
        <v>62</v>
      </c>
      <c r="K67" s="57"/>
      <c r="L67" s="67" t="s">
        <v>184</v>
      </c>
      <c r="M67" s="67" t="s">
        <v>185</v>
      </c>
      <c r="N67" s="58" t="s">
        <v>55</v>
      </c>
      <c r="O67" s="59" t="str">
        <f t="shared" si="2"/>
        <v>Central Hudson Gas &amp; ElectricNew YorkElectric</v>
      </c>
      <c r="P67" s="56" t="str">
        <f t="shared" si="3"/>
        <v>New York</v>
      </c>
    </row>
    <row r="68" spans="2:16">
      <c r="B68" s="58" t="s">
        <v>186</v>
      </c>
      <c r="C68" s="58" t="str">
        <f t="shared" si="1"/>
        <v>Arizona</v>
      </c>
      <c r="D68" s="56" t="s">
        <v>40</v>
      </c>
      <c r="E68" s="56" t="s">
        <v>55</v>
      </c>
      <c r="F68" s="66">
        <v>0.54320000000000002</v>
      </c>
      <c r="G68" s="66"/>
      <c r="H68" s="56" t="s">
        <v>56</v>
      </c>
      <c r="I68" s="56" t="s">
        <v>56</v>
      </c>
      <c r="J68" s="57" t="s">
        <v>103</v>
      </c>
      <c r="K68" s="57"/>
      <c r="L68" s="67" t="s">
        <v>187</v>
      </c>
      <c r="M68" s="67" t="s">
        <v>147</v>
      </c>
      <c r="N68" s="58" t="s">
        <v>55</v>
      </c>
      <c r="O68" s="59" t="str">
        <f t="shared" si="2"/>
        <v>Tucson Electric Power Co.ArizonaElectric</v>
      </c>
      <c r="P68" s="56" t="str">
        <f t="shared" si="3"/>
        <v>Arizona</v>
      </c>
    </row>
    <row r="69" spans="2:16">
      <c r="B69" s="58" t="s">
        <v>188</v>
      </c>
      <c r="C69" s="58" t="str">
        <f t="shared" ref="C69:C73" si="4">M69</f>
        <v>Arizona</v>
      </c>
      <c r="D69" s="56" t="s">
        <v>40</v>
      </c>
      <c r="E69" s="56" t="s">
        <v>55</v>
      </c>
      <c r="F69" s="66">
        <v>0.53720000000000001</v>
      </c>
      <c r="G69" s="66"/>
      <c r="H69" s="56" t="s">
        <v>56</v>
      </c>
      <c r="I69" s="56" t="s">
        <v>56</v>
      </c>
      <c r="J69" s="57" t="s">
        <v>103</v>
      </c>
      <c r="K69" s="57"/>
      <c r="L69" s="67" t="s">
        <v>189</v>
      </c>
      <c r="M69" s="67" t="s">
        <v>147</v>
      </c>
      <c r="N69" s="58" t="s">
        <v>55</v>
      </c>
      <c r="O69" s="59" t="str">
        <f t="shared" ref="O69:O73" si="5">L69&amp;M69&amp;N69</f>
        <v>UNS Electric Inc.ArizonaElectric</v>
      </c>
      <c r="P69" s="56" t="str">
        <f t="shared" si="3"/>
        <v>Arizona</v>
      </c>
    </row>
    <row r="70" spans="2:16">
      <c r="B70" s="58" t="s">
        <v>190</v>
      </c>
      <c r="C70" s="58" t="str">
        <f t="shared" si="4"/>
        <v>Alberta</v>
      </c>
      <c r="D70" s="56" t="s">
        <v>40</v>
      </c>
      <c r="E70" s="56" t="s">
        <v>55</v>
      </c>
      <c r="F70" s="68">
        <v>0.37</v>
      </c>
      <c r="G70" s="68"/>
      <c r="H70" s="56" t="s">
        <v>56</v>
      </c>
      <c r="I70" s="56" t="s">
        <v>56</v>
      </c>
      <c r="J70" s="57" t="s">
        <v>58</v>
      </c>
      <c r="K70" s="57"/>
      <c r="L70" s="67" t="s">
        <v>191</v>
      </c>
      <c r="M70" s="67" t="s">
        <v>192</v>
      </c>
      <c r="N70" s="58" t="s">
        <v>55</v>
      </c>
      <c r="O70" s="59" t="str">
        <f t="shared" si="5"/>
        <v>FortisAlberta Inc.AlbertaElectric</v>
      </c>
      <c r="P70" s="56" t="str">
        <f t="shared" si="3"/>
        <v>Alberta</v>
      </c>
    </row>
    <row r="71" spans="2:16">
      <c r="B71" s="58" t="s">
        <v>193</v>
      </c>
      <c r="C71" s="58" t="str">
        <f t="shared" si="4"/>
        <v>British Columbia</v>
      </c>
      <c r="D71" s="56" t="s">
        <v>40</v>
      </c>
      <c r="E71" s="56" t="s">
        <v>55</v>
      </c>
      <c r="F71" s="68">
        <v>0.41</v>
      </c>
      <c r="G71" s="68"/>
      <c r="H71" s="56" t="s">
        <v>56</v>
      </c>
      <c r="I71" s="56" t="s">
        <v>56</v>
      </c>
      <c r="J71" s="57" t="s">
        <v>79</v>
      </c>
      <c r="K71" s="57"/>
      <c r="L71" s="67" t="s">
        <v>193</v>
      </c>
      <c r="M71" s="67" t="s">
        <v>194</v>
      </c>
      <c r="N71" s="58" t="s">
        <v>55</v>
      </c>
      <c r="O71" s="59" t="str">
        <f t="shared" si="5"/>
        <v>FortisBC Inc.British ColumbiaElectric</v>
      </c>
      <c r="P71" s="56" t="str">
        <f t="shared" si="3"/>
        <v>British Columbia</v>
      </c>
    </row>
    <row r="72" spans="2:16">
      <c r="B72" s="58" t="s">
        <v>195</v>
      </c>
      <c r="C72" s="58" t="str">
        <f t="shared" si="4"/>
        <v>Newfoundland and Labrador</v>
      </c>
      <c r="D72" s="56" t="s">
        <v>40</v>
      </c>
      <c r="E72" s="56" t="s">
        <v>55</v>
      </c>
      <c r="F72" s="68">
        <v>0.45</v>
      </c>
      <c r="G72" s="68"/>
      <c r="H72" s="56" t="s">
        <v>56</v>
      </c>
      <c r="I72" s="56" t="s">
        <v>56</v>
      </c>
      <c r="J72" s="57" t="s">
        <v>58</v>
      </c>
      <c r="K72" s="57"/>
      <c r="L72" s="67" t="s">
        <v>196</v>
      </c>
      <c r="M72" s="67" t="s">
        <v>197</v>
      </c>
      <c r="N72" s="58" t="s">
        <v>55</v>
      </c>
      <c r="O72" s="59" t="str">
        <f t="shared" si="5"/>
        <v>Newfoundland Power Inc.Newfoundland and LabradorElectric</v>
      </c>
      <c r="P72" s="56" t="str">
        <f t="shared" si="3"/>
        <v>Newfoundland and Labrador</v>
      </c>
    </row>
    <row r="73" spans="2:16">
      <c r="B73" s="69" t="s">
        <v>198</v>
      </c>
      <c r="C73" s="69" t="str">
        <f t="shared" si="4"/>
        <v>Prince Edward Island</v>
      </c>
      <c r="D73" s="70" t="s">
        <v>40</v>
      </c>
      <c r="E73" s="70" t="s">
        <v>55</v>
      </c>
      <c r="F73" s="71">
        <v>0.4</v>
      </c>
      <c r="G73" s="68"/>
      <c r="H73" s="56" t="s">
        <v>56</v>
      </c>
      <c r="I73" s="56" t="s">
        <v>56</v>
      </c>
      <c r="J73" s="57" t="s">
        <v>149</v>
      </c>
      <c r="K73" s="57"/>
      <c r="L73" s="67" t="s">
        <v>199</v>
      </c>
      <c r="M73" s="67" t="s">
        <v>200</v>
      </c>
      <c r="N73" s="58" t="s">
        <v>55</v>
      </c>
      <c r="O73" s="59" t="str">
        <f t="shared" si="5"/>
        <v>Maritime Electric Company LimitedPrince Edward IslandElectric</v>
      </c>
      <c r="P73" s="56" t="str">
        <f t="shared" si="3"/>
        <v>Prince Edward Island</v>
      </c>
    </row>
    <row r="74" spans="2:16" s="77" customFormat="1">
      <c r="B74" s="72"/>
      <c r="C74" s="72"/>
      <c r="D74" s="73" t="s">
        <v>201</v>
      </c>
      <c r="E74" s="73"/>
      <c r="F74" s="74">
        <f>AVERAGE(F4:F73)</f>
        <v>0.50022226627890454</v>
      </c>
      <c r="G74" s="74"/>
      <c r="H74" s="56"/>
      <c r="I74" s="56"/>
      <c r="J74" s="57"/>
      <c r="K74" s="57"/>
      <c r="L74" s="75"/>
      <c r="M74" s="75"/>
      <c r="N74" s="76"/>
      <c r="O74" s="76"/>
      <c r="P74" s="56"/>
    </row>
    <row r="75" spans="2:16">
      <c r="B75" s="1"/>
      <c r="C75" s="1"/>
      <c r="D75" s="1" t="s">
        <v>202</v>
      </c>
      <c r="E75" s="1"/>
      <c r="F75" s="78">
        <f>MEDIAN(F4:F73)</f>
        <v>0.5121</v>
      </c>
      <c r="G75" s="1"/>
      <c r="J75" s="57"/>
      <c r="K75" s="57"/>
      <c r="L75" s="58"/>
      <c r="M75" s="58"/>
      <c r="N75" s="58"/>
      <c r="O75" s="59"/>
    </row>
    <row r="76" spans="2:16">
      <c r="B76" s="1"/>
      <c r="C76" s="1"/>
      <c r="D76" s="1" t="s">
        <v>203</v>
      </c>
      <c r="E76" s="1"/>
      <c r="F76" s="78">
        <f>MIN(F4:F73)</f>
        <v>0.37</v>
      </c>
      <c r="G76" s="1"/>
      <c r="J76" s="57"/>
      <c r="K76" s="57"/>
      <c r="L76" s="58"/>
      <c r="M76" s="58"/>
      <c r="N76" s="58"/>
      <c r="O76" s="59"/>
    </row>
    <row r="77" spans="2:16">
      <c r="B77" s="1"/>
      <c r="C77" s="1"/>
      <c r="D77" s="1" t="s">
        <v>204</v>
      </c>
      <c r="E77" s="1"/>
      <c r="F77" s="78">
        <f>MAX(F4:F73)</f>
        <v>0.59599999999999997</v>
      </c>
      <c r="G77" s="1"/>
      <c r="J77" s="57"/>
      <c r="K77" s="57"/>
      <c r="L77" s="58"/>
      <c r="M77" s="58"/>
      <c r="N77" s="58"/>
      <c r="O77" s="59"/>
    </row>
    <row r="78" spans="2:16">
      <c r="B78" s="57"/>
      <c r="C78" s="57"/>
      <c r="D78" s="57"/>
      <c r="E78" s="57"/>
      <c r="F78" s="79"/>
      <c r="G78" s="57"/>
      <c r="J78" s="57"/>
      <c r="K78" s="57"/>
      <c r="L78" s="58"/>
      <c r="M78" s="58"/>
      <c r="N78" s="58"/>
      <c r="O78" s="59"/>
    </row>
    <row r="79" spans="2:16">
      <c r="B79" s="57"/>
      <c r="C79" s="57"/>
      <c r="D79" s="57" t="s">
        <v>205</v>
      </c>
      <c r="E79" s="57"/>
      <c r="F79" s="79">
        <f>AVERAGEIF(H:H, "Nuclear", F:F)</f>
        <v>0.52116814243921139</v>
      </c>
      <c r="G79" s="57"/>
      <c r="J79" s="57"/>
      <c r="K79" s="57"/>
      <c r="L79" s="80"/>
      <c r="M79" s="58"/>
      <c r="N79" s="58"/>
      <c r="O79" s="59"/>
    </row>
    <row r="80" spans="2:16">
      <c r="B80" s="57"/>
      <c r="C80" s="57"/>
      <c r="D80" s="57" t="s">
        <v>206</v>
      </c>
      <c r="E80" s="57"/>
      <c r="F80" s="79" cm="1">
        <f t="array" ref="F80">MEDIAN(IF(H4:H73="Nuclear", F4:F73))</f>
        <v>0.52465000000000006</v>
      </c>
      <c r="G80" s="57"/>
      <c r="J80" s="57"/>
      <c r="K80" s="57"/>
      <c r="L80" s="80"/>
      <c r="M80" s="58"/>
      <c r="N80" s="58"/>
      <c r="O80" s="59"/>
    </row>
    <row r="81" spans="2:15">
      <c r="B81" s="57"/>
      <c r="C81" s="57"/>
      <c r="D81" s="57" t="s">
        <v>207</v>
      </c>
      <c r="E81" s="57"/>
      <c r="F81" s="79" cm="1">
        <f t="array" ref="F81">MIN(IF(H4:H73="Nuclear", F4:F73))</f>
        <v>0.4729411764705882</v>
      </c>
      <c r="G81" s="57"/>
      <c r="J81" s="57"/>
      <c r="K81" s="57"/>
      <c r="L81" s="80"/>
      <c r="M81" s="58"/>
      <c r="N81" s="58"/>
      <c r="O81" s="59"/>
    </row>
    <row r="82" spans="2:15">
      <c r="B82" s="57"/>
      <c r="C82" s="57"/>
      <c r="D82" s="57" t="s">
        <v>208</v>
      </c>
      <c r="E82" s="57"/>
      <c r="F82" s="79" cm="1">
        <f t="array" ref="F82">MAX(IF(H4:H73="Nuclear", F4:F73))</f>
        <v>0.59599999999999997</v>
      </c>
      <c r="G82" s="57"/>
      <c r="J82" s="57"/>
      <c r="K82" s="57"/>
      <c r="L82" s="80"/>
      <c r="M82" s="58"/>
      <c r="N82" s="58"/>
      <c r="O82" s="59"/>
    </row>
    <row r="83" spans="2:15">
      <c r="B83" s="57"/>
      <c r="C83" s="57"/>
      <c r="D83" s="57"/>
      <c r="E83" s="57"/>
      <c r="F83" s="79"/>
      <c r="G83" s="57"/>
      <c r="J83" s="57"/>
      <c r="K83" s="57"/>
      <c r="L83" s="80"/>
      <c r="M83" s="58"/>
      <c r="N83" s="58"/>
      <c r="O83" s="59"/>
    </row>
    <row r="84" spans="2:15">
      <c r="B84" s="57"/>
      <c r="C84" s="57"/>
      <c r="D84" s="57" t="s">
        <v>209</v>
      </c>
      <c r="E84" s="57"/>
      <c r="F84" s="79">
        <f>AVERAGEIF(I:I, "Hydro", F:F)</f>
        <v>0.50492857142857139</v>
      </c>
      <c r="G84" s="57"/>
      <c r="J84" s="57"/>
      <c r="K84" s="57"/>
      <c r="L84" s="80"/>
      <c r="M84" s="58"/>
      <c r="N84" s="58"/>
      <c r="O84" s="59"/>
    </row>
    <row r="85" spans="2:15">
      <c r="B85" s="57"/>
      <c r="C85" s="57"/>
      <c r="D85" s="57" t="s">
        <v>210</v>
      </c>
      <c r="E85" s="57"/>
      <c r="F85" s="79" cm="1">
        <f t="array" ref="F85">MEDIAN(IF(I$4:I$73="Hydro", F$4:F$73))</f>
        <v>0.5</v>
      </c>
      <c r="G85" s="57"/>
      <c r="J85" s="57"/>
      <c r="K85" s="57"/>
      <c r="L85" s="80"/>
      <c r="M85" s="58"/>
      <c r="N85" s="58"/>
      <c r="O85" s="59"/>
    </row>
    <row r="86" spans="2:15">
      <c r="B86" s="57"/>
      <c r="C86" s="57"/>
      <c r="D86" s="57" t="s">
        <v>211</v>
      </c>
      <c r="E86" s="57"/>
      <c r="F86" s="79" cm="1">
        <f t="array" ref="F86">MIN(IF(I$4:I$73="Hydro", F$4:F$73))</f>
        <v>0.48</v>
      </c>
      <c r="G86" s="57"/>
      <c r="J86" s="57"/>
      <c r="K86" s="57"/>
      <c r="L86" s="80"/>
      <c r="M86" s="58"/>
      <c r="N86" s="58"/>
      <c r="O86" s="59"/>
    </row>
    <row r="87" spans="2:15">
      <c r="B87" s="57"/>
      <c r="C87" s="57"/>
      <c r="D87" s="57" t="s">
        <v>212</v>
      </c>
      <c r="E87" s="57"/>
      <c r="F87" s="79" cm="1">
        <f t="array" ref="F87">MAX(IF(I$4:I$73="Hydro", F$4:F$73))</f>
        <v>0.53</v>
      </c>
      <c r="G87" s="57"/>
      <c r="J87" s="57"/>
      <c r="K87" s="57"/>
      <c r="L87" s="80"/>
      <c r="M87" s="58"/>
      <c r="N87" s="58"/>
      <c r="O87" s="59"/>
    </row>
    <row r="88" spans="2:15" ht="26.25">
      <c r="B88" s="57"/>
      <c r="C88" s="57"/>
      <c r="D88" s="57" t="s">
        <v>213</v>
      </c>
      <c r="E88" s="57"/>
      <c r="F88" s="79">
        <f>AVERAGEIF(J:J, "Most Credit Supportive", F:F)</f>
        <v>0.50099639086714054</v>
      </c>
      <c r="G88" s="57"/>
      <c r="J88" s="57"/>
      <c r="K88" s="57"/>
      <c r="L88" s="58"/>
      <c r="M88" s="58"/>
      <c r="N88" s="58"/>
      <c r="O88" s="59"/>
    </row>
    <row r="89" spans="2:15">
      <c r="B89" s="57"/>
      <c r="C89" s="57"/>
      <c r="D89" s="57" t="s">
        <v>214</v>
      </c>
      <c r="E89" s="57"/>
      <c r="F89" s="79" cm="1">
        <f t="array" ref="F89">MEDIAN(IF(J4:J73="Most Credit Supportive", F4:F73))</f>
        <v>0.52324999999999999</v>
      </c>
      <c r="G89" s="57"/>
      <c r="J89" s="57"/>
      <c r="K89" s="57"/>
      <c r="L89" s="58"/>
      <c r="M89" s="58"/>
      <c r="N89" s="58"/>
      <c r="O89" s="59"/>
    </row>
    <row r="90" spans="2:15">
      <c r="B90" s="57"/>
      <c r="C90" s="57"/>
      <c r="D90" s="57" t="s">
        <v>215</v>
      </c>
      <c r="E90" s="57"/>
      <c r="F90" s="79" cm="1">
        <f t="array" ref="F90">MIN(IF(J4:J73="Most Credit Supportive", F4:F73))</f>
        <v>0.41</v>
      </c>
      <c r="G90" s="57"/>
      <c r="J90" s="57"/>
      <c r="K90" s="57"/>
      <c r="L90" s="58"/>
      <c r="M90" s="58"/>
      <c r="N90" s="58"/>
      <c r="O90" s="59"/>
    </row>
    <row r="91" spans="2:15">
      <c r="B91" s="57"/>
      <c r="C91" s="57"/>
      <c r="D91" s="57" t="s">
        <v>216</v>
      </c>
      <c r="E91" s="57"/>
      <c r="F91" s="79" cm="1">
        <f t="array" ref="F91">MAX(IF(J4:J73="Most Credit Supportive", F4:F73))</f>
        <v>0.59599999999999997</v>
      </c>
      <c r="G91" s="57"/>
      <c r="J91" s="57"/>
      <c r="K91" s="57"/>
      <c r="L91" s="58"/>
      <c r="M91" s="58"/>
      <c r="N91" s="58"/>
      <c r="O91" s="59"/>
    </row>
    <row r="92" spans="2:15">
      <c r="B92" s="57"/>
      <c r="C92" s="57"/>
      <c r="D92" s="57"/>
      <c r="E92" s="57"/>
      <c r="F92" s="79"/>
      <c r="G92" s="57"/>
      <c r="J92" s="57"/>
      <c r="K92" s="57"/>
      <c r="L92" s="58"/>
      <c r="M92" s="58"/>
      <c r="N92" s="58"/>
      <c r="O92" s="59"/>
    </row>
    <row r="93" spans="2:15">
      <c r="B93" s="59" t="s">
        <v>217</v>
      </c>
      <c r="C93" s="1"/>
      <c r="D93" s="1"/>
      <c r="E93" s="1"/>
      <c r="F93" s="1"/>
      <c r="G93" s="1"/>
      <c r="J93" s="57"/>
      <c r="K93" s="57"/>
      <c r="L93" s="58"/>
      <c r="M93" s="58"/>
      <c r="N93" s="58"/>
      <c r="O93" s="59"/>
    </row>
    <row r="94" spans="2:15">
      <c r="B94" s="81" t="s">
        <v>218</v>
      </c>
      <c r="C94" s="1"/>
      <c r="D94" s="1"/>
      <c r="E94" s="1"/>
      <c r="F94" s="1"/>
      <c r="G94" s="1"/>
      <c r="J94" s="57"/>
      <c r="K94" s="57"/>
      <c r="L94" s="58"/>
      <c r="M94" s="58"/>
      <c r="N94" s="58"/>
      <c r="O94" s="59"/>
    </row>
    <row r="95" spans="2:15">
      <c r="B95" s="81" t="s">
        <v>219</v>
      </c>
      <c r="C95" s="1"/>
      <c r="D95" s="1"/>
      <c r="E95" s="1"/>
      <c r="F95" s="1"/>
      <c r="G95" s="1"/>
      <c r="J95" s="57"/>
      <c r="K95" s="57"/>
      <c r="L95" s="58"/>
      <c r="M95" s="58"/>
      <c r="N95" s="58"/>
      <c r="O95" s="59"/>
    </row>
    <row r="96" spans="2:15">
      <c r="B96" s="81" t="s">
        <v>220</v>
      </c>
    </row>
    <row r="97" spans="2:2">
      <c r="B97" s="81" t="s">
        <v>221</v>
      </c>
    </row>
    <row r="100" spans="2:2">
      <c r="B100" s="81"/>
    </row>
  </sheetData>
  <mergeCells count="1">
    <mergeCell ref="B2:F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B1:P40"/>
  <sheetViews>
    <sheetView view="pageBreakPreview" zoomScale="85" zoomScaleNormal="85" zoomScaleSheetLayoutView="85" workbookViewId="0">
      <selection activeCell="F12" sqref="F12"/>
    </sheetView>
  </sheetViews>
  <sheetFormatPr defaultRowHeight="15"/>
  <cols>
    <col min="1" max="1" width="2.5703125" customWidth="1"/>
    <col min="2" max="2" width="39" customWidth="1"/>
    <col min="3" max="3" width="25.28515625" customWidth="1"/>
    <col min="4" max="4" width="23" style="14" customWidth="1"/>
    <col min="5" max="5" width="11.28515625" style="14" bestFit="1" customWidth="1"/>
    <col min="6" max="6" width="15.140625" customWidth="1"/>
    <col min="7" max="7" width="83.7109375" customWidth="1"/>
    <col min="8" max="8" width="30" customWidth="1"/>
    <col min="9" max="9" width="24.42578125" bestFit="1" customWidth="1"/>
    <col min="10" max="10" width="12" bestFit="1" customWidth="1"/>
    <col min="11" max="11" width="58" style="17" customWidth="1"/>
    <col min="12" max="13" width="9" style="27"/>
    <col min="14" max="14" width="22.85546875" style="27" bestFit="1" customWidth="1"/>
    <col min="15" max="15" width="19.140625" style="27" customWidth="1"/>
    <col min="16" max="16" width="28.7109375" style="27" customWidth="1"/>
  </cols>
  <sheetData>
    <row r="1" spans="2:16">
      <c r="B1" s="1"/>
      <c r="C1" s="1"/>
      <c r="D1" s="1"/>
      <c r="E1" s="1"/>
      <c r="F1" s="1"/>
      <c r="G1" s="1"/>
      <c r="H1" s="2"/>
      <c r="I1" s="2"/>
      <c r="J1" s="2"/>
      <c r="K1" s="15"/>
      <c r="O1" s="29"/>
      <c r="P1" s="29"/>
    </row>
    <row r="2" spans="2:16">
      <c r="B2" s="99" t="s">
        <v>44</v>
      </c>
      <c r="C2" s="99"/>
      <c r="D2" s="99"/>
      <c r="E2" s="99"/>
      <c r="F2" s="99"/>
      <c r="G2" s="3"/>
      <c r="H2" s="4"/>
      <c r="I2" s="4"/>
      <c r="J2" s="4"/>
      <c r="K2" s="16"/>
      <c r="L2" s="28">
        <v>0.05</v>
      </c>
      <c r="M2" s="28">
        <v>0.05</v>
      </c>
      <c r="N2" s="28"/>
      <c r="O2" s="30"/>
      <c r="P2" s="30"/>
    </row>
    <row r="3" spans="2:16">
      <c r="B3" s="55" t="s">
        <v>222</v>
      </c>
      <c r="C3" s="2"/>
      <c r="D3" s="2"/>
      <c r="E3" s="2"/>
      <c r="F3" s="2"/>
      <c r="G3" s="3"/>
      <c r="H3" s="4"/>
      <c r="I3" s="4"/>
      <c r="J3" s="4"/>
      <c r="K3" s="16"/>
      <c r="L3" s="28"/>
      <c r="M3" s="28"/>
      <c r="N3" s="28"/>
      <c r="O3" s="30"/>
      <c r="P3" s="30"/>
    </row>
    <row r="4" spans="2:16" ht="26.25">
      <c r="B4" s="5" t="s">
        <v>45</v>
      </c>
      <c r="C4" s="5" t="s">
        <v>46</v>
      </c>
      <c r="D4" s="6" t="s">
        <v>1</v>
      </c>
      <c r="E4" s="6" t="s">
        <v>47</v>
      </c>
      <c r="F4" s="7" t="s">
        <v>48</v>
      </c>
      <c r="G4" s="1" t="s">
        <v>223</v>
      </c>
      <c r="H4" s="16" t="s">
        <v>51</v>
      </c>
      <c r="I4" s="16" t="s">
        <v>46</v>
      </c>
      <c r="J4" s="16" t="s">
        <v>47</v>
      </c>
      <c r="K4" s="16" t="s">
        <v>52</v>
      </c>
      <c r="L4" s="27" t="s">
        <v>49</v>
      </c>
      <c r="M4" s="27" t="s">
        <v>49</v>
      </c>
      <c r="N4" s="27" t="s">
        <v>53</v>
      </c>
      <c r="O4" s="30" t="s">
        <v>224</v>
      </c>
      <c r="P4" s="30" t="s">
        <v>50</v>
      </c>
    </row>
    <row r="5" spans="2:16">
      <c r="B5" s="36" t="s">
        <v>76</v>
      </c>
      <c r="C5" s="36" t="str">
        <f t="shared" ref="C5:C11" si="0">I5</f>
        <v>Indiana</v>
      </c>
      <c r="D5" s="37" t="s">
        <v>9</v>
      </c>
      <c r="E5" s="37" t="s">
        <v>55</v>
      </c>
      <c r="F5" s="38">
        <f>'Support '!G10</f>
        <v>0.5</v>
      </c>
      <c r="G5" s="9" t="s">
        <v>225</v>
      </c>
      <c r="H5" s="2" t="s">
        <v>77</v>
      </c>
      <c r="I5" s="2" t="s">
        <v>78</v>
      </c>
      <c r="J5" s="2" t="s">
        <v>55</v>
      </c>
      <c r="K5" s="15" t="str">
        <f t="shared" ref="K5:K11" si="1">H5&amp;I5&amp;J5</f>
        <v>Indiana Michigan Power Co.IndianaElectric</v>
      </c>
      <c r="L5" s="27" t="s">
        <v>66</v>
      </c>
      <c r="M5" s="27" t="s">
        <v>56</v>
      </c>
      <c r="N5" s="27" t="s">
        <v>78</v>
      </c>
      <c r="O5" s="29" t="s">
        <v>226</v>
      </c>
      <c r="P5" s="29" t="s">
        <v>58</v>
      </c>
    </row>
    <row r="6" spans="2:16">
      <c r="B6" s="36" t="s">
        <v>76</v>
      </c>
      <c r="C6" s="36" t="str">
        <f t="shared" si="0"/>
        <v>Michigan</v>
      </c>
      <c r="D6" s="37" t="s">
        <v>9</v>
      </c>
      <c r="E6" s="37" t="s">
        <v>55</v>
      </c>
      <c r="F6" s="38">
        <f>'Support '!G24</f>
        <v>0.4729411764705882</v>
      </c>
      <c r="G6" s="9" t="s">
        <v>227</v>
      </c>
      <c r="H6" s="2" t="s">
        <v>77</v>
      </c>
      <c r="I6" s="2" t="s">
        <v>80</v>
      </c>
      <c r="J6" s="2" t="s">
        <v>55</v>
      </c>
      <c r="K6" s="15" t="str">
        <f t="shared" si="1"/>
        <v>Indiana Michigan Power Co.MichiganElectric</v>
      </c>
      <c r="L6" s="27" t="s">
        <v>66</v>
      </c>
      <c r="M6" s="27" t="s">
        <v>56</v>
      </c>
      <c r="N6" s="27" t="s">
        <v>80</v>
      </c>
      <c r="O6" s="29" t="s">
        <v>226</v>
      </c>
      <c r="P6" s="29" t="s">
        <v>79</v>
      </c>
    </row>
    <row r="7" spans="2:16">
      <c r="B7" s="36" t="s">
        <v>92</v>
      </c>
      <c r="C7" s="36" t="str">
        <f t="shared" si="0"/>
        <v>Arkansas</v>
      </c>
      <c r="D7" s="37" t="s">
        <v>9</v>
      </c>
      <c r="E7" s="37" t="s">
        <v>55</v>
      </c>
      <c r="F7" s="38">
        <f>'Support '!G75</f>
        <v>0.44539614561027829</v>
      </c>
      <c r="G7" s="9" t="s">
        <v>228</v>
      </c>
      <c r="H7" s="2" t="s">
        <v>93</v>
      </c>
      <c r="I7" s="2" t="s">
        <v>95</v>
      </c>
      <c r="J7" s="2" t="s">
        <v>55</v>
      </c>
      <c r="K7" s="15" t="str">
        <f t="shared" si="1"/>
        <v>Southwestern Electric Power CoArkansasElectric</v>
      </c>
      <c r="L7" s="27" t="s">
        <v>56</v>
      </c>
      <c r="M7" s="27" t="s">
        <v>56</v>
      </c>
      <c r="N7" s="27" t="s">
        <v>95</v>
      </c>
      <c r="O7" s="29" t="s">
        <v>226</v>
      </c>
      <c r="P7" s="29" t="s">
        <v>58</v>
      </c>
    </row>
    <row r="8" spans="2:16">
      <c r="B8" s="36" t="s">
        <v>107</v>
      </c>
      <c r="C8" s="36" t="str">
        <f t="shared" si="0"/>
        <v>Florida</v>
      </c>
      <c r="D8" s="37" t="s">
        <v>13</v>
      </c>
      <c r="E8" s="37" t="s">
        <v>55</v>
      </c>
      <c r="F8" s="38">
        <f>'Support '!G89</f>
        <v>0.53</v>
      </c>
      <c r="G8" s="39" t="s">
        <v>229</v>
      </c>
      <c r="H8" s="2" t="s">
        <v>108</v>
      </c>
      <c r="I8" s="2" t="s">
        <v>109</v>
      </c>
      <c r="J8" s="2" t="s">
        <v>55</v>
      </c>
      <c r="K8" s="15" t="str">
        <f t="shared" si="1"/>
        <v>Duke Energy Florida LLCFloridaElectric</v>
      </c>
      <c r="L8" s="27" t="s">
        <v>56</v>
      </c>
      <c r="M8" s="27" t="s">
        <v>56</v>
      </c>
      <c r="N8" s="27" t="s">
        <v>109</v>
      </c>
      <c r="O8" s="29" t="s">
        <v>230</v>
      </c>
      <c r="P8" s="29" t="s">
        <v>79</v>
      </c>
    </row>
    <row r="9" spans="2:16">
      <c r="B9" s="36" t="s">
        <v>110</v>
      </c>
      <c r="C9" s="36" t="str">
        <f t="shared" si="0"/>
        <v>Indiana</v>
      </c>
      <c r="D9" s="37" t="s">
        <v>13</v>
      </c>
      <c r="E9" s="37" t="s">
        <v>55</v>
      </c>
      <c r="F9" s="38">
        <f>'Support '!G116</f>
        <v>0.53051760872289755</v>
      </c>
      <c r="G9" s="9" t="s">
        <v>231</v>
      </c>
      <c r="H9" s="2" t="s">
        <v>110</v>
      </c>
      <c r="I9" s="2" t="s">
        <v>78</v>
      </c>
      <c r="J9" s="2" t="s">
        <v>55</v>
      </c>
      <c r="K9" s="15" t="str">
        <f t="shared" si="1"/>
        <v>Duke Energy Indiana, LLCIndianaElectric</v>
      </c>
      <c r="L9" s="27" t="s">
        <v>56</v>
      </c>
      <c r="M9" s="27" t="s">
        <v>56</v>
      </c>
      <c r="N9" s="27" t="s">
        <v>78</v>
      </c>
      <c r="O9" s="29" t="s">
        <v>226</v>
      </c>
      <c r="P9" s="29" t="s">
        <v>58</v>
      </c>
    </row>
    <row r="10" spans="2:16">
      <c r="B10" s="36" t="s">
        <v>120</v>
      </c>
      <c r="C10" s="36" t="str">
        <f t="shared" si="0"/>
        <v>Arkansas</v>
      </c>
      <c r="D10" s="37" t="s">
        <v>18</v>
      </c>
      <c r="E10" s="37" t="s">
        <v>55</v>
      </c>
      <c r="F10" s="38">
        <f>'Support '!G41</f>
        <v>0.47958538743521678</v>
      </c>
      <c r="G10" s="9" t="s">
        <v>232</v>
      </c>
      <c r="H10" s="2" t="s">
        <v>121</v>
      </c>
      <c r="I10" s="2" t="s">
        <v>95</v>
      </c>
      <c r="J10" s="2" t="s">
        <v>55</v>
      </c>
      <c r="K10" s="15" t="str">
        <f t="shared" si="1"/>
        <v>Entergy Arkansas LLCArkansasElectric</v>
      </c>
      <c r="L10" s="27" t="s">
        <v>66</v>
      </c>
      <c r="M10" s="27" t="s">
        <v>56</v>
      </c>
      <c r="N10" s="27" t="s">
        <v>95</v>
      </c>
      <c r="O10" s="29" t="s">
        <v>226</v>
      </c>
      <c r="P10" s="29" t="s">
        <v>58</v>
      </c>
    </row>
    <row r="11" spans="2:16">
      <c r="B11" s="36" t="s">
        <v>143</v>
      </c>
      <c r="C11" s="36" t="str">
        <f t="shared" si="0"/>
        <v>Florida</v>
      </c>
      <c r="D11" s="37" t="s">
        <v>24</v>
      </c>
      <c r="E11" s="37" t="s">
        <v>55</v>
      </c>
      <c r="F11" s="38">
        <v>0.59599999999999997</v>
      </c>
      <c r="G11" s="9" t="s">
        <v>233</v>
      </c>
      <c r="H11" s="10" t="s">
        <v>144</v>
      </c>
      <c r="I11" s="10" t="s">
        <v>109</v>
      </c>
      <c r="J11" s="2" t="s">
        <v>55</v>
      </c>
      <c r="K11" s="15" t="str">
        <f t="shared" si="1"/>
        <v>Florida Power &amp; Light Co.FloridaElectric</v>
      </c>
      <c r="L11" s="27" t="s">
        <v>66</v>
      </c>
      <c r="M11" s="27" t="s">
        <v>56</v>
      </c>
      <c r="N11" s="27" t="s">
        <v>109</v>
      </c>
      <c r="O11" s="29" t="s">
        <v>230</v>
      </c>
      <c r="P11" s="29" t="s">
        <v>79</v>
      </c>
    </row>
    <row r="12" spans="2:16">
      <c r="B12" s="36" t="s">
        <v>177</v>
      </c>
      <c r="C12" s="36" t="str">
        <f t="shared" ref="C12:C13" si="2">I12</f>
        <v>Arkansas</v>
      </c>
      <c r="D12" s="37" t="s">
        <v>36</v>
      </c>
      <c r="E12" s="37" t="s">
        <v>55</v>
      </c>
      <c r="F12" s="38">
        <f>'Support '!G154</f>
        <v>0.43858757779753588</v>
      </c>
      <c r="G12" s="9" t="s">
        <v>234</v>
      </c>
      <c r="H12" s="10" t="s">
        <v>178</v>
      </c>
      <c r="I12" s="10" t="s">
        <v>95</v>
      </c>
      <c r="J12" s="2" t="s">
        <v>55</v>
      </c>
      <c r="K12" s="15" t="str">
        <f t="shared" ref="K12:K13" si="3">H12&amp;I12&amp;J12</f>
        <v>The Empire District Electric CArkansasElectric</v>
      </c>
      <c r="L12" s="27" t="s">
        <v>56</v>
      </c>
      <c r="M12" s="27" t="s">
        <v>56</v>
      </c>
      <c r="N12" s="27" t="s">
        <v>95</v>
      </c>
      <c r="O12" s="29" t="s">
        <v>226</v>
      </c>
      <c r="P12" s="29" t="s">
        <v>58</v>
      </c>
    </row>
    <row r="13" spans="2:16">
      <c r="B13" s="42" t="s">
        <v>179</v>
      </c>
      <c r="C13" s="42" t="str">
        <f t="shared" si="2"/>
        <v>Florida</v>
      </c>
      <c r="D13" s="43" t="s">
        <v>38</v>
      </c>
      <c r="E13" s="43" t="s">
        <v>55</v>
      </c>
      <c r="F13" s="44">
        <f>'Support '!G54</f>
        <v>0.54002995046653612</v>
      </c>
      <c r="G13" s="39" t="s">
        <v>235</v>
      </c>
      <c r="H13" s="10" t="s">
        <v>179</v>
      </c>
      <c r="I13" s="10" t="s">
        <v>109</v>
      </c>
      <c r="J13" s="2" t="s">
        <v>55</v>
      </c>
      <c r="K13" s="15" t="str">
        <f t="shared" si="3"/>
        <v>Tampa Electric CompanyFloridaElectric</v>
      </c>
      <c r="L13" s="27" t="s">
        <v>56</v>
      </c>
      <c r="M13" s="27" t="s">
        <v>56</v>
      </c>
      <c r="N13" s="27" t="s">
        <v>109</v>
      </c>
      <c r="O13" s="29" t="s">
        <v>230</v>
      </c>
      <c r="P13" s="29" t="s">
        <v>79</v>
      </c>
    </row>
    <row r="14" spans="2:16" s="21" customFormat="1">
      <c r="B14" s="23"/>
      <c r="C14" s="23"/>
      <c r="D14" s="24" t="s">
        <v>201</v>
      </c>
      <c r="E14" s="24"/>
      <c r="F14" s="25">
        <f>AVERAGE(F5:F13)</f>
        <v>0.50367309405589478</v>
      </c>
      <c r="G14" s="25"/>
      <c r="H14" s="26"/>
      <c r="I14" s="26"/>
      <c r="J14" s="19"/>
      <c r="K14" s="20"/>
      <c r="L14" s="27"/>
      <c r="M14" s="27"/>
      <c r="N14" s="27"/>
      <c r="O14" s="29" t="s">
        <v>236</v>
      </c>
      <c r="P14" s="29" t="s">
        <v>237</v>
      </c>
    </row>
    <row r="15" spans="2:16">
      <c r="B15" s="1"/>
      <c r="C15" s="1"/>
      <c r="D15" s="1" t="s">
        <v>202</v>
      </c>
      <c r="E15" s="1"/>
      <c r="F15" s="11">
        <f>MEDIAN(F5:F13)</f>
        <v>0.5</v>
      </c>
      <c r="G15" s="1"/>
      <c r="H15" s="2"/>
      <c r="I15" s="2"/>
      <c r="J15" s="2"/>
      <c r="K15" s="15"/>
      <c r="O15" s="29" cm="1">
        <f t="array" ref="O15">COUNT(IF(ISNUMBER(FIND("Above Average", O$5:O$13)), F$5:F$13))</f>
        <v>3</v>
      </c>
      <c r="P15" s="29">
        <f>COUNTIF(P5:P13, "Most Credit Supportive")</f>
        <v>4</v>
      </c>
    </row>
    <row r="16" spans="2:16">
      <c r="B16" s="1"/>
      <c r="C16" s="1"/>
      <c r="D16" s="1" t="s">
        <v>203</v>
      </c>
      <c r="E16" s="1"/>
      <c r="F16" s="11">
        <f>MIN(F5:F13)</f>
        <v>0.43858757779753588</v>
      </c>
      <c r="G16" s="1"/>
      <c r="H16" s="2"/>
      <c r="I16" s="2"/>
      <c r="J16" s="2"/>
      <c r="K16" s="15"/>
      <c r="O16" s="29"/>
      <c r="P16" s="29"/>
    </row>
    <row r="17" spans="2:16">
      <c r="B17" s="1"/>
      <c r="C17" s="1"/>
      <c r="D17" s="1" t="s">
        <v>204</v>
      </c>
      <c r="E17" s="1"/>
      <c r="F17" s="11">
        <f>MAX(F5:F13)</f>
        <v>0.59599999999999997</v>
      </c>
      <c r="G17" s="1"/>
      <c r="H17" s="2"/>
      <c r="I17" s="2"/>
      <c r="J17" s="2"/>
      <c r="K17" s="15"/>
      <c r="O17" s="29"/>
      <c r="P17" s="29"/>
    </row>
    <row r="18" spans="2:16">
      <c r="B18" s="8"/>
      <c r="C18" s="8"/>
      <c r="D18" s="8"/>
      <c r="E18" s="8"/>
      <c r="F18" s="22"/>
      <c r="G18" s="8"/>
      <c r="H18" s="2"/>
      <c r="I18" s="2"/>
      <c r="J18" s="2"/>
      <c r="K18" s="15"/>
      <c r="O18" s="29"/>
      <c r="P18" s="29"/>
    </row>
    <row r="19" spans="2:16">
      <c r="B19" s="8"/>
      <c r="C19" s="8"/>
      <c r="D19" s="8" t="s">
        <v>205</v>
      </c>
      <c r="E19" s="8"/>
      <c r="F19" s="22">
        <f>AVERAGEIF(L:L, "Nuclear", F:F)</f>
        <v>0.51213164097645125</v>
      </c>
      <c r="G19" s="8"/>
      <c r="H19" s="35"/>
      <c r="I19" s="2"/>
      <c r="J19" s="2"/>
      <c r="K19" s="15"/>
      <c r="O19" s="29"/>
      <c r="P19" s="29"/>
    </row>
    <row r="20" spans="2:16">
      <c r="B20" s="8"/>
      <c r="C20" s="8"/>
      <c r="D20" s="8" t="s">
        <v>206</v>
      </c>
      <c r="E20" s="8"/>
      <c r="F20" s="22" cm="1">
        <f t="array" ref="F20">MEDIAN(IF(L5:L13="Nuclear", F5:F13))</f>
        <v>0.48979269371760836</v>
      </c>
      <c r="G20" s="8"/>
      <c r="H20" s="35"/>
      <c r="I20" s="2"/>
      <c r="J20" s="2"/>
      <c r="K20" s="15"/>
      <c r="O20" s="29"/>
      <c r="P20" s="29"/>
    </row>
    <row r="21" spans="2:16">
      <c r="B21" s="8"/>
      <c r="C21" s="8"/>
      <c r="D21" s="8" t="s">
        <v>207</v>
      </c>
      <c r="E21" s="8"/>
      <c r="F21" s="22" cm="1">
        <f t="array" ref="F21">MIN(IF(L5:L13="Nuclear", F5:F13))</f>
        <v>0.4729411764705882</v>
      </c>
      <c r="G21" s="8"/>
      <c r="H21" s="35"/>
      <c r="I21" s="2"/>
      <c r="J21" s="2"/>
      <c r="K21" s="15"/>
      <c r="O21" s="29"/>
      <c r="P21" s="29"/>
    </row>
    <row r="22" spans="2:16">
      <c r="B22" s="8"/>
      <c r="C22" s="8"/>
      <c r="D22" s="8" t="s">
        <v>208</v>
      </c>
      <c r="E22" s="8"/>
      <c r="F22" s="22" cm="1">
        <f t="array" ref="F22">MAX(IF(L5:L13="Nuclear", F5:F13))</f>
        <v>0.59599999999999997</v>
      </c>
      <c r="G22" s="8"/>
      <c r="H22" s="35"/>
      <c r="I22" s="2"/>
      <c r="J22" s="2"/>
      <c r="K22" s="15"/>
      <c r="O22" s="29"/>
      <c r="P22" s="29"/>
    </row>
    <row r="23" spans="2:16">
      <c r="B23" s="8"/>
      <c r="C23" s="8"/>
      <c r="D23" s="8"/>
      <c r="E23" s="8"/>
      <c r="F23" s="22"/>
      <c r="G23" s="8"/>
      <c r="H23" s="35"/>
      <c r="I23" s="2"/>
      <c r="J23" s="2"/>
      <c r="K23" s="15"/>
      <c r="O23" s="29"/>
      <c r="P23" s="29"/>
    </row>
    <row r="24" spans="2:16">
      <c r="B24" s="8"/>
      <c r="C24" s="8"/>
      <c r="D24" s="8" t="s">
        <v>209</v>
      </c>
      <c r="E24" s="8"/>
      <c r="F24" s="22" t="e">
        <f>AVERAGEIF(M:M, "Hydro", F:F)</f>
        <v>#DIV/0!</v>
      </c>
      <c r="G24" s="8"/>
      <c r="H24" s="35"/>
      <c r="I24" s="2"/>
      <c r="J24" s="2"/>
      <c r="K24" s="15"/>
      <c r="O24" s="29"/>
      <c r="P24" s="29"/>
    </row>
    <row r="25" spans="2:16">
      <c r="B25" s="8"/>
      <c r="C25" s="8"/>
      <c r="D25" s="8" t="s">
        <v>210</v>
      </c>
      <c r="E25" s="8"/>
      <c r="F25" s="22" t="e" cm="1">
        <f t="array" ref="F25">MEDIAN(IF(M$5:M$13="Hydro", F$5:F$13))</f>
        <v>#NUM!</v>
      </c>
      <c r="G25" s="8"/>
      <c r="H25" s="35"/>
      <c r="I25" s="2"/>
      <c r="J25" s="2"/>
      <c r="K25" s="15"/>
      <c r="O25" s="29"/>
      <c r="P25" s="29"/>
    </row>
    <row r="26" spans="2:16">
      <c r="B26" s="8"/>
      <c r="C26" s="8"/>
      <c r="D26" s="8" t="s">
        <v>211</v>
      </c>
      <c r="E26" s="8"/>
      <c r="F26" s="22" cm="1">
        <f t="array" ref="F26">MIN(IF(M$5:M$13="Hydro", F$5:F$13))</f>
        <v>0</v>
      </c>
      <c r="G26" s="8"/>
      <c r="H26" s="35"/>
      <c r="I26" s="2"/>
      <c r="J26" s="2"/>
      <c r="K26" s="15"/>
      <c r="O26" s="29"/>
      <c r="P26" s="29"/>
    </row>
    <row r="27" spans="2:16">
      <c r="B27" s="8"/>
      <c r="C27" s="8"/>
      <c r="D27" s="8" t="s">
        <v>212</v>
      </c>
      <c r="E27" s="8"/>
      <c r="F27" s="22" cm="1">
        <f t="array" ref="F27">MAX(IF(M$5:M$13="Hydro", F$5:F$13))</f>
        <v>0</v>
      </c>
      <c r="G27" s="8"/>
      <c r="H27" s="35"/>
      <c r="I27" s="2"/>
      <c r="J27" s="2"/>
      <c r="K27" s="15"/>
      <c r="O27" s="29"/>
      <c r="P27" s="29"/>
    </row>
    <row r="28" spans="2:16">
      <c r="B28" s="8"/>
      <c r="C28" s="8"/>
      <c r="D28" s="8" t="s">
        <v>213</v>
      </c>
      <c r="E28" s="8"/>
      <c r="F28" s="22">
        <f>AVERAGEIF(P:P, "Most Credit Supportive", F:F)</f>
        <v>0.53474278173428114</v>
      </c>
      <c r="G28" s="8"/>
      <c r="H28" s="2"/>
      <c r="I28" s="2"/>
      <c r="J28" s="2"/>
      <c r="K28" s="15"/>
      <c r="O28" s="29"/>
      <c r="P28" s="29"/>
    </row>
    <row r="29" spans="2:16">
      <c r="B29" s="8"/>
      <c r="C29" s="8"/>
      <c r="D29" s="8" t="s">
        <v>214</v>
      </c>
      <c r="E29" s="8"/>
      <c r="F29" s="22" cm="1">
        <f t="array" ref="F29">MEDIAN(IF(P5:P13="Most Credit Supportive", F5:F13))</f>
        <v>0.53501497523326802</v>
      </c>
      <c r="G29" s="8"/>
      <c r="H29" s="2"/>
      <c r="I29" s="2"/>
      <c r="J29" s="2"/>
      <c r="K29" s="15"/>
      <c r="O29" s="29"/>
      <c r="P29" s="29"/>
    </row>
    <row r="30" spans="2:16">
      <c r="B30" s="8"/>
      <c r="C30" s="8"/>
      <c r="D30" s="8" t="s">
        <v>215</v>
      </c>
      <c r="E30" s="8"/>
      <c r="F30" s="22" cm="1">
        <f t="array" ref="F30">MIN(IF(P5:P13="Most Credit Supportive", F5:F13))</f>
        <v>0.4729411764705882</v>
      </c>
      <c r="G30" s="8"/>
      <c r="H30" s="2"/>
      <c r="I30" s="2"/>
      <c r="J30" s="2"/>
      <c r="K30" s="15"/>
      <c r="O30" s="29"/>
      <c r="P30" s="29"/>
    </row>
    <row r="31" spans="2:16">
      <c r="B31" s="8"/>
      <c r="C31" s="8"/>
      <c r="D31" s="8" t="s">
        <v>216</v>
      </c>
      <c r="E31" s="8"/>
      <c r="F31" s="22" cm="1">
        <f t="array" ref="F31">MAX(IF(P5:P13="Most Credit Supportive", F5:F13))</f>
        <v>0.59599999999999997</v>
      </c>
      <c r="G31" s="8"/>
      <c r="H31" s="2"/>
      <c r="I31" s="2"/>
      <c r="J31" s="2"/>
      <c r="K31" s="15"/>
      <c r="O31" s="29"/>
      <c r="P31" s="29"/>
    </row>
    <row r="32" spans="2:16">
      <c r="B32" s="8"/>
      <c r="C32" s="8"/>
      <c r="D32" s="8"/>
      <c r="E32" s="8"/>
      <c r="F32" s="22"/>
      <c r="G32" s="8"/>
      <c r="H32" s="2"/>
      <c r="I32" s="2"/>
      <c r="J32" s="2"/>
      <c r="K32" s="15"/>
      <c r="O32" s="29"/>
      <c r="P32" s="29"/>
    </row>
    <row r="33" spans="2:16">
      <c r="B33" s="12" t="s">
        <v>217</v>
      </c>
      <c r="C33" s="1"/>
      <c r="D33" s="1"/>
      <c r="E33" s="1"/>
      <c r="F33" s="1"/>
      <c r="G33" s="1"/>
      <c r="H33" s="2"/>
      <c r="I33" s="2"/>
      <c r="J33" s="2"/>
      <c r="K33" s="15"/>
      <c r="O33" s="29"/>
      <c r="P33" s="29"/>
    </row>
    <row r="34" spans="2:16">
      <c r="B34" s="40" t="s">
        <v>238</v>
      </c>
      <c r="C34" s="41"/>
      <c r="D34" s="41"/>
      <c r="E34" s="1"/>
      <c r="F34" s="1"/>
      <c r="G34" s="1"/>
      <c r="H34" s="2"/>
      <c r="I34" s="2"/>
      <c r="J34" s="2"/>
      <c r="K34" s="15"/>
      <c r="O34" s="29"/>
      <c r="P34" s="29"/>
    </row>
    <row r="35" spans="2:16">
      <c r="B35" s="13"/>
      <c r="C35" s="1"/>
      <c r="D35" s="1"/>
      <c r="E35" s="1"/>
      <c r="F35" s="1"/>
      <c r="G35" s="1"/>
      <c r="H35" s="2"/>
      <c r="I35" s="2"/>
      <c r="J35" s="2"/>
      <c r="K35" s="15"/>
      <c r="O35" s="29"/>
      <c r="P35" s="29"/>
    </row>
    <row r="36" spans="2:16">
      <c r="B36" s="13"/>
    </row>
    <row r="37" spans="2:16">
      <c r="B37" s="13"/>
    </row>
    <row r="40" spans="2:16">
      <c r="B40" s="13"/>
    </row>
  </sheetData>
  <mergeCells count="1">
    <mergeCell ref="B2:F2"/>
  </mergeCells>
  <pageMargins left="0.7" right="0.7" top="0.75" bottom="0.75" header="0.3" footer="0.3"/>
  <pageSetup scale="77" orientation="portrait" r:id="rId1"/>
  <colBreaks count="1" manualBreakCount="1">
    <brk id="6" max="32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FA6A86-1C66-4211-8C27-9BC5D9C2D0BC}">
  <dimension ref="E1:H155"/>
  <sheetViews>
    <sheetView zoomScale="145" zoomScaleNormal="145" workbookViewId="0">
      <selection activeCell="H8" sqref="H8"/>
    </sheetView>
  </sheetViews>
  <sheetFormatPr defaultRowHeight="15"/>
  <cols>
    <col min="4" max="4" width="33" bestFit="1" customWidth="1"/>
    <col min="5" max="5" width="3.28515625" customWidth="1"/>
    <col min="6" max="6" width="13.85546875" bestFit="1" customWidth="1"/>
    <col min="7" max="7" width="16.7109375" customWidth="1"/>
  </cols>
  <sheetData>
    <row r="1" spans="5:7" ht="15.75" thickBot="1"/>
    <row r="2" spans="5:7" ht="15.75" thickBot="1">
      <c r="E2" s="100" t="s">
        <v>239</v>
      </c>
      <c r="F2" s="101"/>
      <c r="G2" s="102"/>
    </row>
    <row r="3" spans="5:7">
      <c r="E3" s="31"/>
      <c r="F3" s="45"/>
      <c r="G3" s="32"/>
    </row>
    <row r="4" spans="5:7">
      <c r="E4" s="33"/>
      <c r="F4" s="24" t="s">
        <v>240</v>
      </c>
      <c r="G4" s="49" t="s">
        <v>241</v>
      </c>
    </row>
    <row r="5" spans="5:7">
      <c r="E5" s="33"/>
      <c r="G5" s="34"/>
    </row>
    <row r="6" spans="5:7">
      <c r="E6" s="46">
        <v>-1</v>
      </c>
      <c r="F6" t="s">
        <v>242</v>
      </c>
      <c r="G6" s="47">
        <v>0.40699999999999997</v>
      </c>
    </row>
    <row r="7" spans="5:7">
      <c r="E7" s="46">
        <v>-2</v>
      </c>
      <c r="F7" t="s">
        <v>243</v>
      </c>
      <c r="G7" s="48">
        <v>0.40699999999999997</v>
      </c>
    </row>
    <row r="8" spans="5:7">
      <c r="E8" s="50" t="s">
        <v>244</v>
      </c>
      <c r="G8" s="47">
        <f>SUM(G6:G7)</f>
        <v>0.81399999999999995</v>
      </c>
    </row>
    <row r="9" spans="5:7">
      <c r="E9" s="33"/>
      <c r="G9" s="34"/>
    </row>
    <row r="10" spans="5:7" ht="15.75" thickBot="1">
      <c r="E10" s="50" t="s">
        <v>245</v>
      </c>
      <c r="G10" s="51">
        <f>G7/G8</f>
        <v>0.5</v>
      </c>
    </row>
    <row r="11" spans="5:7" ht="44.25" customHeight="1">
      <c r="E11" s="103" t="s">
        <v>246</v>
      </c>
      <c r="F11" s="104"/>
      <c r="G11" s="105"/>
    </row>
    <row r="14" spans="5:7" ht="15.75" thickBot="1"/>
    <row r="15" spans="5:7" ht="15.75" thickBot="1">
      <c r="E15" s="100" t="s">
        <v>247</v>
      </c>
      <c r="F15" s="101"/>
      <c r="G15" s="102"/>
    </row>
    <row r="16" spans="5:7">
      <c r="E16" s="31"/>
      <c r="F16" s="45"/>
      <c r="G16" s="32"/>
    </row>
    <row r="17" spans="5:7">
      <c r="E17" s="33"/>
      <c r="F17" s="24" t="s">
        <v>240</v>
      </c>
      <c r="G17" s="49" t="s">
        <v>241</v>
      </c>
    </row>
    <row r="18" spans="5:7">
      <c r="E18" s="33"/>
      <c r="G18" s="34"/>
    </row>
    <row r="19" spans="5:7">
      <c r="E19" s="46">
        <v>-1</v>
      </c>
      <c r="F19" t="s">
        <v>242</v>
      </c>
      <c r="G19" s="47">
        <v>0.436</v>
      </c>
    </row>
    <row r="20" spans="5:7">
      <c r="E20" s="46">
        <v>-2</v>
      </c>
      <c r="F20" t="s">
        <v>248</v>
      </c>
      <c r="G20" s="47">
        <v>1.2E-2</v>
      </c>
    </row>
    <row r="21" spans="5:7">
      <c r="E21" s="46">
        <v>-3</v>
      </c>
      <c r="F21" t="s">
        <v>243</v>
      </c>
      <c r="G21" s="48">
        <v>0.40200000000000002</v>
      </c>
    </row>
    <row r="22" spans="5:7">
      <c r="E22" s="50" t="s">
        <v>249</v>
      </c>
      <c r="G22" s="47">
        <f>SUM(G19:G21)</f>
        <v>0.85000000000000009</v>
      </c>
    </row>
    <row r="23" spans="5:7">
      <c r="E23" s="33"/>
      <c r="G23" s="34"/>
    </row>
    <row r="24" spans="5:7" ht="15" customHeight="1" thickBot="1">
      <c r="E24" s="50" t="s">
        <v>250</v>
      </c>
      <c r="G24" s="51">
        <f>G21/G22</f>
        <v>0.4729411764705882</v>
      </c>
    </row>
    <row r="25" spans="5:7" ht="27.75" customHeight="1" thickTop="1" thickBot="1">
      <c r="E25" s="103" t="s">
        <v>251</v>
      </c>
      <c r="F25" s="104"/>
      <c r="G25" s="105"/>
    </row>
    <row r="32" spans="5:7" ht="15.75" thickBot="1"/>
    <row r="33" spans="5:7" ht="15.75" thickBot="1">
      <c r="E33" s="100" t="s">
        <v>252</v>
      </c>
      <c r="F33" s="101"/>
      <c r="G33" s="102"/>
    </row>
    <row r="34" spans="5:7">
      <c r="E34" s="31"/>
      <c r="F34" s="45"/>
      <c r="G34" s="32"/>
    </row>
    <row r="35" spans="5:7">
      <c r="E35" s="33"/>
      <c r="F35" s="24" t="s">
        <v>240</v>
      </c>
      <c r="G35" s="49" t="s">
        <v>241</v>
      </c>
    </row>
    <row r="36" spans="5:7">
      <c r="E36" s="33"/>
      <c r="G36" s="34"/>
    </row>
    <row r="37" spans="5:7">
      <c r="E37" s="46">
        <v>-1</v>
      </c>
      <c r="F37" t="s">
        <v>242</v>
      </c>
      <c r="G37" s="47">
        <v>0.41170000000000001</v>
      </c>
    </row>
    <row r="38" spans="5:7">
      <c r="E38" s="46">
        <v>-2</v>
      </c>
      <c r="F38" t="s">
        <v>243</v>
      </c>
      <c r="G38" s="48">
        <v>0.37940000000000002</v>
      </c>
    </row>
    <row r="39" spans="5:7">
      <c r="E39" s="50" t="s">
        <v>244</v>
      </c>
      <c r="G39" s="47">
        <f>SUM(G37:G38)</f>
        <v>0.79110000000000003</v>
      </c>
    </row>
    <row r="40" spans="5:7">
      <c r="E40" s="33"/>
      <c r="G40" s="34"/>
    </row>
    <row r="41" spans="5:7" ht="15.75" thickBot="1">
      <c r="E41" s="50" t="s">
        <v>245</v>
      </c>
      <c r="G41" s="51">
        <f>G38/G39</f>
        <v>0.47958538743521678</v>
      </c>
    </row>
    <row r="42" spans="5:7" ht="28.5" customHeight="1">
      <c r="E42" s="109" t="s">
        <v>232</v>
      </c>
      <c r="F42" s="110"/>
      <c r="G42" s="111"/>
    </row>
    <row r="44" spans="5:7" ht="15.75" thickBot="1"/>
    <row r="45" spans="5:7" ht="15.75" thickBot="1">
      <c r="E45" s="100" t="s">
        <v>179</v>
      </c>
      <c r="F45" s="101"/>
      <c r="G45" s="102"/>
    </row>
    <row r="46" spans="5:7">
      <c r="E46" s="31"/>
      <c r="F46" s="45"/>
      <c r="G46" s="32"/>
    </row>
    <row r="47" spans="5:7">
      <c r="E47" s="33"/>
      <c r="F47" s="24" t="s">
        <v>240</v>
      </c>
      <c r="G47" s="49" t="s">
        <v>241</v>
      </c>
    </row>
    <row r="48" spans="5:7">
      <c r="E48" s="33"/>
      <c r="G48" s="34"/>
    </row>
    <row r="49" spans="5:7">
      <c r="E49" s="46">
        <v>-1</v>
      </c>
      <c r="F49" t="s">
        <v>242</v>
      </c>
      <c r="G49" s="47">
        <v>0.3609</v>
      </c>
    </row>
    <row r="50" spans="5:7">
      <c r="E50" s="46">
        <v>-2</v>
      </c>
      <c r="F50" t="s">
        <v>248</v>
      </c>
      <c r="G50" s="47">
        <v>3.8399999999999997E-2</v>
      </c>
    </row>
    <row r="51" spans="5:7">
      <c r="E51" s="46">
        <v>-3</v>
      </c>
      <c r="F51" t="s">
        <v>243</v>
      </c>
      <c r="G51" s="48">
        <v>0.46879999999999999</v>
      </c>
    </row>
    <row r="52" spans="5:7">
      <c r="E52" s="50" t="s">
        <v>249</v>
      </c>
      <c r="G52" s="47">
        <f>SUM(G49:G51)</f>
        <v>0.86809999999999998</v>
      </c>
    </row>
    <row r="53" spans="5:7">
      <c r="E53" s="33"/>
      <c r="G53" s="34"/>
    </row>
    <row r="54" spans="5:7" ht="15.75" thickBot="1">
      <c r="E54" s="50" t="s">
        <v>250</v>
      </c>
      <c r="G54" s="51">
        <f>G51/G52</f>
        <v>0.54002995046653612</v>
      </c>
    </row>
    <row r="55" spans="5:7" ht="29.25" customHeight="1">
      <c r="E55" s="103" t="s">
        <v>253</v>
      </c>
      <c r="F55" s="104"/>
      <c r="G55" s="105"/>
    </row>
    <row r="65" spans="5:7" ht="15.75" thickBot="1"/>
    <row r="66" spans="5:7" ht="15.75" thickBot="1">
      <c r="E66" s="100" t="s">
        <v>254</v>
      </c>
      <c r="F66" s="101"/>
      <c r="G66" s="102"/>
    </row>
    <row r="67" spans="5:7">
      <c r="E67" s="31"/>
      <c r="F67" s="45"/>
      <c r="G67" s="32"/>
    </row>
    <row r="68" spans="5:7">
      <c r="E68" s="33"/>
      <c r="F68" s="24" t="s">
        <v>240</v>
      </c>
      <c r="G68" s="49" t="s">
        <v>241</v>
      </c>
    </row>
    <row r="69" spans="5:7">
      <c r="E69" s="33"/>
      <c r="G69" s="34"/>
    </row>
    <row r="70" spans="5:7">
      <c r="E70" s="46">
        <v>-1</v>
      </c>
      <c r="F70" t="s">
        <v>242</v>
      </c>
      <c r="G70" s="47">
        <v>0.39290000000000003</v>
      </c>
    </row>
    <row r="71" spans="5:7">
      <c r="E71" s="46">
        <v>-2</v>
      </c>
      <c r="F71" t="s">
        <v>248</v>
      </c>
      <c r="G71" s="47">
        <v>2.1499999999999998E-2</v>
      </c>
    </row>
    <row r="72" spans="5:7">
      <c r="E72" s="46">
        <v>-3</v>
      </c>
      <c r="F72" t="s">
        <v>243</v>
      </c>
      <c r="G72" s="48">
        <v>0.33279999999999998</v>
      </c>
    </row>
    <row r="73" spans="5:7">
      <c r="E73" s="50" t="s">
        <v>249</v>
      </c>
      <c r="G73" s="47">
        <f>SUM(G70:G72)</f>
        <v>0.74720000000000009</v>
      </c>
    </row>
    <row r="74" spans="5:7">
      <c r="E74" s="33"/>
      <c r="G74" s="34"/>
    </row>
    <row r="75" spans="5:7" ht="15.75" thickBot="1">
      <c r="E75" s="50" t="s">
        <v>250</v>
      </c>
      <c r="G75" s="51">
        <f>G72/G73</f>
        <v>0.44539614561027829</v>
      </c>
    </row>
    <row r="76" spans="5:7" ht="36" customHeight="1" thickTop="1" thickBot="1">
      <c r="E76" s="103" t="s">
        <v>255</v>
      </c>
      <c r="F76" s="104"/>
      <c r="G76" s="105"/>
    </row>
    <row r="88" spans="5:8">
      <c r="E88" s="106" t="s">
        <v>107</v>
      </c>
      <c r="F88" s="107"/>
      <c r="G88" s="108"/>
      <c r="H88" s="21"/>
    </row>
    <row r="89" spans="5:8">
      <c r="E89" s="52">
        <v>-1</v>
      </c>
      <c r="F89" s="53" t="s">
        <v>243</v>
      </c>
      <c r="G89" s="54">
        <v>0.53</v>
      </c>
    </row>
    <row r="107" spans="5:7" ht="15.75" thickBot="1"/>
    <row r="108" spans="5:7" ht="15.75" thickBot="1">
      <c r="E108" s="100" t="s">
        <v>256</v>
      </c>
      <c r="F108" s="101"/>
      <c r="G108" s="102"/>
    </row>
    <row r="109" spans="5:7">
      <c r="E109" s="31"/>
      <c r="F109" s="45"/>
      <c r="G109" s="32"/>
    </row>
    <row r="110" spans="5:7">
      <c r="E110" s="33"/>
      <c r="F110" s="24" t="s">
        <v>240</v>
      </c>
      <c r="G110" s="49" t="s">
        <v>241</v>
      </c>
    </row>
    <row r="111" spans="5:7">
      <c r="E111" s="33"/>
      <c r="G111" s="34"/>
    </row>
    <row r="112" spans="5:7">
      <c r="E112" s="46">
        <v>-1</v>
      </c>
      <c r="F112" t="s">
        <v>242</v>
      </c>
      <c r="G112" s="47">
        <v>0.37459999999999999</v>
      </c>
    </row>
    <row r="113" spans="5:7">
      <c r="E113" s="46">
        <v>-2</v>
      </c>
      <c r="F113" t="s">
        <v>243</v>
      </c>
      <c r="G113" s="48">
        <v>0.42330000000000001</v>
      </c>
    </row>
    <row r="114" spans="5:7">
      <c r="E114" s="50" t="s">
        <v>244</v>
      </c>
      <c r="G114" s="47">
        <f>SUM(G112:G113)</f>
        <v>0.79790000000000005</v>
      </c>
    </row>
    <row r="115" spans="5:7">
      <c r="E115" s="33"/>
      <c r="G115" s="34"/>
    </row>
    <row r="116" spans="5:7" ht="15.75" thickBot="1">
      <c r="E116" s="50" t="s">
        <v>245</v>
      </c>
      <c r="G116" s="51">
        <f>G113/G114</f>
        <v>0.53051760872289755</v>
      </c>
    </row>
    <row r="117" spans="5:7" ht="29.25" customHeight="1">
      <c r="E117" s="103" t="s">
        <v>257</v>
      </c>
      <c r="F117" s="104"/>
      <c r="G117" s="105"/>
    </row>
    <row r="145" spans="5:7">
      <c r="E145" s="100" t="s">
        <v>177</v>
      </c>
      <c r="F145" s="101"/>
      <c r="G145" s="102"/>
    </row>
    <row r="146" spans="5:7">
      <c r="E146" s="31"/>
      <c r="F146" s="45"/>
      <c r="G146" s="32"/>
    </row>
    <row r="147" spans="5:7">
      <c r="E147" s="33"/>
      <c r="F147" s="24" t="s">
        <v>240</v>
      </c>
      <c r="G147" s="49" t="s">
        <v>241</v>
      </c>
    </row>
    <row r="148" spans="5:7">
      <c r="E148" s="33"/>
      <c r="G148" s="34"/>
    </row>
    <row r="149" spans="5:7">
      <c r="E149" s="46">
        <v>-1</v>
      </c>
      <c r="F149" t="s">
        <v>242</v>
      </c>
      <c r="G149" s="47">
        <v>0.41420000000000001</v>
      </c>
    </row>
    <row r="150" spans="5:7">
      <c r="E150" s="46">
        <v>-2</v>
      </c>
      <c r="F150" t="s">
        <v>248</v>
      </c>
      <c r="G150" s="47">
        <v>2.7799999999999998E-2</v>
      </c>
    </row>
    <row r="151" spans="5:7">
      <c r="E151" s="46">
        <v>-3</v>
      </c>
      <c r="F151" t="s">
        <v>243</v>
      </c>
      <c r="G151" s="48">
        <v>0.3453</v>
      </c>
    </row>
    <row r="152" spans="5:7">
      <c r="E152" s="50" t="s">
        <v>249</v>
      </c>
      <c r="G152" s="47">
        <f>SUM(G149:G151)</f>
        <v>0.7873</v>
      </c>
    </row>
    <row r="153" spans="5:7">
      <c r="E153" s="33"/>
      <c r="G153" s="34"/>
    </row>
    <row r="154" spans="5:7">
      <c r="E154" s="50" t="s">
        <v>250</v>
      </c>
      <c r="G154" s="51">
        <f>G151/G152</f>
        <v>0.43858757779753588</v>
      </c>
    </row>
    <row r="155" spans="5:7" ht="44.25" customHeight="1">
      <c r="E155" s="103" t="s">
        <v>258</v>
      </c>
      <c r="F155" s="104"/>
      <c r="G155" s="105"/>
    </row>
  </sheetData>
  <mergeCells count="15">
    <mergeCell ref="E2:G2"/>
    <mergeCell ref="E11:G11"/>
    <mergeCell ref="E76:G76"/>
    <mergeCell ref="E15:G15"/>
    <mergeCell ref="E25:G25"/>
    <mergeCell ref="E33:G33"/>
    <mergeCell ref="E45:G45"/>
    <mergeCell ref="E42:G42"/>
    <mergeCell ref="E55:G55"/>
    <mergeCell ref="E66:G66"/>
    <mergeCell ref="E145:G145"/>
    <mergeCell ref="E155:G155"/>
    <mergeCell ref="E108:G108"/>
    <mergeCell ref="E117:G117"/>
    <mergeCell ref="E88:G88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909a1fe-d543-41d5-a7bd-5a24856ec748" xsi:nil="true"/>
    <lcf76f155ced4ddcb4097134ff3c332f xmlns="3c32e2f1-9b83-4e10-818f-dddacb8781b0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AA12F0ED7FFD14AB5FE172055022F86" ma:contentTypeVersion="11" ma:contentTypeDescription="Create a new document." ma:contentTypeScope="" ma:versionID="629d2fd901fa090042dc70e91cd54354">
  <xsd:schema xmlns:xsd="http://www.w3.org/2001/XMLSchema" xmlns:xs="http://www.w3.org/2001/XMLSchema" xmlns:p="http://schemas.microsoft.com/office/2006/metadata/properties" xmlns:ns2="3c32e2f1-9b83-4e10-818f-dddacb8781b0" xmlns:ns3="9909a1fe-d543-41d5-a7bd-5a24856ec748" targetNamespace="http://schemas.microsoft.com/office/2006/metadata/properties" ma:root="true" ma:fieldsID="a5993e025ec559fafdcb103b85ce19b7" ns2:_="" ns3:_="">
    <xsd:import namespace="3c32e2f1-9b83-4e10-818f-dddacb8781b0"/>
    <xsd:import namespace="9909a1fe-d543-41d5-a7bd-5a24856ec74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32e2f1-9b83-4e10-818f-dddacb8781b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99835351-e7e6-449a-a226-ed0f36744de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09a1fe-d543-41d5-a7bd-5a24856ec748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c8ad76bb-071d-4cee-8557-0b0a240fd8f7}" ma:internalName="TaxCatchAll" ma:showField="CatchAllData" ma:web="9909a1fe-d543-41d5-a7bd-5a24856ec7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9C93342-D747-4832-AE83-1F6B2D743AC6}"/>
</file>

<file path=customXml/itemProps2.xml><?xml version="1.0" encoding="utf-8"?>
<ds:datastoreItem xmlns:ds="http://schemas.openxmlformats.org/officeDocument/2006/customXml" ds:itemID="{99F69E6E-8599-4D76-BAEF-58490B656592}"/>
</file>

<file path=customXml/itemProps3.xml><?xml version="1.0" encoding="utf-8"?>
<ds:datastoreItem xmlns:ds="http://schemas.openxmlformats.org/officeDocument/2006/customXml" ds:itemID="{10494167-EBE2-4344-8B42-BF478DB071F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Nolan Souza</dc:creator>
  <cp:keywords/>
  <dc:description/>
  <cp:lastModifiedBy>Herman Mo</cp:lastModifiedBy>
  <cp:revision/>
  <dcterms:created xsi:type="dcterms:W3CDTF">2025-05-28T17:50:04Z</dcterms:created>
  <dcterms:modified xsi:type="dcterms:W3CDTF">2026-04-22T04:26:36Z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0x0101006AA12F0ED7FFD14AB5FE172055022F86</vt:lpwstr>
  </property>
  <property fmtid="{D5CDD505-2E9C-101B-9397-08002B2CF9AE}" pid="3" name="{A44787D4-0540-4523-9961-78E4036D8C6D}">
    <vt:lpwstr>{E66B9AA5-D2DA-4538-992B-EE0259FEE51D}</vt:lpwstr>
  </property>
  <property fmtid="{D5CDD505-2E9C-101B-9397-08002B2CF9AE}" pid="4" name="Industry_x0020_Segment">
    <vt:lpwstr/>
  </property>
  <property fmtid="{D5CDD505-2E9C-101B-9397-08002B2CF9AE}" pid="5" name="Practice Areas and Services Provided">
    <vt:lpwstr/>
  </property>
  <property fmtid="{D5CDD505-2E9C-101B-9397-08002B2CF9AE}" pid="6" name="Practice_x0020_Areas_x0020_and_x0020_Services_x0020_Provided">
    <vt:lpwstr/>
  </property>
  <property fmtid="{D5CDD505-2E9C-101B-9397-08002B2CF9AE}" pid="7" name="Industry Segment">
    <vt:lpwstr/>
  </property>
  <property fmtid="{D5CDD505-2E9C-101B-9397-08002B2CF9AE}" pid="8" name="MediaServiceImageTags">
    <vt:lpwstr/>
  </property>
  <property fmtid="{D5CDD505-2E9C-101B-9397-08002B2CF9AE}" pid="9" name="Engagement_x0020_Type">
    <vt:lpwstr/>
  </property>
  <property fmtid="{D5CDD505-2E9C-101B-9397-08002B2CF9AE}" pid="10" name="Engagement Type">
    <vt:lpwstr/>
  </property>
</Properties>
</file>