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883A6B1E-5D3D-481F-B16D-2E1662470283}" xr6:coauthVersionLast="47" xr6:coauthVersionMax="47" xr10:uidLastSave="{00000000-0000-0000-0000-000000000000}"/>
  <bookViews>
    <workbookView xWindow="-110" yWindow="-110" windowWidth="19420" windowHeight="10300" firstSheet="5" activeTab="5" xr2:uid="{7B9D1B68-C852-4A66-A79F-1119AE229824}"/>
  </bookViews>
  <sheets>
    <sheet name="Electrical Rates" sheetId="2" r:id="rId1"/>
    <sheet name="Gas Rates" sheetId="3" r:id="rId2"/>
    <sheet name="Heating Demands" sheetId="4" r:id="rId3"/>
    <sheet name="HRS Table" sheetId="1" r:id="rId4"/>
    <sheet name="Sarnia Table" sheetId="7" r:id="rId5"/>
    <sheet name="Pruning Table " sheetId="5" r:id="rId6"/>
  </sheets>
  <externalReferences>
    <externalReference r:id="rId7"/>
  </externalReferences>
  <definedNames>
    <definedName name="Class">'[1]Electrical Select'!$C$4</definedName>
    <definedName name="ElectricalDate">'[1]Electrical Select'!$D$4</definedName>
    <definedName name="ElecUtility">'[1]Electrical Select'!$B$4</definedName>
    <definedName name="GasDate">'[1]Gas Select'!$D$4</definedName>
    <definedName name="GasTier1">'[1]Gas Select'!$C$10</definedName>
    <definedName name="GasTier2">'[1]Gas Select'!$C$11</definedName>
    <definedName name="GasTier3">'[1]Gas Select'!$C$12</definedName>
    <definedName name="GasTier4">'[1]Gas Select'!$C$13</definedName>
    <definedName name="GasTier5">'[1]Gas Select'!$C$14</definedName>
    <definedName name="GasTierSelected">'[1]Gas Select'!$C$8</definedName>
    <definedName name="GasUtility">'[1]Gas Select'!$B$4</definedName>
    <definedName name="GasUtiliyRegion">'[1]Gas Select'!$C$4</definedName>
    <definedName name="HHVManual">'[1]Gas Select'!$C$17</definedName>
    <definedName name="HHVSelect">'[1]Gas Select'!$C$16</definedName>
    <definedName name="TOU_Mid_Manual">'[1]Electrical Select'!$C$10</definedName>
    <definedName name="TOU_Off_Manual">'[1]Electrical Select'!$C$11</definedName>
    <definedName name="TOU_On_Manual">'[1]Electrical Select'!$C$9</definedName>
    <definedName name="TOUSelected">'[1]Electrical Select'!$C$7</definedName>
    <definedName name="Utility">'[1]Electrical Select'!$B$4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7" l="1"/>
  <c r="I3" i="1"/>
  <c r="N65" i="3"/>
  <c r="K72" i="3"/>
  <c r="L72" i="3" s="1"/>
  <c r="K71" i="3"/>
  <c r="K69" i="3"/>
  <c r="N66" i="3"/>
  <c r="N67" i="3" s="1"/>
  <c r="N61" i="3"/>
  <c r="N60" i="3"/>
  <c r="N59" i="3"/>
  <c r="N51" i="3"/>
  <c r="N50" i="3"/>
  <c r="I3" i="5" l="1"/>
  <c r="I2" i="5"/>
  <c r="I2" i="1"/>
  <c r="I2" i="7"/>
  <c r="G12" i="7"/>
  <c r="I12" i="7" s="1"/>
  <c r="C12" i="7"/>
  <c r="B12" i="7"/>
  <c r="G11" i="7"/>
  <c r="I11" i="7" s="1"/>
  <c r="C11" i="7"/>
  <c r="G10" i="7"/>
  <c r="B10" i="7" s="1"/>
  <c r="C10" i="7"/>
  <c r="G9" i="7"/>
  <c r="I9" i="7" s="1"/>
  <c r="C9" i="7"/>
  <c r="G8" i="7"/>
  <c r="I8" i="7" s="1"/>
  <c r="C8" i="7"/>
  <c r="I5" i="7"/>
  <c r="B61" i="4"/>
  <c r="I12" i="5"/>
  <c r="L12" i="5" s="1"/>
  <c r="G12" i="5"/>
  <c r="B12" i="5" s="1"/>
  <c r="C12" i="5"/>
  <c r="G11" i="5"/>
  <c r="I11" i="5" s="1"/>
  <c r="C11" i="5"/>
  <c r="G10" i="5"/>
  <c r="B10" i="5" s="1"/>
  <c r="C10" i="5"/>
  <c r="G9" i="5"/>
  <c r="I9" i="5" s="1"/>
  <c r="C9" i="5"/>
  <c r="G8" i="5"/>
  <c r="I8" i="5" s="1"/>
  <c r="C8" i="5"/>
  <c r="I5" i="5"/>
  <c r="J5" i="5"/>
  <c r="J5" i="7" l="1"/>
  <c r="B9" i="7"/>
  <c r="I10" i="7"/>
  <c r="D10" i="7" s="1"/>
  <c r="D8" i="7"/>
  <c r="J8" i="7"/>
  <c r="E8" i="7" s="1"/>
  <c r="D9" i="7"/>
  <c r="J9" i="7"/>
  <c r="E9" i="7" s="1"/>
  <c r="L11" i="7"/>
  <c r="D11" i="7" s="1"/>
  <c r="J11" i="7"/>
  <c r="L12" i="7"/>
  <c r="D12" i="7" s="1"/>
  <c r="J12" i="7"/>
  <c r="B8" i="7"/>
  <c r="B11" i="7"/>
  <c r="J10" i="7"/>
  <c r="E10" i="7" s="1"/>
  <c r="J11" i="5"/>
  <c r="J12" i="5"/>
  <c r="I10" i="5"/>
  <c r="D10" i="5" s="1"/>
  <c r="D12" i="5"/>
  <c r="L11" i="5"/>
  <c r="D11" i="5" s="1"/>
  <c r="D9" i="5"/>
  <c r="J9" i="5"/>
  <c r="E9" i="5" s="1"/>
  <c r="J8" i="5"/>
  <c r="E8" i="5" s="1"/>
  <c r="D8" i="5"/>
  <c r="B11" i="5"/>
  <c r="B8" i="5"/>
  <c r="B9" i="5"/>
  <c r="K12" i="7" l="1"/>
  <c r="E12" i="7"/>
  <c r="K11" i="7"/>
  <c r="E11" i="7"/>
  <c r="J10" i="5"/>
  <c r="E10" i="5" s="1"/>
  <c r="K11" i="5"/>
  <c r="E11" i="5"/>
  <c r="K12" i="5"/>
  <c r="E12" i="5"/>
  <c r="B30" i="3" l="1"/>
  <c r="B29" i="3"/>
  <c r="F50" i="2"/>
  <c r="F49" i="2"/>
  <c r="F48" i="2"/>
  <c r="F44" i="2"/>
  <c r="F41" i="2"/>
  <c r="F40" i="2"/>
  <c r="F39" i="2"/>
  <c r="C8" i="1"/>
  <c r="C9" i="1"/>
  <c r="C10" i="1"/>
  <c r="C7" i="1"/>
  <c r="F51" i="2" l="1"/>
  <c r="F52" i="2" s="1"/>
  <c r="AA38" i="3" l="1"/>
  <c r="B27" i="3"/>
  <c r="C30" i="3" s="1"/>
  <c r="B36" i="4"/>
  <c r="A5" i="4"/>
  <c r="A8" i="4"/>
  <c r="E7" i="3"/>
  <c r="E16" i="3"/>
  <c r="E17" i="3"/>
  <c r="E18" i="3"/>
  <c r="E6" i="3"/>
  <c r="F12" i="2"/>
  <c r="F13" i="2"/>
  <c r="F14" i="2"/>
  <c r="F16" i="2"/>
  <c r="F17" i="2"/>
  <c r="F18" i="2"/>
  <c r="F20" i="2"/>
  <c r="F23" i="2" s="1"/>
  <c r="F24" i="2" s="1"/>
  <c r="F11" i="2"/>
  <c r="D22" i="2"/>
  <c r="F22" i="2" s="1"/>
  <c r="D21" i="2"/>
  <c r="F21" i="2" s="1"/>
  <c r="D20" i="2"/>
  <c r="A10" i="4" l="1"/>
  <c r="A14" i="4" s="1"/>
  <c r="A15" i="4" s="1"/>
  <c r="B63" i="4" s="1"/>
  <c r="B64" i="4" s="1"/>
  <c r="B38" i="4" l="1"/>
  <c r="B39" i="4" s="1"/>
  <c r="G10" i="1"/>
  <c r="I10" i="1" s="1"/>
  <c r="G9" i="1"/>
  <c r="I9" i="1" s="1"/>
  <c r="G8" i="1"/>
  <c r="B8" i="1" s="1"/>
  <c r="G7" i="1"/>
  <c r="I7" i="1" s="1"/>
  <c r="I5" i="1"/>
  <c r="B7" i="1" l="1"/>
  <c r="B10" i="1"/>
  <c r="J5" i="1"/>
  <c r="I8" i="1"/>
  <c r="D8" i="1" s="1"/>
  <c r="J7" i="1"/>
  <c r="E7" i="1" s="1"/>
  <c r="D7" i="1"/>
  <c r="L9" i="1"/>
  <c r="D9" i="1" s="1"/>
  <c r="J9" i="1"/>
  <c r="L10" i="1"/>
  <c r="D10" i="1" s="1"/>
  <c r="J10" i="1"/>
  <c r="J8" i="1"/>
  <c r="E8" i="1" s="1"/>
  <c r="B9" i="1"/>
  <c r="K10" i="1" l="1"/>
  <c r="E10" i="1"/>
  <c r="K9" i="1"/>
  <c r="E9" i="1"/>
  <c r="O39" i="3" l="1"/>
  <c r="O40" i="3" s="1"/>
  <c r="P39" i="3"/>
  <c r="W39" i="3"/>
  <c r="W40" i="3" s="1"/>
  <c r="X40" i="3" s="1"/>
  <c r="X39" i="3"/>
  <c r="G39" i="3"/>
  <c r="G40" i="3" s="1"/>
  <c r="Q39" i="3"/>
  <c r="Q40" i="3" s="1"/>
  <c r="R39" i="3"/>
  <c r="Y39" i="3"/>
  <c r="Z39" i="3" s="1"/>
  <c r="Y40" i="3"/>
  <c r="Z40" i="3" s="1"/>
  <c r="M39" i="3"/>
  <c r="N39" i="3" s="1"/>
  <c r="M40" i="3"/>
  <c r="N40" i="3" s="1"/>
  <c r="S39" i="3"/>
  <c r="S40" i="3" s="1"/>
  <c r="S41" i="3" s="1"/>
  <c r="T39" i="3"/>
  <c r="K39" i="3"/>
  <c r="K40" i="3" s="1"/>
  <c r="E39" i="3"/>
  <c r="F39" i="3" s="1"/>
  <c r="I39" i="3"/>
  <c r="J39" i="3" s="1"/>
  <c r="U39" i="3"/>
  <c r="V39" i="3" s="1"/>
  <c r="C39" i="3"/>
  <c r="C40" i="3" s="1"/>
  <c r="I40" i="3" l="1"/>
  <c r="D39" i="3"/>
  <c r="Y41" i="3"/>
  <c r="Y42" i="3" s="1"/>
  <c r="Z42" i="3" s="1"/>
  <c r="U40" i="3"/>
  <c r="Q41" i="3"/>
  <c r="R40" i="3"/>
  <c r="Z41" i="3"/>
  <c r="L39" i="3"/>
  <c r="H39" i="3"/>
  <c r="L40" i="3"/>
  <c r="K41" i="3"/>
  <c r="R41" i="3"/>
  <c r="Q42" i="3"/>
  <c r="R42" i="3" s="1"/>
  <c r="E40" i="3"/>
  <c r="W41" i="3"/>
  <c r="AA39" i="3"/>
  <c r="AB39" i="3" s="1"/>
  <c r="D11" i="3" s="1"/>
  <c r="E11" i="3" s="1"/>
  <c r="G41" i="3"/>
  <c r="H40" i="3"/>
  <c r="S42" i="3"/>
  <c r="T42" i="3" s="1"/>
  <c r="T41" i="3"/>
  <c r="C41" i="3"/>
  <c r="D40" i="3"/>
  <c r="P40" i="3"/>
  <c r="O41" i="3"/>
  <c r="T40" i="3"/>
  <c r="M41" i="3"/>
  <c r="I41" i="3" l="1"/>
  <c r="J40" i="3"/>
  <c r="U41" i="3"/>
  <c r="V40" i="3"/>
  <c r="W42" i="3"/>
  <c r="X42" i="3" s="1"/>
  <c r="X41" i="3"/>
  <c r="E41" i="3"/>
  <c r="F40" i="3"/>
  <c r="K42" i="3"/>
  <c r="L42" i="3" s="1"/>
  <c r="L41" i="3"/>
  <c r="M42" i="3"/>
  <c r="N42" i="3" s="1"/>
  <c r="N41" i="3"/>
  <c r="P41" i="3"/>
  <c r="O42" i="3"/>
  <c r="P42" i="3" s="1"/>
  <c r="C42" i="3"/>
  <c r="D42" i="3" s="1"/>
  <c r="D41" i="3"/>
  <c r="G42" i="3"/>
  <c r="H42" i="3" s="1"/>
  <c r="H41" i="3"/>
  <c r="AA40" i="3"/>
  <c r="AB40" i="3" s="1"/>
  <c r="I42" i="3" l="1"/>
  <c r="J42" i="3" s="1"/>
  <c r="J41" i="3"/>
  <c r="V41" i="3"/>
  <c r="U42" i="3"/>
  <c r="V42" i="3" s="1"/>
  <c r="D12" i="3"/>
  <c r="E12" i="3" s="1"/>
  <c r="E42" i="3"/>
  <c r="F42" i="3" s="1"/>
  <c r="AA42" i="3" s="1"/>
  <c r="AB42" i="3" s="1"/>
  <c r="D14" i="3" s="1"/>
  <c r="E14" i="3" s="1"/>
  <c r="F41" i="3"/>
  <c r="AA41" i="3" s="1"/>
  <c r="AB41" i="3" s="1"/>
  <c r="D13" i="3" s="1"/>
  <c r="E13" i="3" s="1"/>
  <c r="E19" i="3" l="1"/>
  <c r="E23" i="3" s="1"/>
  <c r="E24" i="3" s="1"/>
  <c r="E25" i="3" s="1"/>
  <c r="O78" i="3" l="1"/>
  <c r="P78" i="3" s="1"/>
  <c r="S78" i="3"/>
  <c r="S79" i="3" s="1"/>
  <c r="G78" i="3"/>
  <c r="H78" i="3" s="1"/>
  <c r="K78" i="3"/>
  <c r="K79" i="3" s="1"/>
  <c r="L79" i="3" s="1"/>
  <c r="E78" i="3"/>
  <c r="E79" i="3" s="1"/>
  <c r="Y78" i="3"/>
  <c r="Z78" i="3" s="1"/>
  <c r="M78" i="3"/>
  <c r="M79" i="3" s="1"/>
  <c r="U78" i="3"/>
  <c r="U79" i="3" s="1"/>
  <c r="I78" i="3"/>
  <c r="J78" i="3" s="1"/>
  <c r="I79" i="3"/>
  <c r="I80" i="3" s="1"/>
  <c r="J80" i="3" s="1"/>
  <c r="C78" i="3"/>
  <c r="D78" i="3" s="1"/>
  <c r="W78" i="3"/>
  <c r="X78" i="3" s="1"/>
  <c r="Q78" i="3"/>
  <c r="R78" i="3" s="1"/>
  <c r="L78" i="3" l="1"/>
  <c r="Y79" i="3"/>
  <c r="F78" i="3"/>
  <c r="T78" i="3"/>
  <c r="C79" i="3"/>
  <c r="Q79" i="3"/>
  <c r="W79" i="3"/>
  <c r="X79" i="3" s="1"/>
  <c r="G79" i="3"/>
  <c r="O79" i="3"/>
  <c r="M80" i="3"/>
  <c r="N80" i="3" s="1"/>
  <c r="N79" i="3"/>
  <c r="F79" i="3"/>
  <c r="E80" i="3"/>
  <c r="F80" i="3" s="1"/>
  <c r="U80" i="3"/>
  <c r="V80" i="3" s="1"/>
  <c r="V79" i="3"/>
  <c r="S80" i="3"/>
  <c r="T80" i="3" s="1"/>
  <c r="T79" i="3"/>
  <c r="J79" i="3"/>
  <c r="V78" i="3"/>
  <c r="K80" i="3"/>
  <c r="L80" i="3" s="1"/>
  <c r="N78" i="3"/>
  <c r="AA78" i="3" l="1"/>
  <c r="W80" i="3"/>
  <c r="X80" i="3" s="1"/>
  <c r="Z79" i="3"/>
  <c r="Y80" i="3"/>
  <c r="Z80" i="3" s="1"/>
  <c r="R79" i="3"/>
  <c r="Q80" i="3"/>
  <c r="R80" i="3" s="1"/>
  <c r="C80" i="3"/>
  <c r="D80" i="3" s="1"/>
  <c r="D79" i="3"/>
  <c r="O80" i="3"/>
  <c r="P80" i="3" s="1"/>
  <c r="P79" i="3"/>
  <c r="G80" i="3"/>
  <c r="H80" i="3" s="1"/>
  <c r="AA80" i="3" s="1"/>
  <c r="H79" i="3"/>
  <c r="AA79" i="3" s="1"/>
  <c r="AA81" i="3" l="1"/>
  <c r="AB78" i="3" s="1"/>
  <c r="M55" i="3" s="1"/>
  <c r="N55" i="3" s="1"/>
  <c r="AB79" i="3" l="1"/>
  <c r="M56" i="3" s="1"/>
  <c r="N56" i="3" s="1"/>
  <c r="AB80" i="3"/>
  <c r="M57" i="3" s="1"/>
  <c r="N57" i="3" s="1"/>
  <c r="AB81" i="3"/>
  <c r="N62" i="3" l="1"/>
</calcChain>
</file>

<file path=xl/sharedStrings.xml><?xml version="1.0" encoding="utf-8"?>
<sst xmlns="http://schemas.openxmlformats.org/spreadsheetml/2006/main" count="316" uniqueCount="165">
  <si>
    <t>Toronto Hydro</t>
  </si>
  <si>
    <t>https://www.rds.oeb.ca/CMWebDrawer/Record/925317/File/document</t>
  </si>
  <si>
    <t>https://www.torontohydro.com/for-home/rates</t>
  </si>
  <si>
    <t>Off-peak use</t>
  </si>
  <si>
    <t>Mid-peak use</t>
  </si>
  <si>
    <t>On-peak use</t>
  </si>
  <si>
    <t>Ontario Electricity Rebate</t>
  </si>
  <si>
    <t>Delivery Component (variable only)</t>
  </si>
  <si>
    <t>$/kWh</t>
  </si>
  <si>
    <t>Line Loss Factor (if applicable)</t>
  </si>
  <si>
    <t>TOU Distribution (if applicable)</t>
  </si>
  <si>
    <t>Effective rate ($/kWh)</t>
  </si>
  <si>
    <t>Rate Rider for Disposition of Deferral/Variance Accounts - effective until December 31, 2026</t>
  </si>
  <si>
    <t>Rate Rider for Disposition of Capacity Based Recovery Account - Applicable only for Class B Customers - effective until December 31, 2026</t>
  </si>
  <si>
    <t>Retail Transmission Rate - Network Service Rate</t>
  </si>
  <si>
    <t>Retail Transmission Rate - Line and Transformation Connection Service Rate</t>
  </si>
  <si>
    <t>Regulatory Component (variable only)</t>
  </si>
  <si>
    <t>Wholesale Market Service Rate (WMS) - not including CBR</t>
  </si>
  <si>
    <t>Capacity Based Recovery (CBR) - Applicable for Class B Customer</t>
  </si>
  <si>
    <t>Rural or Remote Electricity Rate Protection Charge (RRRP)</t>
  </si>
  <si>
    <t>Commodity Rates (TOU)</t>
  </si>
  <si>
    <t>Off-peak</t>
  </si>
  <si>
    <t>Mid-peak</t>
  </si>
  <si>
    <t>On-peak</t>
  </si>
  <si>
    <t>Subtotal variable cost of electricity</t>
  </si>
  <si>
    <t xml:space="preserve">Total variable cost of electricity w/OER </t>
  </si>
  <si>
    <t>Sarnia</t>
  </si>
  <si>
    <t>Bluewater Power</t>
  </si>
  <si>
    <t>https://bluewaterpower.com/customer-service/time-of-use-rates/</t>
  </si>
  <si>
    <t>Distribution Variable Charge</t>
  </si>
  <si>
    <t>Transmission Network Charge</t>
  </si>
  <si>
    <t>Transmission Connection Charge</t>
  </si>
  <si>
    <t>Regulatory</t>
  </si>
  <si>
    <t>Wholesale Market Service Charge</t>
  </si>
  <si>
    <t>Subtotal cost</t>
  </si>
  <si>
    <t xml:space="preserve">Total w/OER </t>
  </si>
  <si>
    <t>Enbridge Gas Distribution</t>
  </si>
  <si>
    <t>https://www.oeb.ca/sites/default/files/qram-enbridge-20260101-en.pdf</t>
  </si>
  <si>
    <t>$/m3</t>
  </si>
  <si>
    <t>Delivery Distribution (if applicable)</t>
  </si>
  <si>
    <t>Effective rate ($/m3)</t>
  </si>
  <si>
    <t>Gas Supply Charge</t>
  </si>
  <si>
    <t>Cost Adjustment</t>
  </si>
  <si>
    <t>Delivery</t>
  </si>
  <si>
    <t>First 30 cubic metres</t>
  </si>
  <si>
    <t>Next 55 m3</t>
  </si>
  <si>
    <t>Next 85 m3</t>
  </si>
  <si>
    <t>All over 170 m3</t>
  </si>
  <si>
    <t>Facility Carbon Charge (included in Delivery to Y</t>
  </si>
  <si>
    <t>Transportation to Enbridge</t>
  </si>
  <si>
    <t>Rate Adjustment (2023 Utility Earnings and Disposition of Deferral and Variance Account Clearance)</t>
  </si>
  <si>
    <t>Total</t>
  </si>
  <si>
    <t>Rounded</t>
  </si>
  <si>
    <t>Energy basis</t>
  </si>
  <si>
    <t>$/MJ</t>
  </si>
  <si>
    <t>https://apps.cer-rec.gc.ca/Conversion/conversion-tables.aspx</t>
  </si>
  <si>
    <t>Gas cost in $/kWh</t>
  </si>
  <si>
    <t>Natural gas energy content</t>
  </si>
  <si>
    <t>GJ/m3</t>
  </si>
  <si>
    <t>Mj/m3</t>
  </si>
  <si>
    <t>MJ/kWh</t>
  </si>
  <si>
    <t>Monthly sample usage from OEB</t>
  </si>
  <si>
    <t>Tiers</t>
  </si>
  <si>
    <t>Tier Amounts</t>
  </si>
  <si>
    <t>January</t>
  </si>
  <si>
    <t>Jan Tiered Gas</t>
  </si>
  <si>
    <t>February</t>
  </si>
  <si>
    <t>Feb Tiered Gas</t>
  </si>
  <si>
    <t>March</t>
  </si>
  <si>
    <t>Mar Tiered Gas</t>
  </si>
  <si>
    <t>April</t>
  </si>
  <si>
    <t>Tiered Gas Apr</t>
  </si>
  <si>
    <t>May</t>
  </si>
  <si>
    <t>Tiered Gas May</t>
  </si>
  <si>
    <t>June</t>
  </si>
  <si>
    <t>Tiered Gas Jun</t>
  </si>
  <si>
    <t>July</t>
  </si>
  <si>
    <t>Tiered Gas Jul</t>
  </si>
  <si>
    <t>August</t>
  </si>
  <si>
    <t>Tiered Gas Aug</t>
  </si>
  <si>
    <t>September</t>
  </si>
  <si>
    <t>Tiered Gas Sep</t>
  </si>
  <si>
    <t>October</t>
  </si>
  <si>
    <t>Tiered Gas Oct</t>
  </si>
  <si>
    <t>Novermber</t>
  </si>
  <si>
    <t xml:space="preserve">Tiered Gas Nov </t>
  </si>
  <si>
    <t>December</t>
  </si>
  <si>
    <t>Tiered Gas Dec</t>
  </si>
  <si>
    <t>Summed Tiers</t>
  </si>
  <si>
    <t>Tier Percent</t>
  </si>
  <si>
    <t>Union Gas South</t>
  </si>
  <si>
    <t>Delivery Distribtion (if applicable)</t>
  </si>
  <si>
    <t>Gas Commodity</t>
  </si>
  <si>
    <t>Gas Price Adjustment</t>
  </si>
  <si>
    <t>First 100 m3</t>
  </si>
  <si>
    <t>Next 150 m3</t>
  </si>
  <si>
    <t>All over 250 m3</t>
  </si>
  <si>
    <t>Union South</t>
  </si>
  <si>
    <t>Gas Used</t>
  </si>
  <si>
    <t>https://oee.nrcan.gc.ca/corporate/statistics/neud/dpa/showTable.cfm?type=CP&amp;sector=res&amp;juris=on&amp;rn=2&amp;page=0</t>
  </si>
  <si>
    <t>Ontario residential space heating energy usage</t>
  </si>
  <si>
    <t>PJ</t>
  </si>
  <si>
    <t>GJ</t>
  </si>
  <si>
    <t>Ontario residential households</t>
  </si>
  <si>
    <t>Households</t>
  </si>
  <si>
    <t>GJ/household</t>
  </si>
  <si>
    <t>kWh/household</t>
  </si>
  <si>
    <t>Average annual heating demand</t>
  </si>
  <si>
    <t>https://climate.weather.gc.ca/climate_normals/results_1991_2020_e.html?searchType=stnProv&amp;lstProvince=ON&amp;txtCentralLatMin=0&amp;txtCentralLatSec=0&amp;txtCentralLongMin=0&amp;txtCentralLongSec=0&amp;climate_id=6158350&amp;dispBack=0</t>
  </si>
  <si>
    <t>TORONTO (CITY)</t>
  </si>
  <si>
    <t>ONTARIO</t>
  </si>
  <si>
    <t>1991 to 2020 Canadian Climate Normals Data</t>
  </si>
  <si>
    <t>Degree Days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</si>
  <si>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</si>
  <si>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</si>
  <si>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</si>
  <si>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</si>
  <si>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</si>
  <si>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</si>
  <si>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</si>
  <si>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</si>
  <si>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</si>
  <si>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</si>
  <si>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</si>
  <si>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Year</t>
  </si>
  <si>
    <t>Above 24 °C</t>
  </si>
  <si>
    <t>Above 18 °C</t>
  </si>
  <si>
    <t>Above 15 °C</t>
  </si>
  <si>
    <t>Above 10 °C</t>
  </si>
  <si>
    <t>Above 5 °C</t>
  </si>
  <si>
    <t>Above 0 °C</t>
  </si>
  <si>
    <t>Below 0 °C</t>
  </si>
  <si>
    <t>Below 5 °C</t>
  </si>
  <si>
    <t>Below 10 °C</t>
  </si>
  <si>
    <t>Below 15 °C</t>
  </si>
  <si>
    <t>Below 18 °C</t>
  </si>
  <si>
    <t>January 18/15 Average</t>
  </si>
  <si>
    <t>January Heating Portion</t>
  </si>
  <si>
    <t>kWh</t>
  </si>
  <si>
    <t>https://climate.weather.gc.ca/climate_normals/results_1991_2020_e.html?searchType=stnName_1991&amp;txtStationName_1991=SARNIA&amp;searchMethod=contains&amp;txtCentralLatMin=0&amp;txtCentralLatSec=0&amp;txtCentralLongMin=0&amp;txtCentralLongSec=0&amp;climate_id=6127510&amp;dispBack=1</t>
  </si>
  <si>
    <t>SARNIA</t>
  </si>
  <si>
    <t>Code</t>
  </si>
  <si>
    <t>C</t>
  </si>
  <si>
    <t>Electricity cost ($/kWh)</t>
  </si>
  <si>
    <t>Energy demand (kWh)</t>
  </si>
  <si>
    <t>HRS Disclaimer</t>
  </si>
  <si>
    <t>Natural gas cost ($/m3)</t>
  </si>
  <si>
    <t>Column</t>
  </si>
  <si>
    <t>Natural gas energy content (MJ/m3)</t>
  </si>
  <si>
    <t>A</t>
  </si>
  <si>
    <t>B</t>
  </si>
  <si>
    <t>D</t>
  </si>
  <si>
    <t>E</t>
  </si>
  <si>
    <t>Natural gas cost ($/kWh)</t>
  </si>
  <si>
    <t>Variable price ratio including OER</t>
  </si>
  <si>
    <t>Equipment Type</t>
  </si>
  <si>
    <t>Heat Energy delivered to Home</t>
  </si>
  <si>
    <t>Equipment Efficiency</t>
  </si>
  <si>
    <t>Energy Consumed   (what you see on your utility bill)</t>
  </si>
  <si>
    <t>Energy Cost (energy used x energy costs)</t>
  </si>
  <si>
    <t>Electric Air Source Heat Pump</t>
  </si>
  <si>
    <t>High Efficiency Natural Gas Furnace</t>
  </si>
  <si>
    <t>Sarnia Saves Disclaimer</t>
  </si>
  <si>
    <t>Electric resistance heating</t>
  </si>
  <si>
    <t>System Pruning Disclaimer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</si>
</sst>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"/>
    <numFmt numFmtId="166" formatCode="0.0000"/>
    <numFmt numFmtId="167" formatCode="0.0000000"/>
    <numFmt numFmtId="168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466EB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164" fontId="2" fillId="2" borderId="1" xfId="3" applyNumberFormat="1"/>
    <xf numFmtId="165" fontId="2" fillId="2" borderId="1" xfId="3" applyNumberFormat="1"/>
    <xf numFmtId="166" fontId="0" fillId="0" borderId="0" xfId="0" applyNumberFormat="1"/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9" fontId="5" fillId="4" borderId="5" xfId="0" applyNumberFormat="1" applyFont="1" applyFill="1" applyBorder="1" applyAlignment="1">
      <alignment vertical="center" wrapText="1"/>
    </xf>
    <xf numFmtId="3" fontId="5" fillId="4" borderId="5" xfId="0" applyNumberFormat="1" applyFont="1" applyFill="1" applyBorder="1" applyAlignment="1">
      <alignment vertical="center" wrapText="1"/>
    </xf>
    <xf numFmtId="3" fontId="0" fillId="0" borderId="0" xfId="0" applyNumberFormat="1"/>
    <xf numFmtId="44" fontId="0" fillId="0" borderId="0" xfId="1" applyFont="1"/>
    <xf numFmtId="2" fontId="0" fillId="0" borderId="0" xfId="0" applyNumberFormat="1"/>
    <xf numFmtId="0" fontId="2" fillId="2" borderId="1" xfId="3"/>
    <xf numFmtId="0" fontId="3" fillId="0" borderId="0" xfId="0" applyFont="1"/>
    <xf numFmtId="9" fontId="0" fillId="0" borderId="0" xfId="2" applyFont="1"/>
    <xf numFmtId="168" fontId="0" fillId="0" borderId="0" xfId="2" applyNumberFormat="1" applyFont="1"/>
    <xf numFmtId="164" fontId="0" fillId="0" borderId="0" xfId="0" applyNumberFormat="1"/>
    <xf numFmtId="1" fontId="0" fillId="0" borderId="0" xfId="0" applyNumberFormat="1"/>
    <xf numFmtId="0" fontId="6" fillId="0" borderId="0" xfId="4"/>
    <xf numFmtId="0" fontId="4" fillId="3" borderId="5" xfId="0" applyFont="1" applyFill="1" applyBorder="1" applyAlignment="1">
      <alignment vertical="center" wrapText="1"/>
    </xf>
    <xf numFmtId="168" fontId="5" fillId="4" borderId="5" xfId="0" applyNumberFormat="1" applyFont="1" applyFill="1" applyBorder="1" applyAlignment="1">
      <alignment vertical="center" wrapText="1"/>
    </xf>
    <xf numFmtId="0" fontId="7" fillId="0" borderId="6" xfId="0" applyFont="1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0" xfId="0" applyAlignment="1">
      <alignment wrapText="1"/>
    </xf>
    <xf numFmtId="166" fontId="3" fillId="5" borderId="0" xfId="0" applyNumberFormat="1" applyFont="1" applyFill="1"/>
    <xf numFmtId="0" fontId="3" fillId="5" borderId="0" xfId="0" applyFont="1" applyFill="1"/>
    <xf numFmtId="0" fontId="0" fillId="5" borderId="0" xfId="0" applyFill="1"/>
    <xf numFmtId="2" fontId="0" fillId="5" borderId="0" xfId="0" applyNumberFormat="1" applyFill="1"/>
    <xf numFmtId="166" fontId="0" fillId="5" borderId="0" xfId="0" applyNumberFormat="1" applyFill="1"/>
    <xf numFmtId="43" fontId="3" fillId="6" borderId="12" xfId="5" applyFont="1" applyFill="1" applyBorder="1"/>
    <xf numFmtId="167" fontId="3" fillId="6" borderId="13" xfId="0" applyNumberFormat="1" applyFont="1" applyFill="1" applyBorder="1"/>
    <xf numFmtId="0" fontId="3" fillId="6" borderId="14" xfId="0" applyFont="1" applyFill="1" applyBorder="1"/>
  </cellXfs>
  <cellStyles count="6">
    <cellStyle name="Comma" xfId="5" builtinId="3"/>
    <cellStyle name="Currency" xfId="1" builtinId="4"/>
    <cellStyle name="Hyperlink" xfId="4" builtinId="8"/>
    <cellStyle name="Input" xfId="3" builtinId="20"/>
    <cellStyle name="Normal" xfId="0" builtinId="0"/>
    <cellStyle name="Percent" xfId="2" builtinId="5"/>
  </cellStyles>
  <dxfs count="0"/>
  <tableStyles count="1" defaultTableStyle="TableStyleMedium2" defaultPivotStyle="PivotStyleLight16">
    <tableStyle name="Invisible" pivot="0" table="0" count="0" xr9:uid="{AEA0006E-2033-4F18-B7EA-CF4F94B5A0A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yerd1/Downloads/Electrical%20and%20Gas%20Rates%20Live%20API%20Cumulative%20-%20Alex%20Edits.xlsx" TargetMode="External"/><Relationship Id="rId2" Type="http://schemas.openxmlformats.org/officeDocument/2006/relationships/externalLinkPath" Target="file:///C:\Users\dyerd1\Downloads\Electrical%20and%20Gas%20Rates%20Live%20API%20Cumulative%20-%20Alex%20Edits.xlsx" TargetMode="External"/><Relationship Id="rId1" Type="http://schemas.openxmlformats.org/officeDocument/2006/relationships/externalLinkPath" Target="/Users/dyerd1/Downloads/Electrical%20and%20Gas%20Rates%20Live%20API%20Cumulative%20-%20Alex%20Ed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ferences"/>
      <sheetName val="Notes"/>
      <sheetName val="Gas Select"/>
      <sheetName val="Gas Data Cumulative"/>
      <sheetName val="Gas Data Live"/>
      <sheetName val="Electrical Data Cumulative"/>
      <sheetName val="Electrical Data Live"/>
      <sheetName val="Electrical Select"/>
      <sheetName val="Comparison"/>
      <sheetName val="Historical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orontohydro.com/for-home/rates" TargetMode="External"/><Relationship Id="rId1" Type="http://schemas.openxmlformats.org/officeDocument/2006/relationships/hyperlink" Target="https://www.rds.oeb.ca/CMWebDrawer/Record/925317/File/documen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pps.cer-rec.gc.ca/Conversion/conversion-tables.aspx" TargetMode="External"/><Relationship Id="rId2" Type="http://schemas.openxmlformats.org/officeDocument/2006/relationships/hyperlink" Target="https://www.oeb.ca/sites/default/files/qram-enbridge-20260101-en.pdf" TargetMode="External"/><Relationship Id="rId1" Type="http://schemas.openxmlformats.org/officeDocument/2006/relationships/hyperlink" Target="https://www.oeb.ca/sites/default/files/qram-enbridge-20260101-en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limate.weather.gc.ca/climate_normals/results_1991_2020_e.html?searchType=stnName_1991&amp;txtStationName_1991=SARNIA&amp;searchMethod=contains&amp;txtCentralLatMin=0&amp;txtCentralLatSec=0&amp;txtCentralLongMin=0&amp;txtCentralLongSec=0&amp;climate_id=6127510&amp;dispBack=1" TargetMode="External"/><Relationship Id="rId2" Type="http://schemas.openxmlformats.org/officeDocument/2006/relationships/hyperlink" Target="https://climate.weather.gc.ca/climate_normals/results_1991_2020_e.html?searchType=stnProv&amp;lstProvince=ON&amp;txtCentralLatMin=0&amp;txtCentralLatSec=0&amp;txtCentralLongMin=0&amp;txtCentralLongSec=0&amp;climate_id=6158350&amp;dispBack=0" TargetMode="External"/><Relationship Id="rId1" Type="http://schemas.openxmlformats.org/officeDocument/2006/relationships/hyperlink" Target="https://oee.nrcan.gc.ca/corporate/statistics/neud/dpa/showTable.cfm?type=CP&amp;sector=res&amp;juris=on&amp;rn=2&amp;page=0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EF46-CCE5-4C4C-8DD5-85B3A58FCA3B}">
  <dimension ref="A1:G52"/>
  <sheetViews>
    <sheetView view="pageBreakPreview" topLeftCell="A22" zoomScale="60" zoomScaleNormal="100" workbookViewId="0">
      <selection activeCell="A30" sqref="A30"/>
    </sheetView>
  </sheetViews>
  <sheetFormatPr defaultRowHeight="14.5" x14ac:dyDescent="0.35"/>
  <cols>
    <col min="1" max="1" width="82.26953125" bestFit="1" customWidth="1"/>
    <col min="4" max="4" width="28.453125" bestFit="1" customWidth="1"/>
    <col min="5" max="5" width="29" bestFit="1" customWidth="1"/>
    <col min="6" max="6" width="19.7265625" bestFit="1" customWidth="1"/>
  </cols>
  <sheetData>
    <row r="1" spans="1:6" x14ac:dyDescent="0.35">
      <c r="A1" s="14" t="s">
        <v>0</v>
      </c>
    </row>
    <row r="2" spans="1:6" x14ac:dyDescent="0.35">
      <c r="A2" s="19" t="s">
        <v>1</v>
      </c>
    </row>
    <row r="3" spans="1:6" x14ac:dyDescent="0.35">
      <c r="A3" s="19" t="s">
        <v>2</v>
      </c>
      <c r="D3" t="s">
        <v>3</v>
      </c>
      <c r="F3" s="15">
        <v>0.64</v>
      </c>
    </row>
    <row r="4" spans="1:6" x14ac:dyDescent="0.35">
      <c r="D4" t="s">
        <v>4</v>
      </c>
      <c r="F4" s="15">
        <v>0.18</v>
      </c>
    </row>
    <row r="5" spans="1:6" x14ac:dyDescent="0.35">
      <c r="D5" t="s">
        <v>5</v>
      </c>
      <c r="F5" s="15">
        <v>0.18</v>
      </c>
    </row>
    <row r="6" spans="1:6" x14ac:dyDescent="0.35">
      <c r="D6" t="s">
        <v>6</v>
      </c>
      <c r="F6" s="16">
        <v>0.23499999999999999</v>
      </c>
    </row>
    <row r="10" spans="1:6" x14ac:dyDescent="0.35">
      <c r="A10" s="14" t="s">
        <v>7</v>
      </c>
      <c r="C10" t="s">
        <v>8</v>
      </c>
      <c r="D10" t="s">
        <v>9</v>
      </c>
      <c r="E10" t="s">
        <v>10</v>
      </c>
      <c r="F10" t="s">
        <v>11</v>
      </c>
    </row>
    <row r="11" spans="1:6" x14ac:dyDescent="0.35">
      <c r="A11" t="s">
        <v>12</v>
      </c>
      <c r="C11">
        <v>1.1199999999999999E-3</v>
      </c>
      <c r="D11">
        <v>1</v>
      </c>
      <c r="E11">
        <v>1</v>
      </c>
      <c r="F11">
        <f>C11*D11*E11</f>
        <v>1.1199999999999999E-3</v>
      </c>
    </row>
    <row r="12" spans="1:6" x14ac:dyDescent="0.35">
      <c r="A12" t="s">
        <v>13</v>
      </c>
      <c r="C12">
        <v>4.8000000000000001E-4</v>
      </c>
      <c r="D12">
        <v>1</v>
      </c>
      <c r="E12">
        <v>1</v>
      </c>
      <c r="F12">
        <f t="shared" ref="F12:F22" si="0">C12*D12*E12</f>
        <v>4.8000000000000001E-4</v>
      </c>
    </row>
    <row r="13" spans="1:6" x14ac:dyDescent="0.35">
      <c r="A13" t="s">
        <v>14</v>
      </c>
      <c r="C13">
        <v>1.346E-2</v>
      </c>
      <c r="D13">
        <v>1.0295000000000001</v>
      </c>
      <c r="E13">
        <v>1</v>
      </c>
      <c r="F13">
        <f t="shared" si="0"/>
        <v>1.3857070000000001E-2</v>
      </c>
    </row>
    <row r="14" spans="1:6" x14ac:dyDescent="0.35">
      <c r="A14" t="s">
        <v>15</v>
      </c>
      <c r="C14">
        <v>8.9499999999999996E-3</v>
      </c>
      <c r="D14">
        <v>1.0295000000000001</v>
      </c>
      <c r="E14">
        <v>1</v>
      </c>
      <c r="F14">
        <f t="shared" si="0"/>
        <v>9.2140250000000007E-3</v>
      </c>
    </row>
    <row r="15" spans="1:6" x14ac:dyDescent="0.35">
      <c r="A15" s="14" t="s">
        <v>16</v>
      </c>
    </row>
    <row r="16" spans="1:6" x14ac:dyDescent="0.35">
      <c r="A16" t="s">
        <v>17</v>
      </c>
      <c r="C16">
        <v>4.1000000000000003E-3</v>
      </c>
      <c r="D16">
        <v>1.0295000000000001</v>
      </c>
      <c r="E16">
        <v>1</v>
      </c>
      <c r="F16">
        <f t="shared" si="0"/>
        <v>4.2209500000000011E-3</v>
      </c>
    </row>
    <row r="17" spans="1:7" x14ac:dyDescent="0.35">
      <c r="A17" t="s">
        <v>18</v>
      </c>
      <c r="C17">
        <v>5.9999999999999995E-4</v>
      </c>
      <c r="D17">
        <v>1.0295000000000001</v>
      </c>
      <c r="E17">
        <v>1</v>
      </c>
      <c r="F17">
        <f t="shared" si="0"/>
        <v>6.177E-4</v>
      </c>
    </row>
    <row r="18" spans="1:7" x14ac:dyDescent="0.35">
      <c r="A18" t="s">
        <v>19</v>
      </c>
      <c r="C18">
        <v>5.9999999999999995E-4</v>
      </c>
      <c r="D18">
        <v>1.0295000000000001</v>
      </c>
      <c r="E18">
        <v>1</v>
      </c>
      <c r="F18">
        <f t="shared" si="0"/>
        <v>6.177E-4</v>
      </c>
    </row>
    <row r="19" spans="1:7" x14ac:dyDescent="0.35">
      <c r="A19" s="14" t="s">
        <v>20</v>
      </c>
    </row>
    <row r="20" spans="1:7" x14ac:dyDescent="0.35">
      <c r="A20" t="s">
        <v>21</v>
      </c>
      <c r="C20">
        <v>9.8000000000000004E-2</v>
      </c>
      <c r="D20">
        <f>1.0295</f>
        <v>1.0295000000000001</v>
      </c>
      <c r="E20">
        <v>0.64</v>
      </c>
      <c r="F20">
        <f t="shared" si="0"/>
        <v>6.4570240000000001E-2</v>
      </c>
    </row>
    <row r="21" spans="1:7" x14ac:dyDescent="0.35">
      <c r="A21" t="s">
        <v>22</v>
      </c>
      <c r="C21">
        <v>0.157</v>
      </c>
      <c r="D21">
        <f>1.0295</f>
        <v>1.0295000000000001</v>
      </c>
      <c r="E21">
        <v>0.18</v>
      </c>
      <c r="F21">
        <f t="shared" si="0"/>
        <v>2.9093670000000002E-2</v>
      </c>
    </row>
    <row r="22" spans="1:7" x14ac:dyDescent="0.35">
      <c r="A22" t="s">
        <v>23</v>
      </c>
      <c r="C22">
        <v>0.20300000000000001</v>
      </c>
      <c r="D22">
        <f>1.0295</f>
        <v>1.0295000000000001</v>
      </c>
      <c r="E22">
        <v>0.18</v>
      </c>
      <c r="F22">
        <f t="shared" si="0"/>
        <v>3.7617930000000001E-2</v>
      </c>
    </row>
    <row r="23" spans="1:7" x14ac:dyDescent="0.35">
      <c r="A23" s="14" t="s">
        <v>24</v>
      </c>
      <c r="F23" s="30">
        <f>SUM(F11:F22)</f>
        <v>0.16140928500000001</v>
      </c>
      <c r="G23" s="30" t="s">
        <v>8</v>
      </c>
    </row>
    <row r="24" spans="1:7" x14ac:dyDescent="0.35">
      <c r="A24" s="14" t="s">
        <v>25</v>
      </c>
      <c r="F24" s="30">
        <f>F23*(1-$F$6)</f>
        <v>0.12347810302500001</v>
      </c>
      <c r="G24" s="30" t="s">
        <v>8</v>
      </c>
    </row>
    <row r="28" spans="1:7" x14ac:dyDescent="0.35">
      <c r="A28" s="14" t="s">
        <v>26</v>
      </c>
    </row>
    <row r="29" spans="1:7" x14ac:dyDescent="0.35">
      <c r="A29" s="14" t="s">
        <v>27</v>
      </c>
    </row>
    <row r="30" spans="1:7" x14ac:dyDescent="0.35">
      <c r="A30" s="19" t="s">
        <v>28</v>
      </c>
    </row>
    <row r="31" spans="1:7" x14ac:dyDescent="0.35">
      <c r="A31" s="19"/>
      <c r="D31" t="s">
        <v>3</v>
      </c>
      <c r="F31" s="15">
        <v>0.64</v>
      </c>
    </row>
    <row r="32" spans="1:7" x14ac:dyDescent="0.35">
      <c r="D32" t="s">
        <v>4</v>
      </c>
      <c r="F32" s="15">
        <v>0.18</v>
      </c>
    </row>
    <row r="33" spans="1:6" x14ac:dyDescent="0.35">
      <c r="D33" t="s">
        <v>5</v>
      </c>
      <c r="F33" s="15">
        <v>0.18</v>
      </c>
    </row>
    <row r="34" spans="1:6" x14ac:dyDescent="0.35">
      <c r="D34" t="s">
        <v>6</v>
      </c>
      <c r="F34" s="16">
        <v>0.23499999999999999</v>
      </c>
    </row>
    <row r="38" spans="1:6" x14ac:dyDescent="0.35">
      <c r="A38" s="14" t="s">
        <v>7</v>
      </c>
      <c r="C38" t="s">
        <v>8</v>
      </c>
      <c r="D38" t="s">
        <v>9</v>
      </c>
      <c r="E38" t="s">
        <v>10</v>
      </c>
      <c r="F38" t="s">
        <v>11</v>
      </c>
    </row>
    <row r="39" spans="1:6" x14ac:dyDescent="0.35">
      <c r="A39" t="s">
        <v>29</v>
      </c>
      <c r="C39">
        <v>-1.6000000000000001E-3</v>
      </c>
      <c r="D39">
        <v>1</v>
      </c>
      <c r="E39">
        <v>1</v>
      </c>
      <c r="F39">
        <f>C39*D39*E39</f>
        <v>-1.6000000000000001E-3</v>
      </c>
    </row>
    <row r="40" spans="1:6" x14ac:dyDescent="0.35">
      <c r="A40" t="s">
        <v>30</v>
      </c>
      <c r="C40">
        <v>1.11E-2</v>
      </c>
      <c r="D40">
        <v>1.0430999999999999</v>
      </c>
      <c r="E40">
        <v>1</v>
      </c>
      <c r="F40">
        <f t="shared" ref="F40:F41" si="1">C40*D40*E40</f>
        <v>1.1578409999999999E-2</v>
      </c>
    </row>
    <row r="41" spans="1:6" x14ac:dyDescent="0.35">
      <c r="A41" t="s">
        <v>31</v>
      </c>
      <c r="C41">
        <v>8.9999999999999993E-3</v>
      </c>
      <c r="D41">
        <v>1.0430999999999999</v>
      </c>
      <c r="E41">
        <v>1</v>
      </c>
      <c r="F41">
        <f t="shared" si="1"/>
        <v>9.3878999999999994E-3</v>
      </c>
    </row>
    <row r="43" spans="1:6" x14ac:dyDescent="0.35">
      <c r="A43" s="14" t="s">
        <v>32</v>
      </c>
    </row>
    <row r="44" spans="1:6" x14ac:dyDescent="0.35">
      <c r="A44" t="s">
        <v>33</v>
      </c>
      <c r="C44">
        <v>6.0000000000000001E-3</v>
      </c>
      <c r="D44">
        <v>1.0430999999999999</v>
      </c>
      <c r="E44">
        <v>1</v>
      </c>
      <c r="F44">
        <f t="shared" ref="F44" si="2">C44*D44*E44</f>
        <v>6.2585999999999996E-3</v>
      </c>
    </row>
    <row r="47" spans="1:6" x14ac:dyDescent="0.35">
      <c r="A47" s="14" t="s">
        <v>20</v>
      </c>
    </row>
    <row r="48" spans="1:6" x14ac:dyDescent="0.35">
      <c r="A48" t="s">
        <v>21</v>
      </c>
      <c r="C48">
        <v>9.8000000000000004E-2</v>
      </c>
      <c r="D48">
        <v>1.0430999999999999</v>
      </c>
      <c r="E48">
        <v>0.64</v>
      </c>
      <c r="F48">
        <f>C48*D48*E48</f>
        <v>6.5423231999999998E-2</v>
      </c>
    </row>
    <row r="49" spans="1:6" x14ac:dyDescent="0.35">
      <c r="A49" t="s">
        <v>22</v>
      </c>
      <c r="C49">
        <v>0.157</v>
      </c>
      <c r="D49">
        <v>1.0430999999999999</v>
      </c>
      <c r="E49">
        <v>0.18</v>
      </c>
      <c r="F49">
        <f t="shared" ref="F49:F50" si="3">C49*D49*E49</f>
        <v>2.9478005999999998E-2</v>
      </c>
    </row>
    <row r="50" spans="1:6" x14ac:dyDescent="0.35">
      <c r="A50" t="s">
        <v>23</v>
      </c>
      <c r="C50">
        <v>0.20300000000000001</v>
      </c>
      <c r="D50">
        <v>1.0430999999999999</v>
      </c>
      <c r="E50">
        <v>0.18</v>
      </c>
      <c r="F50">
        <f t="shared" si="3"/>
        <v>3.8114874E-2</v>
      </c>
    </row>
    <row r="51" spans="1:6" x14ac:dyDescent="0.35">
      <c r="A51" s="14" t="s">
        <v>34</v>
      </c>
      <c r="F51">
        <f>SUM(F39:F50)</f>
        <v>0.15864102199999999</v>
      </c>
    </row>
    <row r="52" spans="1:6" x14ac:dyDescent="0.35">
      <c r="A52" s="14" t="s">
        <v>35</v>
      </c>
      <c r="F52" s="14">
        <f>F51*(1-$F$6)</f>
        <v>0.12136038183</v>
      </c>
    </row>
  </sheetData>
  <hyperlinks>
    <hyperlink ref="A2" r:id="rId1" xr:uid="{ED12B78E-D9BE-487E-8FC0-0A03CE77E3DE}"/>
    <hyperlink ref="A3" r:id="rId2" xr:uid="{F4F75A04-C958-4E43-B544-89C696696B4D}"/>
  </hyperlinks>
  <pageMargins left="0.7" right="0.7" top="0.75" bottom="0.75" header="0.3" footer="0.3"/>
  <pageSetup scale="6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185DA-8F7F-44AE-B9D2-DDCE13A62F84}">
  <dimension ref="A1:AC81"/>
  <sheetViews>
    <sheetView view="pageBreakPreview" topLeftCell="A4" zoomScale="60" zoomScaleNormal="100" workbookViewId="0">
      <selection activeCell="K72" sqref="K72"/>
    </sheetView>
  </sheetViews>
  <sheetFormatPr defaultRowHeight="14.5" x14ac:dyDescent="0.35"/>
  <cols>
    <col min="1" max="1" width="25.7265625" customWidth="1"/>
    <col min="2" max="2" width="14.26953125" customWidth="1"/>
    <col min="3" max="3" width="9.26953125" bestFit="1" customWidth="1"/>
    <col min="4" max="4" width="19" customWidth="1"/>
    <col min="5" max="5" width="18.26953125" customWidth="1"/>
    <col min="6" max="9" width="9.26953125" bestFit="1" customWidth="1"/>
    <col min="10" max="10" width="15.81640625" customWidth="1"/>
    <col min="11" max="11" width="9.26953125" bestFit="1" customWidth="1"/>
    <col min="12" max="12" width="14.54296875" bestFit="1" customWidth="1"/>
    <col min="13" max="13" width="31.26953125" bestFit="1" customWidth="1"/>
    <col min="14" max="14" width="18.7265625" bestFit="1" customWidth="1"/>
    <col min="15" max="26" width="9.26953125" bestFit="1" customWidth="1"/>
    <col min="27" max="27" width="13.7265625" bestFit="1" customWidth="1"/>
    <col min="28" max="28" width="12" bestFit="1" customWidth="1"/>
  </cols>
  <sheetData>
    <row r="1" spans="1:5" x14ac:dyDescent="0.35">
      <c r="A1" t="s">
        <v>36</v>
      </c>
    </row>
    <row r="2" spans="1:5" x14ac:dyDescent="0.35">
      <c r="A2" s="19" t="s">
        <v>37</v>
      </c>
    </row>
    <row r="5" spans="1:5" ht="29" x14ac:dyDescent="0.35">
      <c r="C5" t="s">
        <v>38</v>
      </c>
      <c r="D5" s="28" t="s">
        <v>39</v>
      </c>
      <c r="E5" t="s">
        <v>40</v>
      </c>
    </row>
    <row r="6" spans="1:5" x14ac:dyDescent="0.35">
      <c r="A6" t="s">
        <v>41</v>
      </c>
      <c r="C6">
        <v>0.137599</v>
      </c>
      <c r="D6">
        <v>1</v>
      </c>
      <c r="E6">
        <f>C6*D6</f>
        <v>0.137599</v>
      </c>
    </row>
    <row r="7" spans="1:5" x14ac:dyDescent="0.35">
      <c r="A7" t="s">
        <v>42</v>
      </c>
      <c r="C7">
        <v>-2.5662999999999998E-2</v>
      </c>
      <c r="D7">
        <v>1</v>
      </c>
      <c r="E7">
        <f t="shared" ref="E7:E18" si="0">C7*D7</f>
        <v>-2.5662999999999998E-2</v>
      </c>
    </row>
    <row r="10" spans="1:5" x14ac:dyDescent="0.35">
      <c r="A10" s="14" t="s">
        <v>43</v>
      </c>
    </row>
    <row r="11" spans="1:5" x14ac:dyDescent="0.35">
      <c r="A11" t="s">
        <v>44</v>
      </c>
      <c r="C11">
        <v>0.145727</v>
      </c>
      <c r="D11" s="17">
        <f>AB39</f>
        <v>0.15</v>
      </c>
      <c r="E11">
        <f t="shared" si="0"/>
        <v>2.1859049999999998E-2</v>
      </c>
    </row>
    <row r="12" spans="1:5" x14ac:dyDescent="0.35">
      <c r="A12" t="s">
        <v>45</v>
      </c>
      <c r="C12">
        <v>0.13734399999999999</v>
      </c>
      <c r="D12" s="17">
        <f>AB40</f>
        <v>0.23</v>
      </c>
      <c r="E12">
        <f t="shared" si="0"/>
        <v>3.1589119999999998E-2</v>
      </c>
    </row>
    <row r="13" spans="1:5" x14ac:dyDescent="0.35">
      <c r="A13" t="s">
        <v>46</v>
      </c>
      <c r="C13">
        <v>0.13078000000000001</v>
      </c>
      <c r="D13" s="17">
        <f>AB41</f>
        <v>0.24541666666666667</v>
      </c>
      <c r="E13">
        <f t="shared" si="0"/>
        <v>3.2095591666666666E-2</v>
      </c>
    </row>
    <row r="14" spans="1:5" x14ac:dyDescent="0.35">
      <c r="A14" t="s">
        <v>47</v>
      </c>
      <c r="C14">
        <v>0.125886</v>
      </c>
      <c r="D14" s="17">
        <f>AB42</f>
        <v>0.37458333333333332</v>
      </c>
      <c r="E14">
        <f t="shared" si="0"/>
        <v>4.7154797499999998E-2</v>
      </c>
    </row>
    <row r="16" spans="1:5" x14ac:dyDescent="0.35">
      <c r="A16" t="s">
        <v>48</v>
      </c>
      <c r="C16">
        <v>1.45E-4</v>
      </c>
      <c r="D16">
        <v>1</v>
      </c>
      <c r="E16">
        <f t="shared" si="0"/>
        <v>1.45E-4</v>
      </c>
    </row>
    <row r="17" spans="1:6" x14ac:dyDescent="0.35">
      <c r="A17" t="s">
        <v>49</v>
      </c>
      <c r="C17">
        <v>5.6716000000000003E-2</v>
      </c>
      <c r="D17">
        <v>1</v>
      </c>
      <c r="E17">
        <f t="shared" si="0"/>
        <v>5.6716000000000003E-2</v>
      </c>
    </row>
    <row r="18" spans="1:6" x14ac:dyDescent="0.35">
      <c r="A18" t="s">
        <v>50</v>
      </c>
      <c r="C18">
        <v>-2.594E-3</v>
      </c>
      <c r="D18">
        <v>1</v>
      </c>
      <c r="E18">
        <f t="shared" si="0"/>
        <v>-2.594E-3</v>
      </c>
    </row>
    <row r="19" spans="1:6" x14ac:dyDescent="0.35">
      <c r="A19" s="14" t="s">
        <v>51</v>
      </c>
      <c r="E19" s="14">
        <f>SUM(E6:E18)</f>
        <v>0.29890155916666666</v>
      </c>
      <c r="F19" t="s">
        <v>38</v>
      </c>
    </row>
    <row r="23" spans="1:6" x14ac:dyDescent="0.35">
      <c r="D23" t="s">
        <v>52</v>
      </c>
      <c r="E23">
        <f>ROUND(E19,3)</f>
        <v>0.29899999999999999</v>
      </c>
      <c r="F23" t="s">
        <v>38</v>
      </c>
    </row>
    <row r="24" spans="1:6" x14ac:dyDescent="0.35">
      <c r="D24" t="s">
        <v>53</v>
      </c>
      <c r="E24">
        <f>E23/B27</f>
        <v>8.016085790884718E-3</v>
      </c>
      <c r="F24" t="s">
        <v>54</v>
      </c>
    </row>
    <row r="25" spans="1:6" x14ac:dyDescent="0.35">
      <c r="A25" s="19" t="s">
        <v>55</v>
      </c>
      <c r="D25" s="14" t="s">
        <v>56</v>
      </c>
      <c r="E25" s="29">
        <f>E24*B28</f>
        <v>2.8857908847184987E-2</v>
      </c>
      <c r="F25" s="30" t="s">
        <v>8</v>
      </c>
    </row>
    <row r="26" spans="1:6" x14ac:dyDescent="0.35">
      <c r="A26" t="s">
        <v>57</v>
      </c>
      <c r="B26">
        <v>3.73E-2</v>
      </c>
      <c r="C26" t="s">
        <v>58</v>
      </c>
    </row>
    <row r="27" spans="1:6" x14ac:dyDescent="0.35">
      <c r="B27" s="14">
        <f>B26*1000</f>
        <v>37.299999999999997</v>
      </c>
      <c r="C27" t="s">
        <v>59</v>
      </c>
    </row>
    <row r="28" spans="1:6" x14ac:dyDescent="0.35">
      <c r="B28">
        <v>3.6</v>
      </c>
      <c r="C28" t="s">
        <v>60</v>
      </c>
    </row>
    <row r="29" spans="1:6" x14ac:dyDescent="0.35">
      <c r="B29">
        <f>2400*0.3/12</f>
        <v>60</v>
      </c>
    </row>
    <row r="30" spans="1:6" x14ac:dyDescent="0.35">
      <c r="B30">
        <f>419-60</f>
        <v>359</v>
      </c>
      <c r="C30">
        <f>B30*B27/3.6</f>
        <v>3719.6388888888887</v>
      </c>
    </row>
    <row r="35" spans="1:29" x14ac:dyDescent="0.35">
      <c r="A35" t="s">
        <v>61</v>
      </c>
      <c r="AC35" s="15"/>
    </row>
    <row r="36" spans="1:29" x14ac:dyDescent="0.35">
      <c r="AC36" s="15"/>
    </row>
    <row r="37" spans="1:29" x14ac:dyDescent="0.35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69</v>
      </c>
      <c r="I37" t="s">
        <v>70</v>
      </c>
      <c r="J37" t="s">
        <v>71</v>
      </c>
      <c r="K37" t="s">
        <v>72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Q37" t="s">
        <v>78</v>
      </c>
      <c r="R37" t="s">
        <v>79</v>
      </c>
      <c r="S37" t="s">
        <v>80</v>
      </c>
      <c r="T37" t="s">
        <v>81</v>
      </c>
      <c r="U37" t="s">
        <v>82</v>
      </c>
      <c r="V37" t="s">
        <v>83</v>
      </c>
      <c r="W37" t="s">
        <v>84</v>
      </c>
      <c r="X37" t="s">
        <v>85</v>
      </c>
      <c r="Y37" t="s">
        <v>86</v>
      </c>
      <c r="Z37" t="s">
        <v>87</v>
      </c>
      <c r="AA37" t="s">
        <v>88</v>
      </c>
      <c r="AB37" t="s">
        <v>89</v>
      </c>
      <c r="AC37" s="15"/>
    </row>
    <row r="38" spans="1:29" x14ac:dyDescent="0.35">
      <c r="C38">
        <v>419</v>
      </c>
      <c r="E38">
        <v>404</v>
      </c>
      <c r="G38">
        <v>354</v>
      </c>
      <c r="I38">
        <v>252</v>
      </c>
      <c r="K38">
        <v>158</v>
      </c>
      <c r="M38">
        <v>69</v>
      </c>
      <c r="O38">
        <v>51</v>
      </c>
      <c r="Q38">
        <v>54</v>
      </c>
      <c r="S38">
        <v>58</v>
      </c>
      <c r="U38">
        <v>91</v>
      </c>
      <c r="W38">
        <v>174</v>
      </c>
      <c r="Y38">
        <v>316</v>
      </c>
      <c r="AA38">
        <f>SUM(B38:Z38)</f>
        <v>2400</v>
      </c>
      <c r="AC38" s="15"/>
    </row>
    <row r="39" spans="1:29" x14ac:dyDescent="0.35">
      <c r="A39" t="s">
        <v>44</v>
      </c>
      <c r="B39">
        <v>30</v>
      </c>
      <c r="C39">
        <f>C38</f>
        <v>419</v>
      </c>
      <c r="D39">
        <f>MIN(C39,$B39)</f>
        <v>30</v>
      </c>
      <c r="E39">
        <f>E38</f>
        <v>404</v>
      </c>
      <c r="F39">
        <f>MIN(E39,$B39)</f>
        <v>30</v>
      </c>
      <c r="G39">
        <f>G38</f>
        <v>354</v>
      </c>
      <c r="H39">
        <f>MIN(G39,$B39)</f>
        <v>30</v>
      </c>
      <c r="I39">
        <f>I38</f>
        <v>252</v>
      </c>
      <c r="J39">
        <f>MIN(I39,$B39)</f>
        <v>30</v>
      </c>
      <c r="K39">
        <f>K38</f>
        <v>158</v>
      </c>
      <c r="L39">
        <f>MIN(K39,$B39)</f>
        <v>30</v>
      </c>
      <c r="M39">
        <f>M38</f>
        <v>69</v>
      </c>
      <c r="N39">
        <f>MIN(M39,$B39)</f>
        <v>30</v>
      </c>
      <c r="O39">
        <f>O38</f>
        <v>51</v>
      </c>
      <c r="P39">
        <f>MIN(O39,$B39)</f>
        <v>30</v>
      </c>
      <c r="Q39">
        <f>Q38</f>
        <v>54</v>
      </c>
      <c r="R39">
        <f>MIN(Q39,$B39)</f>
        <v>30</v>
      </c>
      <c r="S39">
        <f>S38</f>
        <v>58</v>
      </c>
      <c r="T39">
        <f>MIN(S39,$B39)</f>
        <v>30</v>
      </c>
      <c r="U39">
        <f>U38</f>
        <v>91</v>
      </c>
      <c r="V39">
        <f>MIN(U39,$B39)</f>
        <v>30</v>
      </c>
      <c r="W39">
        <f>W38</f>
        <v>174</v>
      </c>
      <c r="X39">
        <f>MIN(W39,$B39)</f>
        <v>30</v>
      </c>
      <c r="Y39">
        <f>Y38</f>
        <v>316</v>
      </c>
      <c r="Z39">
        <f>MIN(Y39,$B39)</f>
        <v>30</v>
      </c>
      <c r="AA39">
        <f>SUM(D39,F39,H39,J39,L39,N39,P39,R39,T39,V39,X39,Z39)</f>
        <v>360</v>
      </c>
      <c r="AB39" s="17">
        <f>AA39/$AA$38</f>
        <v>0.15</v>
      </c>
    </row>
    <row r="40" spans="1:29" x14ac:dyDescent="0.35">
      <c r="A40" t="s">
        <v>45</v>
      </c>
      <c r="B40">
        <v>55</v>
      </c>
      <c r="C40">
        <f>MAX((C39-$B39),0)</f>
        <v>389</v>
      </c>
      <c r="D40">
        <f t="shared" ref="D40:F41" si="1">MIN(C40,$B40)</f>
        <v>55</v>
      </c>
      <c r="E40">
        <f>MAX((E39-$B39),0)</f>
        <v>374</v>
      </c>
      <c r="F40">
        <f t="shared" si="1"/>
        <v>55</v>
      </c>
      <c r="G40">
        <f>MAX((G39-$B39),0)</f>
        <v>324</v>
      </c>
      <c r="H40">
        <f t="shared" ref="H40:J41" si="2">MIN(G40,$B40)</f>
        <v>55</v>
      </c>
      <c r="I40">
        <f>MAX((I39-$B39),0)</f>
        <v>222</v>
      </c>
      <c r="J40">
        <f t="shared" si="2"/>
        <v>55</v>
      </c>
      <c r="K40">
        <f>MAX((K39-$B39),0)</f>
        <v>128</v>
      </c>
      <c r="L40">
        <f t="shared" ref="L40:L41" si="3">MIN(K40,$B40)</f>
        <v>55</v>
      </c>
      <c r="M40">
        <f>MAX((M39-$B39),0)</f>
        <v>39</v>
      </c>
      <c r="N40">
        <f t="shared" ref="N40:N41" si="4">MIN(M40,$B40)</f>
        <v>39</v>
      </c>
      <c r="O40">
        <f>MAX((O39-$B39),0)</f>
        <v>21</v>
      </c>
      <c r="P40">
        <f t="shared" ref="P40:P41" si="5">MIN(O40,$B40)</f>
        <v>21</v>
      </c>
      <c r="Q40">
        <f>MAX((Q39-$B39),0)</f>
        <v>24</v>
      </c>
      <c r="R40">
        <f t="shared" ref="R40:R41" si="6">MIN(Q40,$B40)</f>
        <v>24</v>
      </c>
      <c r="S40">
        <f>MAX((S39-$B39),0)</f>
        <v>28</v>
      </c>
      <c r="T40">
        <f t="shared" ref="T40:T41" si="7">MIN(S40,$B40)</f>
        <v>28</v>
      </c>
      <c r="U40">
        <f>MAX((U39-$B39),0)</f>
        <v>61</v>
      </c>
      <c r="V40">
        <f t="shared" ref="V40:V41" si="8">MIN(U40,$B40)</f>
        <v>55</v>
      </c>
      <c r="W40">
        <f>MAX((W39-$B39),0)</f>
        <v>144</v>
      </c>
      <c r="X40">
        <f t="shared" ref="X40:X41" si="9">MIN(W40,$B40)</f>
        <v>55</v>
      </c>
      <c r="Y40">
        <f>MAX((Y39-$B39),0)</f>
        <v>286</v>
      </c>
      <c r="Z40">
        <f t="shared" ref="Z40:Z41" si="10">MIN(Y40,$B40)</f>
        <v>55</v>
      </c>
      <c r="AA40">
        <f t="shared" ref="AA40:AA41" si="11">SUM(D40,F40,H40,J40,L40,N40,P40,R40,T40,V40,X40,Z40)</f>
        <v>552</v>
      </c>
      <c r="AB40" s="17">
        <f t="shared" ref="AB40:AB42" si="12">AA40/$AA$38</f>
        <v>0.23</v>
      </c>
    </row>
    <row r="41" spans="1:29" x14ac:dyDescent="0.35">
      <c r="A41" t="s">
        <v>46</v>
      </c>
      <c r="B41">
        <v>85</v>
      </c>
      <c r="C41">
        <f>MAX((C40-$B40),0)</f>
        <v>334</v>
      </c>
      <c r="D41">
        <f t="shared" si="1"/>
        <v>85</v>
      </c>
      <c r="E41">
        <f>MAX((E40-$B40),0)</f>
        <v>319</v>
      </c>
      <c r="F41">
        <f t="shared" si="1"/>
        <v>85</v>
      </c>
      <c r="G41">
        <f>MAX((G40-$B40),0)</f>
        <v>269</v>
      </c>
      <c r="H41">
        <f t="shared" si="2"/>
        <v>85</v>
      </c>
      <c r="I41">
        <f>MAX((I40-$B40),0)</f>
        <v>167</v>
      </c>
      <c r="J41">
        <f t="shared" si="2"/>
        <v>85</v>
      </c>
      <c r="K41">
        <f>MAX((K40-$B40),0)</f>
        <v>73</v>
      </c>
      <c r="L41">
        <f t="shared" si="3"/>
        <v>73</v>
      </c>
      <c r="M41">
        <f>MAX((M40-$B40),0)</f>
        <v>0</v>
      </c>
      <c r="N41">
        <f t="shared" si="4"/>
        <v>0</v>
      </c>
      <c r="O41">
        <f>MAX((O40-$B40),0)</f>
        <v>0</v>
      </c>
      <c r="P41">
        <f t="shared" si="5"/>
        <v>0</v>
      </c>
      <c r="Q41">
        <f>MAX((Q40-$B40),0)</f>
        <v>0</v>
      </c>
      <c r="R41">
        <f t="shared" si="6"/>
        <v>0</v>
      </c>
      <c r="S41">
        <f>MAX((S40-$B40),0)</f>
        <v>0</v>
      </c>
      <c r="T41">
        <f t="shared" si="7"/>
        <v>0</v>
      </c>
      <c r="U41">
        <f>MAX((U40-$B40),0)</f>
        <v>6</v>
      </c>
      <c r="V41">
        <f t="shared" si="8"/>
        <v>6</v>
      </c>
      <c r="W41">
        <f>MAX((W40-$B40),0)</f>
        <v>89</v>
      </c>
      <c r="X41">
        <f t="shared" si="9"/>
        <v>85</v>
      </c>
      <c r="Y41">
        <f>MAX((Y40-$B40),0)</f>
        <v>231</v>
      </c>
      <c r="Z41">
        <f t="shared" si="10"/>
        <v>85</v>
      </c>
      <c r="AA41">
        <f t="shared" si="11"/>
        <v>589</v>
      </c>
      <c r="AB41" s="17">
        <f t="shared" si="12"/>
        <v>0.24541666666666667</v>
      </c>
    </row>
    <row r="42" spans="1:29" x14ac:dyDescent="0.35">
      <c r="A42" t="s">
        <v>47</v>
      </c>
      <c r="B42">
        <v>99999</v>
      </c>
      <c r="C42">
        <f>MAX((C41-$B41),0)</f>
        <v>249</v>
      </c>
      <c r="D42">
        <f>C42</f>
        <v>249</v>
      </c>
      <c r="E42">
        <f>MAX((E41-$B41),0)</f>
        <v>234</v>
      </c>
      <c r="F42">
        <f>E42</f>
        <v>234</v>
      </c>
      <c r="G42">
        <f>MAX((G41-$B41),0)</f>
        <v>184</v>
      </c>
      <c r="H42">
        <f>G42</f>
        <v>184</v>
      </c>
      <c r="I42">
        <f>MAX((I41-$B41),0)</f>
        <v>82</v>
      </c>
      <c r="J42">
        <f>I42</f>
        <v>82</v>
      </c>
      <c r="K42">
        <f>MAX((K41-$B41),0)</f>
        <v>0</v>
      </c>
      <c r="L42">
        <f>K42</f>
        <v>0</v>
      </c>
      <c r="M42">
        <f>MAX((M41-$B41),0)</f>
        <v>0</v>
      </c>
      <c r="N42">
        <f>M42</f>
        <v>0</v>
      </c>
      <c r="O42">
        <f>MAX((O41-$B41),0)</f>
        <v>0</v>
      </c>
      <c r="P42">
        <f>O42</f>
        <v>0</v>
      </c>
      <c r="Q42">
        <f>MAX((Q41-$B41),0)</f>
        <v>0</v>
      </c>
      <c r="R42">
        <f>Q42</f>
        <v>0</v>
      </c>
      <c r="S42">
        <f>MAX((S41-$B41),0)</f>
        <v>0</v>
      </c>
      <c r="T42">
        <f>S42</f>
        <v>0</v>
      </c>
      <c r="U42">
        <f>MAX((U41-$B41),0)</f>
        <v>0</v>
      </c>
      <c r="V42">
        <f>U42</f>
        <v>0</v>
      </c>
      <c r="W42">
        <f>MAX((W41-$B41),0)</f>
        <v>4</v>
      </c>
      <c r="X42">
        <f>W42</f>
        <v>4</v>
      </c>
      <c r="Y42">
        <f>MAX((Y41-$B41),0)</f>
        <v>146</v>
      </c>
      <c r="Z42">
        <f>Y42</f>
        <v>146</v>
      </c>
      <c r="AA42">
        <f>SUM(D42,F42,H42,J42,L42,N42,P42,R42,T42,V42,X42,Z42)</f>
        <v>899</v>
      </c>
      <c r="AB42" s="17">
        <f t="shared" si="12"/>
        <v>0.37458333333333332</v>
      </c>
    </row>
    <row r="45" spans="1:29" x14ac:dyDescent="0.35">
      <c r="J45" t="s">
        <v>90</v>
      </c>
    </row>
    <row r="46" spans="1:29" x14ac:dyDescent="0.35">
      <c r="J46" s="19" t="s">
        <v>37</v>
      </c>
    </row>
    <row r="49" spans="10:14" x14ac:dyDescent="0.35">
      <c r="L49" t="s">
        <v>38</v>
      </c>
      <c r="M49" t="s">
        <v>91</v>
      </c>
      <c r="N49" t="s">
        <v>40</v>
      </c>
    </row>
    <row r="50" spans="10:14" x14ac:dyDescent="0.35">
      <c r="J50" t="s">
        <v>92</v>
      </c>
      <c r="L50">
        <v>0.204037</v>
      </c>
      <c r="M50">
        <v>1</v>
      </c>
      <c r="N50">
        <f>L50*M50</f>
        <v>0.204037</v>
      </c>
    </row>
    <row r="51" spans="10:14" x14ac:dyDescent="0.35">
      <c r="J51" t="s">
        <v>93</v>
      </c>
      <c r="L51">
        <v>-1.1703E-2</v>
      </c>
      <c r="M51">
        <v>1</v>
      </c>
      <c r="N51">
        <f t="shared" ref="N51" si="13">L51*M51</f>
        <v>-1.1703E-2</v>
      </c>
    </row>
    <row r="54" spans="10:14" x14ac:dyDescent="0.35">
      <c r="J54" s="14" t="s">
        <v>43</v>
      </c>
    </row>
    <row r="55" spans="10:14" x14ac:dyDescent="0.35">
      <c r="J55" t="s">
        <v>94</v>
      </c>
      <c r="L55">
        <v>8.7984999999999994E-2</v>
      </c>
      <c r="M55" s="17">
        <f>AB78</f>
        <v>0.45748067303319689</v>
      </c>
      <c r="N55">
        <f t="shared" ref="N55:N57" si="14">L55*M55</f>
        <v>4.0251437016825826E-2</v>
      </c>
    </row>
    <row r="56" spans="10:14" x14ac:dyDescent="0.35">
      <c r="J56" t="s">
        <v>95</v>
      </c>
      <c r="L56">
        <v>8.4440000000000001E-2</v>
      </c>
      <c r="M56" s="17">
        <f t="shared" ref="M56:M57" si="15">AB79</f>
        <v>0.35379718053660753</v>
      </c>
      <c r="N56">
        <f t="shared" si="14"/>
        <v>2.9874633924511139E-2</v>
      </c>
    </row>
    <row r="57" spans="10:14" x14ac:dyDescent="0.35">
      <c r="J57" t="s">
        <v>96</v>
      </c>
      <c r="L57">
        <v>7.5287999999999994E-2</v>
      </c>
      <c r="M57" s="17">
        <f t="shared" si="15"/>
        <v>0.18872214643019555</v>
      </c>
      <c r="N57">
        <f t="shared" si="14"/>
        <v>1.4208512960436561E-2</v>
      </c>
    </row>
    <row r="59" spans="10:14" x14ac:dyDescent="0.35">
      <c r="J59" t="s">
        <v>48</v>
      </c>
      <c r="L59">
        <v>1.45E-4</v>
      </c>
      <c r="M59">
        <v>1</v>
      </c>
      <c r="N59">
        <f t="shared" ref="N59:N61" si="16">L59*M59</f>
        <v>1.45E-4</v>
      </c>
    </row>
    <row r="60" spans="10:14" x14ac:dyDescent="0.35">
      <c r="J60" t="s">
        <v>49</v>
      </c>
      <c r="L60">
        <v>0</v>
      </c>
      <c r="M60">
        <v>1</v>
      </c>
      <c r="N60">
        <f t="shared" si="16"/>
        <v>0</v>
      </c>
    </row>
    <row r="61" spans="10:14" x14ac:dyDescent="0.35">
      <c r="J61" t="s">
        <v>50</v>
      </c>
      <c r="L61">
        <v>4.2550000000000001E-3</v>
      </c>
      <c r="M61">
        <v>1</v>
      </c>
      <c r="N61">
        <f t="shared" si="16"/>
        <v>4.2550000000000001E-3</v>
      </c>
    </row>
    <row r="62" spans="10:14" x14ac:dyDescent="0.35">
      <c r="J62" s="14" t="s">
        <v>51</v>
      </c>
      <c r="N62" s="14">
        <f>SUM(N50:N61)</f>
        <v>0.28106858390177353</v>
      </c>
    </row>
    <row r="63" spans="10:14" x14ac:dyDescent="0.35">
      <c r="J63" s="14"/>
      <c r="N63" s="14"/>
    </row>
    <row r="64" spans="10:14" x14ac:dyDescent="0.35">
      <c r="J64" s="14"/>
      <c r="N64" s="14"/>
    </row>
    <row r="65" spans="1:28" x14ac:dyDescent="0.35">
      <c r="M65" t="s">
        <v>52</v>
      </c>
      <c r="N65">
        <f>ROUND(N62,3)</f>
        <v>0.28100000000000003</v>
      </c>
      <c r="O65" t="s">
        <v>38</v>
      </c>
    </row>
    <row r="66" spans="1:28" x14ac:dyDescent="0.35">
      <c r="M66" t="s">
        <v>53</v>
      </c>
      <c r="N66">
        <f>N65/K69</f>
        <v>7.5335120643431645E-3</v>
      </c>
      <c r="O66" t="s">
        <v>54</v>
      </c>
    </row>
    <row r="67" spans="1:28" x14ac:dyDescent="0.35">
      <c r="J67" t="s">
        <v>55</v>
      </c>
      <c r="N67" s="3">
        <f>N66*K70</f>
        <v>2.7120643431635394E-2</v>
      </c>
      <c r="O67" t="s">
        <v>8</v>
      </c>
    </row>
    <row r="68" spans="1:28" x14ac:dyDescent="0.35">
      <c r="J68" t="s">
        <v>57</v>
      </c>
      <c r="K68">
        <v>3.73E-2</v>
      </c>
      <c r="L68" t="s">
        <v>58</v>
      </c>
    </row>
    <row r="69" spans="1:28" x14ac:dyDescent="0.35">
      <c r="K69" s="14">
        <f>K68*1000</f>
        <v>37.299999999999997</v>
      </c>
      <c r="L69" t="s">
        <v>59</v>
      </c>
    </row>
    <row r="70" spans="1:28" x14ac:dyDescent="0.35">
      <c r="K70">
        <v>3.6</v>
      </c>
      <c r="L70" t="s">
        <v>60</v>
      </c>
    </row>
    <row r="71" spans="1:28" x14ac:dyDescent="0.35">
      <c r="K71">
        <f>2400*0.3/12</f>
        <v>60</v>
      </c>
    </row>
    <row r="72" spans="1:28" x14ac:dyDescent="0.35">
      <c r="K72">
        <f>419-60</f>
        <v>359</v>
      </c>
      <c r="L72">
        <f>K72*K69/3.6</f>
        <v>3719.6388888888887</v>
      </c>
    </row>
    <row r="73" spans="1:28" x14ac:dyDescent="0.35">
      <c r="J73" s="14"/>
      <c r="N73" s="14"/>
    </row>
    <row r="74" spans="1:28" x14ac:dyDescent="0.35">
      <c r="J74" s="14"/>
      <c r="N74" s="14"/>
    </row>
    <row r="75" spans="1:28" x14ac:dyDescent="0.35">
      <c r="C75" t="s">
        <v>97</v>
      </c>
    </row>
    <row r="76" spans="1:28" x14ac:dyDescent="0.35">
      <c r="A76" t="s">
        <v>62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 t="s">
        <v>69</v>
      </c>
      <c r="I76" t="s">
        <v>70</v>
      </c>
      <c r="J76" t="s">
        <v>71</v>
      </c>
      <c r="K76" t="s">
        <v>72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Q76" t="s">
        <v>78</v>
      </c>
      <c r="R76" t="s">
        <v>79</v>
      </c>
      <c r="S76" t="s">
        <v>80</v>
      </c>
      <c r="T76" t="s">
        <v>81</v>
      </c>
      <c r="U76" t="s">
        <v>82</v>
      </c>
      <c r="V76" t="s">
        <v>83</v>
      </c>
      <c r="W76" t="s">
        <v>84</v>
      </c>
      <c r="X76" t="s">
        <v>85</v>
      </c>
      <c r="Y76" t="s">
        <v>86</v>
      </c>
      <c r="Z76" t="s">
        <v>87</v>
      </c>
      <c r="AA76" t="s">
        <v>88</v>
      </c>
      <c r="AB76" t="s">
        <v>89</v>
      </c>
    </row>
    <row r="77" spans="1:28" x14ac:dyDescent="0.35">
      <c r="A77" t="s">
        <v>98</v>
      </c>
      <c r="C77">
        <v>385</v>
      </c>
      <c r="E77">
        <v>403</v>
      </c>
      <c r="G77">
        <v>332</v>
      </c>
      <c r="I77">
        <v>200</v>
      </c>
      <c r="K77">
        <v>114</v>
      </c>
      <c r="M77">
        <v>64</v>
      </c>
      <c r="O77">
        <v>48</v>
      </c>
      <c r="Q77">
        <v>46</v>
      </c>
      <c r="S77">
        <v>48</v>
      </c>
      <c r="U77">
        <v>106</v>
      </c>
      <c r="W77">
        <v>158</v>
      </c>
      <c r="Y77">
        <v>295</v>
      </c>
    </row>
    <row r="78" spans="1:28" x14ac:dyDescent="0.35">
      <c r="A78" t="s">
        <v>94</v>
      </c>
      <c r="B78">
        <v>100</v>
      </c>
      <c r="C78">
        <f>C77</f>
        <v>385</v>
      </c>
      <c r="D78">
        <f t="shared" ref="D78:D80" si="17">MIN(C78,$B78)</f>
        <v>100</v>
      </c>
      <c r="E78">
        <f>E77</f>
        <v>403</v>
      </c>
      <c r="F78">
        <f t="shared" ref="F78:F80" si="18">MIN(E78,$B78)</f>
        <v>100</v>
      </c>
      <c r="G78">
        <f>G77</f>
        <v>332</v>
      </c>
      <c r="H78">
        <f t="shared" ref="H78:H80" si="19">MIN(G78,$B78)</f>
        <v>100</v>
      </c>
      <c r="I78">
        <f>I77</f>
        <v>200</v>
      </c>
      <c r="J78">
        <f t="shared" ref="J78:J80" si="20">MIN(I78,$B78)</f>
        <v>100</v>
      </c>
      <c r="K78">
        <f>K77</f>
        <v>114</v>
      </c>
      <c r="L78">
        <f t="shared" ref="L78:L80" si="21">MIN(K78,$B78)</f>
        <v>100</v>
      </c>
      <c r="M78">
        <f>M77</f>
        <v>64</v>
      </c>
      <c r="N78">
        <f t="shared" ref="N78:N80" si="22">MIN(M78,$B78)</f>
        <v>64</v>
      </c>
      <c r="O78">
        <f>O77</f>
        <v>48</v>
      </c>
      <c r="P78">
        <f t="shared" ref="P78:P80" si="23">MIN(O78,$B78)</f>
        <v>48</v>
      </c>
      <c r="Q78">
        <f>Q77</f>
        <v>46</v>
      </c>
      <c r="R78">
        <f t="shared" ref="R78:R80" si="24">MIN(Q78,$B78)</f>
        <v>46</v>
      </c>
      <c r="S78">
        <f>S77</f>
        <v>48</v>
      </c>
      <c r="T78">
        <f t="shared" ref="T78:T80" si="25">MIN(S78,$B78)</f>
        <v>48</v>
      </c>
      <c r="U78">
        <f>U77</f>
        <v>106</v>
      </c>
      <c r="V78">
        <f t="shared" ref="V78:V80" si="26">MIN(U78,$B78)</f>
        <v>100</v>
      </c>
      <c r="W78">
        <f>W77</f>
        <v>158</v>
      </c>
      <c r="X78">
        <f t="shared" ref="X78:X80" si="27">MIN(W78,$B78)</f>
        <v>100</v>
      </c>
      <c r="Y78">
        <f>Y77</f>
        <v>295</v>
      </c>
      <c r="Z78">
        <f t="shared" ref="Z78:Z80" si="28">MIN(Y78,$B78)</f>
        <v>100</v>
      </c>
      <c r="AA78">
        <f t="shared" ref="AA78:AA80" si="29">SUM(D78,F78,H78,J78,L78,N78,P78,R78,T78,V78,X78,Z78)</f>
        <v>1006</v>
      </c>
      <c r="AB78">
        <f>AA78/$AA$81</f>
        <v>0.45748067303319689</v>
      </c>
    </row>
    <row r="79" spans="1:28" x14ac:dyDescent="0.35">
      <c r="A79" t="s">
        <v>95</v>
      </c>
      <c r="B79">
        <v>150</v>
      </c>
      <c r="C79">
        <f>MAX((C78-$B78),0)</f>
        <v>285</v>
      </c>
      <c r="D79">
        <f t="shared" si="17"/>
        <v>150</v>
      </c>
      <c r="E79">
        <f>MAX((E78-$B78),0)</f>
        <v>303</v>
      </c>
      <c r="F79">
        <f t="shared" si="18"/>
        <v>150</v>
      </c>
      <c r="G79">
        <f>MAX((G78-$B78),0)</f>
        <v>232</v>
      </c>
      <c r="H79">
        <f t="shared" si="19"/>
        <v>150</v>
      </c>
      <c r="I79">
        <f>MAX((I78-$B78),0)</f>
        <v>100</v>
      </c>
      <c r="J79">
        <f t="shared" si="20"/>
        <v>100</v>
      </c>
      <c r="K79">
        <f>MAX((K78-$B78),0)</f>
        <v>14</v>
      </c>
      <c r="L79">
        <f t="shared" si="21"/>
        <v>14</v>
      </c>
      <c r="M79">
        <f>MAX((M78-$B78),0)</f>
        <v>0</v>
      </c>
      <c r="N79">
        <f t="shared" si="22"/>
        <v>0</v>
      </c>
      <c r="O79">
        <f>MAX((O78-$B78),0)</f>
        <v>0</v>
      </c>
      <c r="P79">
        <f t="shared" si="23"/>
        <v>0</v>
      </c>
      <c r="Q79">
        <f>MAX((Q78-$B78),0)</f>
        <v>0</v>
      </c>
      <c r="R79">
        <f t="shared" si="24"/>
        <v>0</v>
      </c>
      <c r="S79">
        <f>MAX((S78-$B78),0)</f>
        <v>0</v>
      </c>
      <c r="T79">
        <f t="shared" si="25"/>
        <v>0</v>
      </c>
      <c r="U79">
        <f>MAX((U78-$B78),0)</f>
        <v>6</v>
      </c>
      <c r="V79">
        <f t="shared" si="26"/>
        <v>6</v>
      </c>
      <c r="W79">
        <f>MAX((W78-$B78),0)</f>
        <v>58</v>
      </c>
      <c r="X79">
        <f t="shared" si="27"/>
        <v>58</v>
      </c>
      <c r="Y79">
        <f>MAX((Y78-$B78),0)</f>
        <v>195</v>
      </c>
      <c r="Z79">
        <f t="shared" si="28"/>
        <v>150</v>
      </c>
      <c r="AA79">
        <f t="shared" si="29"/>
        <v>778</v>
      </c>
      <c r="AB79">
        <f t="shared" ref="AB79:AB80" si="30">AA79/$AA$81</f>
        <v>0.35379718053660753</v>
      </c>
    </row>
    <row r="80" spans="1:28" x14ac:dyDescent="0.35">
      <c r="A80" t="s">
        <v>96</v>
      </c>
      <c r="B80">
        <v>99999</v>
      </c>
      <c r="C80">
        <f>MAX((C79-$B79),0)</f>
        <v>135</v>
      </c>
      <c r="D80">
        <f t="shared" si="17"/>
        <v>135</v>
      </c>
      <c r="E80">
        <f>MAX((E79-$B79),0)</f>
        <v>153</v>
      </c>
      <c r="F80">
        <f t="shared" si="18"/>
        <v>153</v>
      </c>
      <c r="G80">
        <f>MAX((G79-$B79),0)</f>
        <v>82</v>
      </c>
      <c r="H80">
        <f t="shared" si="19"/>
        <v>82</v>
      </c>
      <c r="I80">
        <f>MAX((I79-$B79),0)</f>
        <v>0</v>
      </c>
      <c r="J80">
        <f t="shared" si="20"/>
        <v>0</v>
      </c>
      <c r="K80">
        <f>MAX((K79-$B79),0)</f>
        <v>0</v>
      </c>
      <c r="L80">
        <f t="shared" si="21"/>
        <v>0</v>
      </c>
      <c r="M80">
        <f>MAX((M79-$B79),0)</f>
        <v>0</v>
      </c>
      <c r="N80">
        <f t="shared" si="22"/>
        <v>0</v>
      </c>
      <c r="O80">
        <f>MAX((O79-$B79),0)</f>
        <v>0</v>
      </c>
      <c r="P80">
        <f t="shared" si="23"/>
        <v>0</v>
      </c>
      <c r="Q80">
        <f>MAX((Q79-$B79),0)</f>
        <v>0</v>
      </c>
      <c r="R80">
        <f t="shared" si="24"/>
        <v>0</v>
      </c>
      <c r="S80">
        <f>MAX((S79-$B79),0)</f>
        <v>0</v>
      </c>
      <c r="T80">
        <f t="shared" si="25"/>
        <v>0</v>
      </c>
      <c r="U80">
        <f>MAX((U79-$B79),0)</f>
        <v>0</v>
      </c>
      <c r="V80">
        <f t="shared" si="26"/>
        <v>0</v>
      </c>
      <c r="W80">
        <f>MAX((W79-$B79),0)</f>
        <v>0</v>
      </c>
      <c r="X80">
        <f t="shared" si="27"/>
        <v>0</v>
      </c>
      <c r="Y80">
        <f>MAX((Y79-$B79),0)</f>
        <v>45</v>
      </c>
      <c r="Z80">
        <f t="shared" si="28"/>
        <v>45</v>
      </c>
      <c r="AA80">
        <f t="shared" si="29"/>
        <v>415</v>
      </c>
      <c r="AB80">
        <f t="shared" si="30"/>
        <v>0.18872214643019555</v>
      </c>
    </row>
    <row r="81" spans="27:28" x14ac:dyDescent="0.35">
      <c r="AA81">
        <f>SUM(AA77:AA80)</f>
        <v>2199</v>
      </c>
      <c r="AB81">
        <f>SUM(AB78:AB80)</f>
        <v>1</v>
      </c>
    </row>
  </sheetData>
  <hyperlinks>
    <hyperlink ref="A2" r:id="rId1" xr:uid="{1A6C05A9-4632-4E5A-A98E-110CF4F93BC0}"/>
    <hyperlink ref="J46" r:id="rId2" xr:uid="{C271FB04-7CDE-48E2-950A-E00D54E57164}"/>
    <hyperlink ref="A25" r:id="rId3" xr:uid="{A56980A4-BE31-4D12-9FBC-5C4FE31849EC}"/>
  </hyperlinks>
  <pageMargins left="0.7" right="0.7" top="0.75" bottom="0.75" header="0.3" footer="0.3"/>
  <pageSetup scale="34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58B28-77B4-4B44-971B-6A9D02422113}">
  <dimension ref="A1:O64"/>
  <sheetViews>
    <sheetView view="pageBreakPreview" topLeftCell="A43" zoomScale="60" zoomScaleNormal="100" workbookViewId="0">
      <selection activeCell="D68" sqref="D68"/>
    </sheetView>
  </sheetViews>
  <sheetFormatPr defaultRowHeight="14.5" x14ac:dyDescent="0.35"/>
  <cols>
    <col min="1" max="1" width="21.26953125" customWidth="1"/>
    <col min="2" max="2" width="15" customWidth="1"/>
  </cols>
  <sheetData>
    <row r="1" spans="1:3" x14ac:dyDescent="0.35">
      <c r="A1" s="19" t="s">
        <v>99</v>
      </c>
    </row>
    <row r="3" spans="1:3" x14ac:dyDescent="0.35">
      <c r="A3" t="s">
        <v>100</v>
      </c>
    </row>
    <row r="4" spans="1:3" x14ac:dyDescent="0.35">
      <c r="A4">
        <v>331.4</v>
      </c>
      <c r="B4" t="s">
        <v>101</v>
      </c>
    </row>
    <row r="5" spans="1:3" x14ac:dyDescent="0.35">
      <c r="A5">
        <f>A4*10^6</f>
        <v>331400000</v>
      </c>
      <c r="B5" t="s">
        <v>102</v>
      </c>
    </row>
    <row r="7" spans="1:3" x14ac:dyDescent="0.35">
      <c r="A7" t="s">
        <v>103</v>
      </c>
    </row>
    <row r="8" spans="1:3" x14ac:dyDescent="0.35">
      <c r="A8" s="10">
        <f>5808.5*1000</f>
        <v>5808500</v>
      </c>
      <c r="B8" t="s">
        <v>104</v>
      </c>
    </row>
    <row r="9" spans="1:3" x14ac:dyDescent="0.35">
      <c r="A9" s="10"/>
    </row>
    <row r="10" spans="1:3" x14ac:dyDescent="0.35">
      <c r="A10" s="18">
        <f>A5/A8</f>
        <v>57.054316949298439</v>
      </c>
      <c r="B10" t="s">
        <v>105</v>
      </c>
    </row>
    <row r="14" spans="1:3" x14ac:dyDescent="0.35">
      <c r="A14">
        <f>ROUND(A10,0)</f>
        <v>57</v>
      </c>
      <c r="B14" t="s">
        <v>105</v>
      </c>
    </row>
    <row r="15" spans="1:3" x14ac:dyDescent="0.35">
      <c r="A15" s="30">
        <f>ROUND(A14/3.6*1000,0)</f>
        <v>15833</v>
      </c>
      <c r="B15" s="30" t="s">
        <v>106</v>
      </c>
      <c r="C15" t="s">
        <v>107</v>
      </c>
    </row>
    <row r="18" spans="1:14" x14ac:dyDescent="0.35">
      <c r="A18" s="19" t="s">
        <v>108</v>
      </c>
    </row>
    <row r="19" spans="1:14" x14ac:dyDescent="0.35">
      <c r="A19" t="s">
        <v>109</v>
      </c>
    </row>
    <row r="20" spans="1:14" x14ac:dyDescent="0.35">
      <c r="A20" t="s">
        <v>110</v>
      </c>
    </row>
    <row r="22" spans="1:14" x14ac:dyDescent="0.35">
      <c r="A22" t="s">
        <v>111</v>
      </c>
    </row>
    <row r="23" spans="1:14" x14ac:dyDescent="0.35">
      <c r="A23" t="s">
        <v>112</v>
      </c>
    </row>
    <row r="24" spans="1:14" x14ac:dyDescent="0.35">
      <c r="B24" t="s">
        <v>113</v>
      </c>
      <c r="C24" t="s">
        <v>114</v>
      </c>
      <c r="D24" t="s">
        <v>115</v>
      </c>
      <c r="E24" t="s">
        <v>116</v>
      </c>
      <c r="F24" t="s">
        <v>72</v>
      </c>
      <c r="G24" t="s">
        <v>117</v>
      </c>
      <c r="H24" t="s">
        <v>118</v>
      </c>
      <c r="I24" t="s">
        <v>119</v>
      </c>
      <c r="J24" t="s">
        <v>120</v>
      </c>
      <c r="K24" t="s">
        <v>121</v>
      </c>
      <c r="L24" t="s">
        <v>122</v>
      </c>
      <c r="M24" t="s">
        <v>123</v>
      </c>
      <c r="N24" t="s">
        <v>124</v>
      </c>
    </row>
    <row r="25" spans="1:14" x14ac:dyDescent="0.35">
      <c r="A25" t="s">
        <v>125</v>
      </c>
      <c r="B25">
        <v>0</v>
      </c>
      <c r="C25">
        <v>0</v>
      </c>
      <c r="D25">
        <v>0</v>
      </c>
      <c r="E25">
        <v>0</v>
      </c>
      <c r="F25">
        <v>0.4</v>
      </c>
      <c r="G25">
        <v>6</v>
      </c>
      <c r="H25">
        <v>18.600000000000001</v>
      </c>
      <c r="I25">
        <v>11.1</v>
      </c>
      <c r="J25">
        <v>2.5</v>
      </c>
      <c r="K25">
        <v>0</v>
      </c>
      <c r="L25">
        <v>0</v>
      </c>
      <c r="M25">
        <v>0</v>
      </c>
      <c r="N25">
        <v>38.6</v>
      </c>
    </row>
    <row r="26" spans="1:14" x14ac:dyDescent="0.35">
      <c r="A26" t="s">
        <v>126</v>
      </c>
      <c r="B26">
        <v>0</v>
      </c>
      <c r="C26">
        <v>0</v>
      </c>
      <c r="D26">
        <v>0.1</v>
      </c>
      <c r="E26">
        <v>0.5</v>
      </c>
      <c r="F26">
        <v>19.100000000000001</v>
      </c>
      <c r="G26">
        <v>75.099999999999994</v>
      </c>
      <c r="H26">
        <v>141.9</v>
      </c>
      <c r="I26">
        <v>121.9</v>
      </c>
      <c r="J26">
        <v>44.8</v>
      </c>
      <c r="K26">
        <v>2.6</v>
      </c>
      <c r="L26">
        <v>0</v>
      </c>
      <c r="M26">
        <v>0</v>
      </c>
      <c r="N26">
        <v>405.9</v>
      </c>
    </row>
    <row r="27" spans="1:14" x14ac:dyDescent="0.35">
      <c r="A27" t="s">
        <v>127</v>
      </c>
      <c r="B27">
        <v>0</v>
      </c>
      <c r="C27">
        <v>0</v>
      </c>
      <c r="D27">
        <v>0.7</v>
      </c>
      <c r="E27">
        <v>3.5</v>
      </c>
      <c r="F27">
        <v>47.4</v>
      </c>
      <c r="G27">
        <v>147.9</v>
      </c>
      <c r="H27">
        <v>233.4</v>
      </c>
      <c r="I27">
        <v>212.1</v>
      </c>
      <c r="J27">
        <v>101.2</v>
      </c>
      <c r="K27">
        <v>13.2</v>
      </c>
      <c r="L27">
        <v>0</v>
      </c>
      <c r="M27">
        <v>0</v>
      </c>
      <c r="N27">
        <v>759.5</v>
      </c>
    </row>
    <row r="28" spans="1:14" x14ac:dyDescent="0.35">
      <c r="A28" t="s">
        <v>128</v>
      </c>
      <c r="B28">
        <v>0.1</v>
      </c>
      <c r="C28">
        <v>0.1</v>
      </c>
      <c r="D28">
        <v>5.2</v>
      </c>
      <c r="E28">
        <v>27.7</v>
      </c>
      <c r="F28">
        <v>146.30000000000001</v>
      </c>
      <c r="G28">
        <v>293.2</v>
      </c>
      <c r="H28">
        <v>388.4</v>
      </c>
      <c r="I28">
        <v>367.1</v>
      </c>
      <c r="J28">
        <v>236.7</v>
      </c>
      <c r="K28">
        <v>68.099999999999994</v>
      </c>
      <c r="L28">
        <v>7.9</v>
      </c>
      <c r="M28">
        <v>0.5</v>
      </c>
      <c r="N28">
        <v>1541.3</v>
      </c>
    </row>
    <row r="29" spans="1:14" x14ac:dyDescent="0.35">
      <c r="A29" t="s">
        <v>129</v>
      </c>
      <c r="B29">
        <v>4.3</v>
      </c>
      <c r="C29">
        <v>2.9</v>
      </c>
      <c r="D29">
        <v>27.3</v>
      </c>
      <c r="E29">
        <v>108.4</v>
      </c>
      <c r="F29">
        <v>293</v>
      </c>
      <c r="G29">
        <v>443.2</v>
      </c>
      <c r="H29">
        <v>543.4</v>
      </c>
      <c r="I29">
        <v>522.1</v>
      </c>
      <c r="J29">
        <v>385.9</v>
      </c>
      <c r="K29">
        <v>190.5</v>
      </c>
      <c r="L29">
        <v>54.7</v>
      </c>
      <c r="M29">
        <v>7.6</v>
      </c>
      <c r="N29">
        <v>2583.1</v>
      </c>
    </row>
    <row r="30" spans="1:14" x14ac:dyDescent="0.35">
      <c r="A30" t="s">
        <v>130</v>
      </c>
      <c r="B30">
        <v>30.7</v>
      </c>
      <c r="C30">
        <v>27.9</v>
      </c>
      <c r="D30">
        <v>96.4</v>
      </c>
      <c r="E30">
        <v>241.1</v>
      </c>
      <c r="F30">
        <v>447.8</v>
      </c>
      <c r="G30">
        <v>593.20000000000005</v>
      </c>
      <c r="H30">
        <v>698.4</v>
      </c>
      <c r="I30">
        <v>677.1</v>
      </c>
      <c r="J30">
        <v>535.9</v>
      </c>
      <c r="K30">
        <v>343</v>
      </c>
      <c r="L30">
        <v>164.5</v>
      </c>
      <c r="M30">
        <v>56.9</v>
      </c>
      <c r="N30">
        <v>3912.9</v>
      </c>
    </row>
    <row r="31" spans="1:14" x14ac:dyDescent="0.35">
      <c r="A31" t="s">
        <v>131</v>
      </c>
      <c r="B31">
        <v>140.80000000000001</v>
      </c>
      <c r="C31">
        <v>106.5</v>
      </c>
      <c r="D31">
        <v>43.1</v>
      </c>
      <c r="E31">
        <v>1.7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7.2</v>
      </c>
      <c r="M31">
        <v>66.599999999999994</v>
      </c>
      <c r="N31">
        <v>365.9</v>
      </c>
    </row>
    <row r="32" spans="1:14" x14ac:dyDescent="0.35">
      <c r="A32" t="s">
        <v>132</v>
      </c>
      <c r="B32">
        <v>269.3</v>
      </c>
      <c r="C32">
        <v>222.9</v>
      </c>
      <c r="D32">
        <v>129</v>
      </c>
      <c r="E32">
        <v>19.100000000000001</v>
      </c>
      <c r="F32">
        <v>0.3</v>
      </c>
      <c r="G32">
        <v>0</v>
      </c>
      <c r="H32">
        <v>0</v>
      </c>
      <c r="I32">
        <v>0</v>
      </c>
      <c r="J32">
        <v>0</v>
      </c>
      <c r="K32">
        <v>2.5</v>
      </c>
      <c r="L32">
        <v>47.4</v>
      </c>
      <c r="M32">
        <v>172.3</v>
      </c>
      <c r="N32">
        <v>862.6</v>
      </c>
    </row>
    <row r="33" spans="1:14" x14ac:dyDescent="0.35">
      <c r="A33" t="s">
        <v>133</v>
      </c>
      <c r="B33">
        <v>420.2</v>
      </c>
      <c r="C33">
        <v>361.4</v>
      </c>
      <c r="D33">
        <v>261.89999999999998</v>
      </c>
      <c r="E33">
        <v>88.3</v>
      </c>
      <c r="F33">
        <v>8.5</v>
      </c>
      <c r="G33">
        <v>0.1</v>
      </c>
      <c r="H33">
        <v>0</v>
      </c>
      <c r="I33">
        <v>0</v>
      </c>
      <c r="J33">
        <v>0.8</v>
      </c>
      <c r="K33">
        <v>35.1</v>
      </c>
      <c r="L33">
        <v>150.6</v>
      </c>
      <c r="M33">
        <v>320.3</v>
      </c>
      <c r="N33">
        <v>1647.1</v>
      </c>
    </row>
    <row r="34" spans="1:14" x14ac:dyDescent="0.35">
      <c r="A34" t="s">
        <v>134</v>
      </c>
      <c r="B34">
        <v>575</v>
      </c>
      <c r="C34">
        <v>502.7</v>
      </c>
      <c r="D34">
        <v>412.4</v>
      </c>
      <c r="E34">
        <v>214.2</v>
      </c>
      <c r="F34">
        <v>64.7</v>
      </c>
      <c r="G34">
        <v>4.7</v>
      </c>
      <c r="H34">
        <v>0</v>
      </c>
      <c r="I34">
        <v>0</v>
      </c>
      <c r="J34">
        <v>15.3</v>
      </c>
      <c r="K34">
        <v>135.19999999999999</v>
      </c>
      <c r="L34">
        <v>292.7</v>
      </c>
      <c r="M34">
        <v>474.7</v>
      </c>
      <c r="N34">
        <v>2691.7</v>
      </c>
    </row>
    <row r="35" spans="1:14" x14ac:dyDescent="0.35">
      <c r="A35" t="s">
        <v>135</v>
      </c>
      <c r="B35">
        <v>668</v>
      </c>
      <c r="C35">
        <v>587.5</v>
      </c>
      <c r="D35">
        <v>504.8</v>
      </c>
      <c r="E35">
        <v>301.10000000000002</v>
      </c>
      <c r="F35">
        <v>129.30000000000001</v>
      </c>
      <c r="G35">
        <v>21.9</v>
      </c>
      <c r="H35">
        <v>1.5</v>
      </c>
      <c r="I35">
        <v>2.8</v>
      </c>
      <c r="J35">
        <v>49</v>
      </c>
      <c r="K35">
        <v>217.6</v>
      </c>
      <c r="L35">
        <v>382.7</v>
      </c>
      <c r="M35">
        <v>567.70000000000005</v>
      </c>
      <c r="N35">
        <v>3434</v>
      </c>
    </row>
    <row r="36" spans="1:14" x14ac:dyDescent="0.35">
      <c r="A36" s="15" t="s">
        <v>136</v>
      </c>
      <c r="B36" s="15">
        <f>AVERAGE((B34/N34),(B35/N35))</f>
        <v>0.2040724902317872</v>
      </c>
    </row>
    <row r="38" spans="1:14" x14ac:dyDescent="0.35">
      <c r="A38" s="31" t="s">
        <v>137</v>
      </c>
      <c r="B38" s="32">
        <f>B36*$A$15</f>
        <v>3231.0797378398865</v>
      </c>
      <c r="C38" s="31" t="s">
        <v>138</v>
      </c>
    </row>
    <row r="39" spans="1:14" x14ac:dyDescent="0.35">
      <c r="A39" s="31" t="s">
        <v>52</v>
      </c>
      <c r="B39" s="30">
        <f>ROUND(B38,-2)</f>
        <v>3200</v>
      </c>
      <c r="C39" s="30" t="s">
        <v>138</v>
      </c>
    </row>
    <row r="41" spans="1:14" x14ac:dyDescent="0.35">
      <c r="A41" s="19"/>
    </row>
    <row r="43" spans="1:14" x14ac:dyDescent="0.35">
      <c r="A43" s="19" t="s">
        <v>139</v>
      </c>
    </row>
    <row r="44" spans="1:14" x14ac:dyDescent="0.35">
      <c r="A44" t="s">
        <v>140</v>
      </c>
    </row>
    <row r="45" spans="1:14" x14ac:dyDescent="0.35">
      <c r="A45" t="s">
        <v>110</v>
      </c>
    </row>
    <row r="47" spans="1:14" x14ac:dyDescent="0.35">
      <c r="A47" t="s">
        <v>111</v>
      </c>
    </row>
    <row r="48" spans="1:14" x14ac:dyDescent="0.35">
      <c r="A48" t="s">
        <v>112</v>
      </c>
    </row>
    <row r="49" spans="1:15" x14ac:dyDescent="0.35">
      <c r="B49" t="s">
        <v>113</v>
      </c>
      <c r="C49" t="s">
        <v>114</v>
      </c>
      <c r="D49" t="s">
        <v>115</v>
      </c>
      <c r="E49" t="s">
        <v>116</v>
      </c>
      <c r="F49" t="s">
        <v>72</v>
      </c>
      <c r="G49" t="s">
        <v>117</v>
      </c>
      <c r="H49" t="s">
        <v>118</v>
      </c>
      <c r="I49" t="s">
        <v>119</v>
      </c>
      <c r="J49" t="s">
        <v>120</v>
      </c>
      <c r="K49" t="s">
        <v>121</v>
      </c>
      <c r="L49" t="s">
        <v>122</v>
      </c>
      <c r="M49" t="s">
        <v>123</v>
      </c>
      <c r="N49" t="s">
        <v>124</v>
      </c>
      <c r="O49" t="s">
        <v>141</v>
      </c>
    </row>
    <row r="50" spans="1:15" x14ac:dyDescent="0.35">
      <c r="A50" t="s">
        <v>125</v>
      </c>
      <c r="B50">
        <v>0</v>
      </c>
      <c r="C50">
        <v>0</v>
      </c>
      <c r="D50">
        <v>0</v>
      </c>
      <c r="E50">
        <v>0</v>
      </c>
      <c r="F50">
        <v>0.5</v>
      </c>
      <c r="G50">
        <v>5.5</v>
      </c>
      <c r="H50">
        <v>10.7</v>
      </c>
      <c r="I50">
        <v>5</v>
      </c>
      <c r="J50">
        <v>1.3</v>
      </c>
      <c r="K50">
        <v>0.2</v>
      </c>
      <c r="L50">
        <v>0</v>
      </c>
      <c r="M50">
        <v>0</v>
      </c>
      <c r="N50">
        <v>23.3</v>
      </c>
      <c r="O50" t="s">
        <v>142</v>
      </c>
    </row>
    <row r="51" spans="1:15" x14ac:dyDescent="0.35">
      <c r="A51" t="s">
        <v>126</v>
      </c>
      <c r="B51">
        <v>0</v>
      </c>
      <c r="C51">
        <v>0</v>
      </c>
      <c r="D51">
        <v>0.3</v>
      </c>
      <c r="E51">
        <v>1</v>
      </c>
      <c r="F51">
        <v>14.3</v>
      </c>
      <c r="G51">
        <v>61.3</v>
      </c>
      <c r="H51">
        <v>102.8</v>
      </c>
      <c r="I51">
        <v>80.3</v>
      </c>
      <c r="J51">
        <v>33.6</v>
      </c>
      <c r="K51">
        <v>4.2</v>
      </c>
      <c r="L51">
        <v>0</v>
      </c>
      <c r="M51">
        <v>0</v>
      </c>
      <c r="N51">
        <v>297.8</v>
      </c>
      <c r="O51" t="s">
        <v>142</v>
      </c>
    </row>
    <row r="52" spans="1:15" x14ac:dyDescent="0.35">
      <c r="A52" t="s">
        <v>127</v>
      </c>
      <c r="B52">
        <v>0</v>
      </c>
      <c r="C52">
        <v>0</v>
      </c>
      <c r="D52">
        <v>1.4</v>
      </c>
      <c r="E52">
        <v>5.0999999999999996</v>
      </c>
      <c r="F52">
        <v>34.4</v>
      </c>
      <c r="G52">
        <v>121.3</v>
      </c>
      <c r="H52">
        <v>188.3</v>
      </c>
      <c r="I52">
        <v>161.80000000000001</v>
      </c>
      <c r="J52">
        <v>81.7</v>
      </c>
      <c r="K52">
        <v>15.5</v>
      </c>
      <c r="L52">
        <v>0.3</v>
      </c>
      <c r="M52">
        <v>0</v>
      </c>
      <c r="N52">
        <v>609.70000000000005</v>
      </c>
      <c r="O52" t="s">
        <v>142</v>
      </c>
    </row>
    <row r="53" spans="1:15" x14ac:dyDescent="0.35">
      <c r="A53" t="s">
        <v>128</v>
      </c>
      <c r="B53">
        <v>0.2</v>
      </c>
      <c r="C53">
        <v>0.2</v>
      </c>
      <c r="D53">
        <v>7.1</v>
      </c>
      <c r="E53">
        <v>27.4</v>
      </c>
      <c r="F53">
        <v>107.5</v>
      </c>
      <c r="G53">
        <v>257.39999999999998</v>
      </c>
      <c r="H53">
        <v>342.9</v>
      </c>
      <c r="I53">
        <v>315.89999999999998</v>
      </c>
      <c r="J53">
        <v>206.9</v>
      </c>
      <c r="K53">
        <v>65.5</v>
      </c>
      <c r="L53">
        <v>8.8000000000000007</v>
      </c>
      <c r="M53">
        <v>0.7</v>
      </c>
      <c r="N53">
        <v>1340.5</v>
      </c>
      <c r="O53" t="s">
        <v>142</v>
      </c>
    </row>
    <row r="54" spans="1:15" x14ac:dyDescent="0.35">
      <c r="A54" t="s">
        <v>129</v>
      </c>
      <c r="B54">
        <v>3.3</v>
      </c>
      <c r="C54">
        <v>2.5</v>
      </c>
      <c r="D54">
        <v>25.5</v>
      </c>
      <c r="E54">
        <v>87.4</v>
      </c>
      <c r="F54">
        <v>240.1</v>
      </c>
      <c r="G54">
        <v>407</v>
      </c>
      <c r="H54">
        <v>497.9</v>
      </c>
      <c r="I54">
        <v>470.9</v>
      </c>
      <c r="J54">
        <v>354.6</v>
      </c>
      <c r="K54">
        <v>178.1</v>
      </c>
      <c r="L54">
        <v>47.4</v>
      </c>
      <c r="M54">
        <v>7.4</v>
      </c>
      <c r="N54">
        <v>2321.9</v>
      </c>
      <c r="O54" t="s">
        <v>142</v>
      </c>
    </row>
    <row r="55" spans="1:15" x14ac:dyDescent="0.35">
      <c r="A55" t="s">
        <v>130</v>
      </c>
      <c r="B55">
        <v>22.4</v>
      </c>
      <c r="C55">
        <v>22</v>
      </c>
      <c r="D55">
        <v>81.900000000000006</v>
      </c>
      <c r="E55">
        <v>206.1</v>
      </c>
      <c r="F55">
        <v>393.9</v>
      </c>
      <c r="G55">
        <v>557</v>
      </c>
      <c r="H55">
        <v>652.9</v>
      </c>
      <c r="I55">
        <v>625.9</v>
      </c>
      <c r="J55">
        <v>504.6</v>
      </c>
      <c r="K55">
        <v>329.2</v>
      </c>
      <c r="L55">
        <v>141.30000000000001</v>
      </c>
      <c r="M55">
        <v>45.6</v>
      </c>
      <c r="N55">
        <v>3582.8</v>
      </c>
      <c r="O55" t="s">
        <v>142</v>
      </c>
    </row>
    <row r="56" spans="1:15" x14ac:dyDescent="0.35">
      <c r="A56" t="s">
        <v>131</v>
      </c>
      <c r="B56">
        <v>152.80000000000001</v>
      </c>
      <c r="C56">
        <v>120.8</v>
      </c>
      <c r="D56">
        <v>57.1</v>
      </c>
      <c r="E56">
        <v>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12.3</v>
      </c>
      <c r="M56">
        <v>73.5</v>
      </c>
      <c r="N56">
        <v>419.5</v>
      </c>
      <c r="O56" t="s">
        <v>142</v>
      </c>
    </row>
    <row r="57" spans="1:15" x14ac:dyDescent="0.35">
      <c r="A57" t="s">
        <v>132</v>
      </c>
      <c r="B57">
        <v>288.7</v>
      </c>
      <c r="C57">
        <v>242.7</v>
      </c>
      <c r="D57">
        <v>155.6</v>
      </c>
      <c r="E57">
        <v>34.299999999999997</v>
      </c>
      <c r="F57">
        <v>1.1000000000000001</v>
      </c>
      <c r="G57">
        <v>0</v>
      </c>
      <c r="H57">
        <v>0</v>
      </c>
      <c r="I57">
        <v>0</v>
      </c>
      <c r="J57">
        <v>0</v>
      </c>
      <c r="K57">
        <v>3.9</v>
      </c>
      <c r="L57">
        <v>68.400000000000006</v>
      </c>
      <c r="M57">
        <v>190.3</v>
      </c>
      <c r="N57">
        <v>985</v>
      </c>
      <c r="O57" t="s">
        <v>142</v>
      </c>
    </row>
    <row r="58" spans="1:15" x14ac:dyDescent="0.35">
      <c r="A58" t="s">
        <v>133</v>
      </c>
      <c r="B58">
        <v>440.6</v>
      </c>
      <c r="C58">
        <v>381.9</v>
      </c>
      <c r="D58">
        <v>292.2</v>
      </c>
      <c r="E58">
        <v>124.3</v>
      </c>
      <c r="F58">
        <v>23.6</v>
      </c>
      <c r="G58">
        <v>0.4</v>
      </c>
      <c r="H58">
        <v>0</v>
      </c>
      <c r="I58">
        <v>0</v>
      </c>
      <c r="J58">
        <v>2.2999999999999998</v>
      </c>
      <c r="K58">
        <v>46.3</v>
      </c>
      <c r="L58">
        <v>179.9</v>
      </c>
      <c r="M58">
        <v>338.6</v>
      </c>
      <c r="N58">
        <v>1830.1</v>
      </c>
      <c r="O58" t="s">
        <v>142</v>
      </c>
    </row>
    <row r="59" spans="1:15" x14ac:dyDescent="0.35">
      <c r="A59" t="s">
        <v>134</v>
      </c>
      <c r="B59">
        <v>595.4</v>
      </c>
      <c r="C59">
        <v>523.20000000000005</v>
      </c>
      <c r="D59">
        <v>441.6</v>
      </c>
      <c r="E59">
        <v>252</v>
      </c>
      <c r="F59">
        <v>105.5</v>
      </c>
      <c r="G59">
        <v>14.3</v>
      </c>
      <c r="H59">
        <v>0.4</v>
      </c>
      <c r="I59">
        <v>0.8</v>
      </c>
      <c r="J59">
        <v>27.2</v>
      </c>
      <c r="K59">
        <v>151.30000000000001</v>
      </c>
      <c r="L59">
        <v>321.3</v>
      </c>
      <c r="M59">
        <v>492.9</v>
      </c>
      <c r="N59">
        <v>2925.8</v>
      </c>
      <c r="O59" t="s">
        <v>142</v>
      </c>
    </row>
    <row r="60" spans="1:15" x14ac:dyDescent="0.35">
      <c r="A60" t="s">
        <v>135</v>
      </c>
      <c r="B60">
        <v>688.4</v>
      </c>
      <c r="C60">
        <v>608</v>
      </c>
      <c r="D60">
        <v>533.4</v>
      </c>
      <c r="E60">
        <v>337.9</v>
      </c>
      <c r="F60">
        <v>178.4</v>
      </c>
      <c r="G60">
        <v>44.3</v>
      </c>
      <c r="H60">
        <v>7.9</v>
      </c>
      <c r="I60">
        <v>12.3</v>
      </c>
      <c r="J60">
        <v>69.099999999999994</v>
      </c>
      <c r="K60">
        <v>233</v>
      </c>
      <c r="L60">
        <v>411.1</v>
      </c>
      <c r="M60">
        <v>585.9</v>
      </c>
      <c r="N60">
        <v>3709.7</v>
      </c>
      <c r="O60" t="s">
        <v>142</v>
      </c>
    </row>
    <row r="61" spans="1:15" x14ac:dyDescent="0.35">
      <c r="A61" s="15" t="s">
        <v>136</v>
      </c>
      <c r="B61" s="15">
        <f>AVERAGE((B59/N59),(B60/N60))</f>
        <v>0.19453373178720429</v>
      </c>
    </row>
    <row r="62" spans="1:15" x14ac:dyDescent="0.3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5" x14ac:dyDescent="0.35">
      <c r="A63" t="s">
        <v>137</v>
      </c>
      <c r="B63" s="12">
        <f>B61*$A$15</f>
        <v>3080.0525753868055</v>
      </c>
      <c r="C63" t="s">
        <v>138</v>
      </c>
    </row>
    <row r="64" spans="1:15" x14ac:dyDescent="0.35">
      <c r="A64" t="s">
        <v>52</v>
      </c>
      <c r="B64" s="14">
        <f>ROUND(B63,-2)</f>
        <v>3100</v>
      </c>
      <c r="C64" s="14" t="s">
        <v>138</v>
      </c>
    </row>
  </sheetData>
  <hyperlinks>
    <hyperlink ref="A1" r:id="rId1" xr:uid="{F7FE564B-05C3-4406-86A5-F4F6532EAB6D}"/>
    <hyperlink ref="A18" r:id="rId2" xr:uid="{328E4A63-0C3F-479B-AE95-C553D833B3DB}"/>
    <hyperlink ref="A43" r:id="rId3" xr:uid="{3AF31D38-F405-4756-9C36-C9DD587ED907}"/>
  </hyperlinks>
  <pageMargins left="0.7" right="0.7" top="0.75" bottom="0.75" header="0.3" footer="0.3"/>
  <pageSetup scale="5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149B-E58D-49AA-AE25-AC009A1CA1B1}">
  <dimension ref="A2:N10"/>
  <sheetViews>
    <sheetView view="pageBreakPreview" zoomScale="60" zoomScaleNormal="100" workbookViewId="0">
      <selection activeCell="E1" sqref="E1"/>
    </sheetView>
  </sheetViews>
  <sheetFormatPr defaultRowHeight="14.5" x14ac:dyDescent="0.35"/>
  <cols>
    <col min="1" max="1" width="22.1796875" customWidth="1"/>
    <col min="2" max="2" width="27.54296875" customWidth="1"/>
    <col min="3" max="3" width="25.7265625" customWidth="1"/>
    <col min="4" max="4" width="24.7265625" customWidth="1"/>
    <col min="5" max="5" width="23.1796875" customWidth="1"/>
    <col min="8" max="8" width="32.7265625" bestFit="1" customWidth="1"/>
    <col min="9" max="9" width="12" bestFit="1" customWidth="1"/>
    <col min="10" max="11" width="9.54296875" bestFit="1" customWidth="1"/>
    <col min="12" max="12" width="20.453125" bestFit="1" customWidth="1"/>
  </cols>
  <sheetData>
    <row r="2" spans="1:14" x14ac:dyDescent="0.35">
      <c r="H2" t="s">
        <v>143</v>
      </c>
      <c r="I2" s="1">
        <f>ROUND(0.123478103025,3)</f>
        <v>0.123</v>
      </c>
      <c r="L2" t="s">
        <v>144</v>
      </c>
      <c r="M2" s="13">
        <v>3200</v>
      </c>
    </row>
    <row r="3" spans="1:14" ht="15" thickBot="1" x14ac:dyDescent="0.4">
      <c r="A3" t="s">
        <v>145</v>
      </c>
      <c r="H3" t="s">
        <v>146</v>
      </c>
      <c r="I3" s="1">
        <f>ROUND(0.298901559166667,3)</f>
        <v>0.29899999999999999</v>
      </c>
    </row>
    <row r="4" spans="1:14" ht="19" thickBot="1" x14ac:dyDescent="0.5">
      <c r="A4" s="22" t="s">
        <v>147</v>
      </c>
      <c r="B4" s="23"/>
      <c r="C4" s="23"/>
      <c r="D4" s="23"/>
      <c r="E4" s="24"/>
      <c r="H4" t="s">
        <v>148</v>
      </c>
      <c r="I4" s="2">
        <v>37.299999999999997</v>
      </c>
    </row>
    <row r="5" spans="1:14" ht="19" thickBot="1" x14ac:dyDescent="0.5">
      <c r="A5" s="25" t="s">
        <v>149</v>
      </c>
      <c r="B5" s="26" t="s">
        <v>150</v>
      </c>
      <c r="C5" s="26" t="s">
        <v>142</v>
      </c>
      <c r="D5" s="26" t="s">
        <v>151</v>
      </c>
      <c r="E5" s="27" t="s">
        <v>152</v>
      </c>
      <c r="H5" s="31" t="s">
        <v>153</v>
      </c>
      <c r="I5" s="33">
        <f>ROUND(I3/I4*3.6,4)</f>
        <v>2.8899999999999999E-2</v>
      </c>
      <c r="J5" s="34">
        <f>I2/I5</f>
        <v>4.2560553633217992</v>
      </c>
      <c r="K5" s="35" t="s">
        <v>154</v>
      </c>
      <c r="L5" s="36"/>
    </row>
    <row r="6" spans="1:14" ht="48.5" thickBot="1" x14ac:dyDescent="0.4">
      <c r="A6" s="6" t="s">
        <v>155</v>
      </c>
      <c r="B6" s="20" t="s">
        <v>156</v>
      </c>
      <c r="C6" s="20" t="s">
        <v>157</v>
      </c>
      <c r="D6" s="20" t="s">
        <v>158</v>
      </c>
      <c r="E6" s="20" t="s">
        <v>159</v>
      </c>
    </row>
    <row r="7" spans="1:14" ht="32.5" thickBot="1" x14ac:dyDescent="0.4">
      <c r="A7" s="6" t="s">
        <v>160</v>
      </c>
      <c r="B7" s="7" t="str">
        <f>TEXT(G7,"#,##0")&amp;" kWh"</f>
        <v>3,200 kWh</v>
      </c>
      <c r="C7" s="8">
        <f>H7</f>
        <v>2</v>
      </c>
      <c r="D7" s="9" t="str">
        <f>TEXT(I7,"#,##0")&amp;" kWh"</f>
        <v>1,600 kWh</v>
      </c>
      <c r="E7" s="7" t="str">
        <f>"~ $"&amp;TEXT(J7,"0.00")</f>
        <v>~ $196.80</v>
      </c>
      <c r="G7" s="10">
        <f>$M$2</f>
        <v>3200</v>
      </c>
      <c r="H7">
        <v>2</v>
      </c>
      <c r="I7" s="10">
        <f>ROUND(G7/H7,0)</f>
        <v>1600</v>
      </c>
      <c r="J7" s="11">
        <f>ROUND(I7*$I$2,2)</f>
        <v>196.8</v>
      </c>
      <c r="N7" s="12"/>
    </row>
    <row r="8" spans="1:14" ht="32.5" thickBot="1" x14ac:dyDescent="0.4">
      <c r="A8" s="6" t="s">
        <v>160</v>
      </c>
      <c r="B8" s="7" t="str">
        <f t="shared" ref="B8:B10" si="0">TEXT(G8,"#,##0")&amp;" kWh"</f>
        <v>3,200 kWh</v>
      </c>
      <c r="C8" s="8">
        <f t="shared" ref="C8:C10" si="1">H8</f>
        <v>4</v>
      </c>
      <c r="D8" s="9" t="str">
        <f t="shared" ref="D8" si="2">TEXT(I8,"#,##0")&amp;" kWh"</f>
        <v>800 kWh</v>
      </c>
      <c r="E8" s="7" t="str">
        <f t="shared" ref="E8:E10" si="3">"~ $"&amp;TEXT(J8,"0.00")</f>
        <v>~ $98.40</v>
      </c>
      <c r="G8" s="10">
        <f t="shared" ref="G8:G10" si="4">$M$2</f>
        <v>3200</v>
      </c>
      <c r="H8">
        <v>4</v>
      </c>
      <c r="I8" s="10">
        <f t="shared" ref="I8:I10" si="5">ROUND(G8/H8,0)</f>
        <v>800</v>
      </c>
      <c r="J8" s="11">
        <f>ROUND(I8*$I$2,2)</f>
        <v>98.4</v>
      </c>
    </row>
    <row r="9" spans="1:14" ht="32.5" thickBot="1" x14ac:dyDescent="0.4">
      <c r="A9" s="6" t="s">
        <v>161</v>
      </c>
      <c r="B9" s="7" t="str">
        <f t="shared" si="0"/>
        <v>3,200 kWh</v>
      </c>
      <c r="C9" s="8">
        <f t="shared" si="1"/>
        <v>0.9</v>
      </c>
      <c r="D9" s="9" t="str">
        <f>TEXT(I9,"#,##0")&amp;" kWh"&amp;" (~"&amp;TEXT(L9,"#,##0")&amp;" m³)"</f>
        <v>3,556 kWh (~343 m³)</v>
      </c>
      <c r="E9" s="7" t="str">
        <f t="shared" si="3"/>
        <v>~ $102.77</v>
      </c>
      <c r="G9" s="10">
        <f t="shared" si="4"/>
        <v>3200</v>
      </c>
      <c r="H9">
        <v>0.9</v>
      </c>
      <c r="I9" s="10">
        <f t="shared" si="5"/>
        <v>3556</v>
      </c>
      <c r="J9" s="11">
        <f>ROUND(I9*$I$5,2)</f>
        <v>102.77</v>
      </c>
      <c r="K9" s="10">
        <f>J9/$I$3</f>
        <v>343.7123745819398</v>
      </c>
      <c r="L9">
        <f>ROUND(I9*3.6/$I$4,0)</f>
        <v>343</v>
      </c>
    </row>
    <row r="10" spans="1:14" ht="32.5" thickBot="1" x14ac:dyDescent="0.4">
      <c r="A10" s="6" t="s">
        <v>161</v>
      </c>
      <c r="B10" s="7" t="str">
        <f t="shared" si="0"/>
        <v>3,200 kWh</v>
      </c>
      <c r="C10" s="21">
        <f t="shared" si="1"/>
        <v>0.98499999999999999</v>
      </c>
      <c r="D10" s="9" t="str">
        <f>TEXT(I10,"#,##0")&amp;" kWh"&amp;" (~"&amp;TEXT(L10,"#,##0")&amp;" m³)"</f>
        <v>3,249 kWh (~314 m³)</v>
      </c>
      <c r="E10" s="7" t="str">
        <f t="shared" si="3"/>
        <v>~ $93.90</v>
      </c>
      <c r="G10" s="10">
        <f t="shared" si="4"/>
        <v>3200</v>
      </c>
      <c r="H10">
        <v>0.98499999999999999</v>
      </c>
      <c r="I10" s="10">
        <f t="shared" si="5"/>
        <v>3249</v>
      </c>
      <c r="J10" s="11">
        <f>ROUND(I10*$I$5,2)</f>
        <v>93.9</v>
      </c>
      <c r="K10" s="10">
        <f>J10/$I$3</f>
        <v>314.04682274247494</v>
      </c>
      <c r="L10">
        <f>ROUND(I10*3.6/$I$4,0)</f>
        <v>314</v>
      </c>
    </row>
  </sheetData>
  <pageMargins left="0.7" right="0.7" top="0.75" bottom="0.75" header="0.3" footer="0.3"/>
  <pageSetup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04D2-684F-409C-A0A3-DEB152C61FB6}">
  <dimension ref="A2:M12"/>
  <sheetViews>
    <sheetView view="pageBreakPreview" topLeftCell="B1" zoomScale="60" zoomScaleNormal="100" workbookViewId="0">
      <selection activeCell="B8" sqref="B8"/>
    </sheetView>
  </sheetViews>
  <sheetFormatPr defaultRowHeight="14.5" x14ac:dyDescent="0.35"/>
  <cols>
    <col min="1" max="1" width="22.1796875" customWidth="1"/>
    <col min="2" max="2" width="27.54296875" customWidth="1"/>
    <col min="3" max="3" width="25.7265625" customWidth="1"/>
    <col min="4" max="4" width="24.7265625" customWidth="1"/>
    <col min="5" max="5" width="23.1796875" customWidth="1"/>
    <col min="8" max="8" width="32.7265625" bestFit="1" customWidth="1"/>
    <col min="9" max="9" width="12" bestFit="1" customWidth="1"/>
    <col min="10" max="11" width="9.54296875" bestFit="1" customWidth="1"/>
    <col min="12" max="12" width="20.453125" bestFit="1" customWidth="1"/>
  </cols>
  <sheetData>
    <row r="2" spans="1:13" x14ac:dyDescent="0.35">
      <c r="H2" t="s">
        <v>143</v>
      </c>
      <c r="I2" s="1">
        <f>ROUND(0.12136038183,3)</f>
        <v>0.121</v>
      </c>
      <c r="L2" t="s">
        <v>144</v>
      </c>
      <c r="M2" s="13">
        <v>3100</v>
      </c>
    </row>
    <row r="3" spans="1:13" x14ac:dyDescent="0.35">
      <c r="H3" t="s">
        <v>146</v>
      </c>
      <c r="I3" s="1">
        <f>ROUND(0.281068583901774,3)</f>
        <v>0.28100000000000003</v>
      </c>
    </row>
    <row r="4" spans="1:13" ht="15" thickBot="1" x14ac:dyDescent="0.4">
      <c r="H4" t="s">
        <v>148</v>
      </c>
      <c r="I4" s="2">
        <v>37.299999999999997</v>
      </c>
    </row>
    <row r="5" spans="1:13" ht="15" thickBot="1" x14ac:dyDescent="0.4">
      <c r="H5" t="s">
        <v>153</v>
      </c>
      <c r="I5" s="3">
        <f>ROUND(I3/I4*3.6,4)</f>
        <v>2.7099999999999999E-2</v>
      </c>
      <c r="J5" s="34">
        <f>I2/I5</f>
        <v>4.4649446494464948</v>
      </c>
      <c r="K5" s="35" t="s">
        <v>154</v>
      </c>
      <c r="L5" s="36"/>
    </row>
    <row r="6" spans="1:13" ht="15" thickBot="1" x14ac:dyDescent="0.4">
      <c r="A6" t="s">
        <v>162</v>
      </c>
    </row>
    <row r="7" spans="1:13" ht="48.5" thickBot="1" x14ac:dyDescent="0.4">
      <c r="A7" s="4" t="s">
        <v>155</v>
      </c>
      <c r="B7" s="5" t="s">
        <v>156</v>
      </c>
      <c r="C7" s="5" t="s">
        <v>157</v>
      </c>
      <c r="D7" s="5" t="s">
        <v>158</v>
      </c>
      <c r="E7" s="5" t="s">
        <v>159</v>
      </c>
    </row>
    <row r="8" spans="1:13" ht="32.5" thickBot="1" x14ac:dyDescent="0.4">
      <c r="A8" s="6" t="s">
        <v>163</v>
      </c>
      <c r="B8" s="7" t="str">
        <f>TEXT(G8,"#,##0")&amp;" kWh"</f>
        <v>3,100 kWh</v>
      </c>
      <c r="C8" s="8">
        <f>H8</f>
        <v>1</v>
      </c>
      <c r="D8" s="9" t="str">
        <f>TEXT(I8,"#,##0")&amp;" kWh"</f>
        <v>3,100 kWh</v>
      </c>
      <c r="E8" s="7" t="str">
        <f>"~ $"&amp;TEXT(J8,"0.00")</f>
        <v>~ $375.10</v>
      </c>
      <c r="G8" s="10">
        <f>$M$2</f>
        <v>3100</v>
      </c>
      <c r="H8">
        <v>1</v>
      </c>
      <c r="I8" s="10">
        <f>ROUND(G8/H8,0)</f>
        <v>3100</v>
      </c>
      <c r="J8" s="11">
        <f>ROUND(I8*$I$2,2)</f>
        <v>375.1</v>
      </c>
    </row>
    <row r="9" spans="1:13" ht="32.5" thickBot="1" x14ac:dyDescent="0.4">
      <c r="A9" s="6" t="s">
        <v>160</v>
      </c>
      <c r="B9" s="7" t="str">
        <f>TEXT(G9,"#,##0")&amp;" kWh"</f>
        <v>3,100 kWh</v>
      </c>
      <c r="C9" s="8">
        <f>H9</f>
        <v>2</v>
      </c>
      <c r="D9" s="9" t="str">
        <f>TEXT(I9,"#,##0")&amp;" kWh"</f>
        <v>1,550 kWh</v>
      </c>
      <c r="E9" s="7" t="str">
        <f>"~ $"&amp;TEXT(J9,"0.00")</f>
        <v>~ $187.55</v>
      </c>
      <c r="G9" s="10">
        <f>$M$2</f>
        <v>3100</v>
      </c>
      <c r="H9">
        <v>2</v>
      </c>
      <c r="I9" s="10">
        <f>ROUND(G9/H9,0)</f>
        <v>1550</v>
      </c>
      <c r="J9" s="11">
        <f>ROUND(I9*$I$2,2)</f>
        <v>187.55</v>
      </c>
    </row>
    <row r="10" spans="1:13" ht="32.5" thickBot="1" x14ac:dyDescent="0.4">
      <c r="A10" s="6" t="s">
        <v>160</v>
      </c>
      <c r="B10" s="7" t="str">
        <f t="shared" ref="B10:B12" si="0">TEXT(G10,"#,##0")&amp;" kWh"</f>
        <v>3,100 kWh</v>
      </c>
      <c r="C10" s="8">
        <f>H10</f>
        <v>4</v>
      </c>
      <c r="D10" s="9" t="str">
        <f t="shared" ref="D10" si="1">TEXT(I10,"#,##0")&amp;" kWh"</f>
        <v>775 kWh</v>
      </c>
      <c r="E10" s="7" t="str">
        <f t="shared" ref="E10:E12" si="2">"~ $"&amp;TEXT(J10,"0.00")</f>
        <v>~ $93.78</v>
      </c>
      <c r="G10" s="10">
        <f t="shared" ref="G10:G12" si="3">$M$2</f>
        <v>3100</v>
      </c>
      <c r="H10">
        <v>4</v>
      </c>
      <c r="I10" s="10">
        <f t="shared" ref="I10:I12" si="4">ROUND(G10/H10,0)</f>
        <v>775</v>
      </c>
      <c r="J10" s="11">
        <f>ROUND(I10*$I$2,2)</f>
        <v>93.78</v>
      </c>
    </row>
    <row r="11" spans="1:13" ht="32.5" thickBot="1" x14ac:dyDescent="0.4">
      <c r="A11" s="6" t="s">
        <v>161</v>
      </c>
      <c r="B11" s="7" t="str">
        <f t="shared" si="0"/>
        <v>3,100 kWh</v>
      </c>
      <c r="C11" s="8">
        <f>H11</f>
        <v>0.9</v>
      </c>
      <c r="D11" s="9" t="str">
        <f>TEXT(I11,"#,##0")&amp;" kWh"&amp;" (~"&amp;TEXT(L11,"#,##0")&amp;" m³)"</f>
        <v>3,444 kWh (~332 m³)</v>
      </c>
      <c r="E11" s="7" t="str">
        <f t="shared" si="2"/>
        <v>~ $93.33</v>
      </c>
      <c r="G11" s="10">
        <f t="shared" si="3"/>
        <v>3100</v>
      </c>
      <c r="H11">
        <v>0.9</v>
      </c>
      <c r="I11" s="10">
        <f t="shared" si="4"/>
        <v>3444</v>
      </c>
      <c r="J11" s="11">
        <f>ROUND(I11*$I$5,2)</f>
        <v>93.33</v>
      </c>
      <c r="K11" s="10">
        <f>J11/$I$3</f>
        <v>332.13523131672594</v>
      </c>
      <c r="L11">
        <f>ROUND(I11*3.6/$I$4,0)</f>
        <v>332</v>
      </c>
    </row>
    <row r="12" spans="1:13" ht="32.5" thickBot="1" x14ac:dyDescent="0.4">
      <c r="A12" s="6" t="s">
        <v>161</v>
      </c>
      <c r="B12" s="7" t="str">
        <f t="shared" si="0"/>
        <v>3,100 kWh</v>
      </c>
      <c r="C12" s="21">
        <f>H12</f>
        <v>0.98499999999999999</v>
      </c>
      <c r="D12" s="9" t="str">
        <f>TEXT(I12,"#,##0")&amp;" kWh"&amp;" (~"&amp;TEXT(L12,"#,##0")&amp;" m³)"</f>
        <v>3,147 kWh (~304 m³)</v>
      </c>
      <c r="E12" s="7" t="str">
        <f t="shared" si="2"/>
        <v>~ $85.28</v>
      </c>
      <c r="G12" s="10">
        <f t="shared" si="3"/>
        <v>3100</v>
      </c>
      <c r="H12">
        <v>0.98499999999999999</v>
      </c>
      <c r="I12" s="10">
        <f t="shared" si="4"/>
        <v>3147</v>
      </c>
      <c r="J12" s="11">
        <f>ROUND(I12*$I$5,2)</f>
        <v>85.28</v>
      </c>
      <c r="K12" s="10">
        <f>J12/$I$3</f>
        <v>303.48754448398574</v>
      </c>
      <c r="L12">
        <f>ROUND(I12*3.6/$I$4,0)</f>
        <v>304</v>
      </c>
    </row>
  </sheetData>
  <pageMargins left="0.7" right="0.7" top="0.75" bottom="0.75" header="0.3" footer="0.3"/>
  <pageSetup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F5396-E959-46F2-B803-76D60C26CB38}">
  <dimension ref="A2:M12"/>
  <sheetViews>
    <sheetView tabSelected="1" view="pageBreakPreview" topLeftCell="D3" zoomScaleNormal="100" zoomScaleSheetLayoutView="100" workbookViewId="0">
      <selection activeCell="I4" sqref="I4"/>
    </sheetView>
  </sheetViews>
  <sheetFormatPr defaultRowHeight="14.5" x14ac:dyDescent="0.35"/>
  <cols>
    <col min="1" max="1" width="22.1796875" customWidth="1"/>
    <col min="2" max="2" width="27.54296875" customWidth="1"/>
    <col min="3" max="3" width="25.7265625" customWidth="1"/>
    <col min="4" max="4" width="24.7265625" customWidth="1"/>
    <col min="5" max="5" width="23.1796875" customWidth="1"/>
    <col min="8" max="8" width="32.7265625" bestFit="1" customWidth="1"/>
    <col min="9" max="9" width="12" bestFit="1" customWidth="1"/>
    <col min="10" max="11" width="9.54296875" bestFit="1" customWidth="1"/>
    <col min="12" max="12" width="20.453125" bestFit="1" customWidth="1"/>
  </cols>
  <sheetData>
    <row r="2" spans="1:13" x14ac:dyDescent="0.35">
      <c r="H2" t="s">
        <v>143</v>
      </c>
      <c r="I2" s="1">
        <f>ROUND(0.123478103025,3)</f>
        <v>0.123</v>
      </c>
      <c r="L2" t="s">
        <v>144</v>
      </c>
      <c r="M2" s="13">
        <v>3200</v>
      </c>
    </row>
    <row r="3" spans="1:13" x14ac:dyDescent="0.35">
      <c r="H3" t="s">
        <v>146</v>
      </c>
      <c r="I3" s="1">
        <f>ROUND(0.298901559166667,3)</f>
        <v>0.29899999999999999</v>
      </c>
    </row>
    <row r="4" spans="1:13" ht="15" thickBot="1" x14ac:dyDescent="0.4">
      <c r="H4" t="s">
        <v>148</v>
      </c>
      <c r="I4" s="2">
        <v>37.299999999999997</v>
      </c>
    </row>
    <row r="5" spans="1:13" ht="15" thickBot="1" x14ac:dyDescent="0.4">
      <c r="H5" t="s">
        <v>153</v>
      </c>
      <c r="I5" s="3">
        <f>ROUND(I3/I4*3.6,4)</f>
        <v>2.8899999999999999E-2</v>
      </c>
      <c r="J5" s="34">
        <f>I2/I5</f>
        <v>4.2560553633217992</v>
      </c>
      <c r="K5" s="35" t="s">
        <v>154</v>
      </c>
      <c r="L5" s="36"/>
    </row>
    <row r="6" spans="1:13" ht="15" thickBot="1" x14ac:dyDescent="0.4">
      <c r="A6" t="s">
        <v>164</v>
      </c>
    </row>
    <row r="7" spans="1:13" ht="48.5" thickBot="1" x14ac:dyDescent="0.4">
      <c r="A7" s="4" t="s">
        <v>155</v>
      </c>
      <c r="B7" s="5" t="s">
        <v>156</v>
      </c>
      <c r="C7" s="5" t="s">
        <v>157</v>
      </c>
      <c r="D7" s="5" t="s">
        <v>158</v>
      </c>
      <c r="E7" s="5" t="s">
        <v>159</v>
      </c>
    </row>
    <row r="8" spans="1:13" ht="32.5" thickBot="1" x14ac:dyDescent="0.4">
      <c r="A8" s="6" t="s">
        <v>163</v>
      </c>
      <c r="B8" s="7" t="str">
        <f>TEXT(G8,"#,##0")&amp;" kWh"</f>
        <v>3,200 kWh</v>
      </c>
      <c r="C8" s="8">
        <f>H8</f>
        <v>1</v>
      </c>
      <c r="D8" s="9" t="str">
        <f>TEXT(I8,"#,##0")&amp;" kWh"</f>
        <v>3,200 kWh</v>
      </c>
      <c r="E8" s="7" t="str">
        <f>"~ $"&amp;TEXT(J8,"0.00")</f>
        <v>~ $393.60</v>
      </c>
      <c r="G8" s="10">
        <f>$M$2</f>
        <v>3200</v>
      </c>
      <c r="H8">
        <v>1</v>
      </c>
      <c r="I8" s="10">
        <f>ROUND(G8/H8,0)</f>
        <v>3200</v>
      </c>
      <c r="J8" s="11">
        <f>ROUND(I8*$I$2,2)</f>
        <v>393.6</v>
      </c>
    </row>
    <row r="9" spans="1:13" ht="32.5" thickBot="1" x14ac:dyDescent="0.4">
      <c r="A9" s="6" t="s">
        <v>160</v>
      </c>
      <c r="B9" s="7" t="str">
        <f>TEXT(G9,"#,##0")&amp;" kWh"</f>
        <v>3,200 kWh</v>
      </c>
      <c r="C9" s="8">
        <f>H9</f>
        <v>2</v>
      </c>
      <c r="D9" s="9" t="str">
        <f>TEXT(I9,"#,##0")&amp;" kWh"</f>
        <v>1,600 kWh</v>
      </c>
      <c r="E9" s="7" t="str">
        <f>"~ $"&amp;TEXT(J9,"0.00")</f>
        <v>~ $196.80</v>
      </c>
      <c r="G9" s="10">
        <f>$M$2</f>
        <v>3200</v>
      </c>
      <c r="H9">
        <v>2</v>
      </c>
      <c r="I9" s="10">
        <f>ROUND(G9/H9,0)</f>
        <v>1600</v>
      </c>
      <c r="J9" s="11">
        <f>ROUND(I9*$I$2,2)</f>
        <v>196.8</v>
      </c>
    </row>
    <row r="10" spans="1:13" ht="32.5" thickBot="1" x14ac:dyDescent="0.4">
      <c r="A10" s="6" t="s">
        <v>160</v>
      </c>
      <c r="B10" s="7" t="str">
        <f t="shared" ref="B10:B12" si="0">TEXT(G10,"#,##0")&amp;" kWh"</f>
        <v>3,200 kWh</v>
      </c>
      <c r="C10" s="8">
        <f>H10</f>
        <v>4</v>
      </c>
      <c r="D10" s="9" t="str">
        <f t="shared" ref="D10" si="1">TEXT(I10,"#,##0")&amp;" kWh"</f>
        <v>800 kWh</v>
      </c>
      <c r="E10" s="7" t="str">
        <f t="shared" ref="E10:E12" si="2">"~ $"&amp;TEXT(J10,"0.00")</f>
        <v>~ $98.40</v>
      </c>
      <c r="G10" s="10">
        <f t="shared" ref="G10:G12" si="3">$M$2</f>
        <v>3200</v>
      </c>
      <c r="H10">
        <v>4</v>
      </c>
      <c r="I10" s="10">
        <f t="shared" ref="I10:I12" si="4">ROUND(G10/H10,0)</f>
        <v>800</v>
      </c>
      <c r="J10" s="11">
        <f>ROUND(I10*$I$2,2)</f>
        <v>98.4</v>
      </c>
    </row>
    <row r="11" spans="1:13" ht="32.5" thickBot="1" x14ac:dyDescent="0.4">
      <c r="A11" s="6" t="s">
        <v>161</v>
      </c>
      <c r="B11" s="7" t="str">
        <f t="shared" si="0"/>
        <v>3,200 kWh</v>
      </c>
      <c r="C11" s="8">
        <f>H11</f>
        <v>0.9</v>
      </c>
      <c r="D11" s="9" t="str">
        <f>TEXT(I11,"#,##0")&amp;" kWh"&amp;" (~"&amp;TEXT(L11,"#,##0")&amp;" m³)"</f>
        <v>3,556 kWh (~343 m³)</v>
      </c>
      <c r="E11" s="7" t="str">
        <f t="shared" si="2"/>
        <v>~ $102.77</v>
      </c>
      <c r="G11" s="10">
        <f t="shared" si="3"/>
        <v>3200</v>
      </c>
      <c r="H11">
        <v>0.9</v>
      </c>
      <c r="I11" s="10">
        <f t="shared" si="4"/>
        <v>3556</v>
      </c>
      <c r="J11" s="11">
        <f>ROUND(I11*$I$5,2)</f>
        <v>102.77</v>
      </c>
      <c r="K11" s="10">
        <f>J11/$I$3</f>
        <v>343.7123745819398</v>
      </c>
      <c r="L11">
        <f>ROUND(I11*3.6/$I$4,0)</f>
        <v>343</v>
      </c>
    </row>
    <row r="12" spans="1:13" ht="32.5" thickBot="1" x14ac:dyDescent="0.4">
      <c r="A12" s="6" t="s">
        <v>161</v>
      </c>
      <c r="B12" s="7" t="str">
        <f t="shared" si="0"/>
        <v>3,200 kWh</v>
      </c>
      <c r="C12" s="21">
        <f>H12</f>
        <v>0.98499999999999999</v>
      </c>
      <c r="D12" s="9" t="str">
        <f>TEXT(I12,"#,##0")&amp;" kWh"&amp;" (~"&amp;TEXT(L12,"#,##0")&amp;" m³)"</f>
        <v>3,249 kWh (~314 m³)</v>
      </c>
      <c r="E12" s="7" t="str">
        <f t="shared" si="2"/>
        <v>~ $93.90</v>
      </c>
      <c r="G12" s="10">
        <f t="shared" si="3"/>
        <v>3200</v>
      </c>
      <c r="H12">
        <v>0.98499999999999999</v>
      </c>
      <c r="I12" s="10">
        <f t="shared" si="4"/>
        <v>3249</v>
      </c>
      <c r="J12" s="11">
        <f>ROUND(I12*$I$5,2)</f>
        <v>93.9</v>
      </c>
      <c r="K12" s="10">
        <f>J12/$I$3</f>
        <v>314.04682274247494</v>
      </c>
      <c r="L12">
        <f>ROUND(I12*3.6/$I$4,0)</f>
        <v>314</v>
      </c>
    </row>
  </sheetData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Electrical Rates</vt:lpstr>
      <vt:lpstr>Gas Rates</vt:lpstr>
      <vt:lpstr>Heating Demands</vt:lpstr>
      <vt:lpstr>HRS Table</vt:lpstr>
      <vt:lpstr>Sarnia Table</vt:lpstr>
      <vt:lpstr>Pruning Table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2026-05-01T17:39:06Z</dcterms:created>
  <dcterms:modified xsi:type="dcterms:W3CDTF">2026-05-01T17:39:15Z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2026-05-01T17:39:15Z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87352c0f-1392-4eb7-8bce-788c9887b5b1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