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Working Folder\Excels to be refiled after inadvertent disc of conf tabs\"/>
    </mc:Choice>
  </mc:AlternateContent>
  <xr:revisionPtr revIDLastSave="0" documentId="8_{1462A9D9-6E09-4E18-AC00-0926E8AF0FE6}" xr6:coauthVersionLast="47" xr6:coauthVersionMax="47" xr10:uidLastSave="{00000000-0000-0000-0000-000000000000}"/>
  <bookViews>
    <workbookView xWindow="-110" yWindow="-110" windowWidth="19420" windowHeight="11500" xr2:uid="{F9CE2BF6-8799-4C2A-A197-7F3C6063678B}"/>
  </bookViews>
  <sheets>
    <sheet name="CCC-26" sheetId="1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1" l="1"/>
  <c r="N27" i="11"/>
  <c r="M27" i="11"/>
  <c r="L27" i="11"/>
  <c r="K27" i="11"/>
  <c r="J27" i="11"/>
  <c r="I27" i="11"/>
  <c r="H27" i="11"/>
  <c r="G27" i="11"/>
  <c r="F27" i="11"/>
  <c r="E27" i="11"/>
  <c r="N19" i="11"/>
  <c r="M19" i="11"/>
  <c r="L19" i="11"/>
  <c r="K19" i="11"/>
  <c r="J19" i="11"/>
  <c r="I19" i="11"/>
  <c r="H18" i="11"/>
  <c r="N14" i="11"/>
  <c r="M14" i="11"/>
  <c r="L14" i="11"/>
  <c r="K14" i="11"/>
  <c r="J14" i="11"/>
  <c r="I14" i="11"/>
  <c r="H14" i="11"/>
  <c r="G14" i="11"/>
  <c r="F14" i="11"/>
  <c r="E14" i="11"/>
  <c r="N26" i="11" l="1"/>
  <c r="M26" i="11"/>
  <c r="L26" i="11"/>
  <c r="K26" i="11"/>
  <c r="J26" i="11"/>
  <c r="I26" i="11"/>
  <c r="H26" i="11"/>
  <c r="G26" i="11"/>
  <c r="F26" i="11"/>
  <c r="E26" i="11"/>
  <c r="N25" i="11"/>
  <c r="M25" i="11"/>
  <c r="L25" i="11"/>
  <c r="K25" i="11"/>
  <c r="J25" i="11"/>
  <c r="I25" i="11"/>
  <c r="H25" i="11"/>
  <c r="G25" i="11"/>
  <c r="F25" i="11"/>
  <c r="E25" i="11"/>
  <c r="G19" i="11"/>
  <c r="F19" i="11"/>
  <c r="E19" i="11"/>
  <c r="G12" i="11"/>
  <c r="F12" i="11"/>
  <c r="E12" i="11"/>
  <c r="K11" i="11"/>
  <c r="G11" i="11"/>
  <c r="F11" i="11"/>
  <c r="F16" i="11" s="1"/>
  <c r="E11" i="11"/>
  <c r="K9" i="11"/>
  <c r="J9" i="11"/>
  <c r="I9" i="11"/>
  <c r="H9" i="11"/>
  <c r="G9" i="11"/>
  <c r="F9" i="11"/>
  <c r="E9" i="11"/>
  <c r="K12" i="11"/>
  <c r="J12" i="11"/>
  <c r="I12" i="11"/>
  <c r="H12" i="11"/>
  <c r="N12" i="11"/>
  <c r="M9" i="11"/>
  <c r="L9" i="11"/>
  <c r="J11" i="11"/>
  <c r="I11" i="11"/>
  <c r="H11" i="11"/>
  <c r="I4" i="11"/>
  <c r="J4" i="11" s="1"/>
  <c r="K4" i="11" s="1"/>
  <c r="L4" i="11" s="1"/>
  <c r="M4" i="11" s="1"/>
  <c r="N4" i="11" s="1"/>
  <c r="E16" i="11" l="1"/>
  <c r="E24" i="11" s="1"/>
  <c r="F17" i="11"/>
  <c r="F31" i="11" s="1"/>
  <c r="F24" i="11"/>
  <c r="G16" i="11"/>
  <c r="H16" i="11"/>
  <c r="K16" i="11"/>
  <c r="L11" i="11"/>
  <c r="L12" i="11"/>
  <c r="I16" i="11"/>
  <c r="M11" i="11"/>
  <c r="M12" i="11"/>
  <c r="J16" i="11"/>
  <c r="N9" i="11"/>
  <c r="N11" i="11"/>
  <c r="N16" i="11" s="1"/>
  <c r="E17" i="11" l="1"/>
  <c r="E31" i="11" s="1"/>
  <c r="H17" i="11"/>
  <c r="H31" i="11" s="1"/>
  <c r="H24" i="11"/>
  <c r="H32" i="11" s="1"/>
  <c r="N24" i="11"/>
  <c r="N32" i="11" s="1"/>
  <c r="N17" i="11"/>
  <c r="N31" i="11" s="1"/>
  <c r="K24" i="11"/>
  <c r="K32" i="11" s="1"/>
  <c r="K17" i="11"/>
  <c r="K31" i="11" s="1"/>
  <c r="J17" i="11"/>
  <c r="J31" i="11" s="1"/>
  <c r="J24" i="11"/>
  <c r="J32" i="11" s="1"/>
  <c r="G17" i="11"/>
  <c r="G31" i="11" s="1"/>
  <c r="G24" i="11"/>
  <c r="G32" i="11" s="1"/>
  <c r="M16" i="11"/>
  <c r="I17" i="11"/>
  <c r="I31" i="11" s="1"/>
  <c r="I24" i="11"/>
  <c r="I32" i="11" s="1"/>
  <c r="L16" i="11"/>
  <c r="L24" i="11" l="1"/>
  <c r="L32" i="11" s="1"/>
  <c r="L17" i="11"/>
  <c r="L31" i="11" s="1"/>
  <c r="M24" i="11"/>
  <c r="M32" i="11" s="1"/>
  <c r="M17" i="11"/>
  <c r="M31" i="11" s="1"/>
</calcChain>
</file>

<file path=xl/sharedStrings.xml><?xml version="1.0" encoding="utf-8"?>
<sst xmlns="http://schemas.openxmlformats.org/spreadsheetml/2006/main" count="106" uniqueCount="73">
  <si>
    <t>Label</t>
  </si>
  <si>
    <t>Item</t>
  </si>
  <si>
    <t>Formula/Source</t>
  </si>
  <si>
    <t>Units</t>
  </si>
  <si>
    <t>[a]</t>
  </si>
  <si>
    <t>Rate Base (financed by capital structure)</t>
  </si>
  <si>
    <t>$ Millions</t>
  </si>
  <si>
    <t>[b]</t>
  </si>
  <si>
    <t>Return on Equity</t>
  </si>
  <si>
    <t>%</t>
  </si>
  <si>
    <t>[c]</t>
  </si>
  <si>
    <t>Equity Portion</t>
  </si>
  <si>
    <t>[d]</t>
  </si>
  <si>
    <t>Net Income</t>
  </si>
  <si>
    <t>[e]</t>
  </si>
  <si>
    <t>[f]</t>
  </si>
  <si>
    <t>Interest Expense</t>
  </si>
  <si>
    <t>[g]</t>
  </si>
  <si>
    <t>[h]</t>
  </si>
  <si>
    <t>Depreciation</t>
  </si>
  <si>
    <t>[i]</t>
  </si>
  <si>
    <t>EBITDA</t>
  </si>
  <si>
    <t>[j]</t>
  </si>
  <si>
    <t>Funds from Operations</t>
  </si>
  <si>
    <t>[k]</t>
  </si>
  <si>
    <t>[l]</t>
  </si>
  <si>
    <t>[m]</t>
  </si>
  <si>
    <t>[n]</t>
  </si>
  <si>
    <t>[o]</t>
  </si>
  <si>
    <t>Income Tax Rate</t>
  </si>
  <si>
    <t>[p]</t>
  </si>
  <si>
    <t>[q]</t>
  </si>
  <si>
    <t>[r]</t>
  </si>
  <si>
    <t>[s]</t>
  </si>
  <si>
    <t>[t]</t>
  </si>
  <si>
    <t>[u]</t>
  </si>
  <si>
    <t>[v]</t>
  </si>
  <si>
    <t>Total Debt</t>
  </si>
  <si>
    <t>METRICS - CALCULATED</t>
  </si>
  <si>
    <t>[a]*[b]*[c]</t>
  </si>
  <si>
    <t>[w]</t>
  </si>
  <si>
    <t>Income Taxes</t>
  </si>
  <si>
    <t>Cost of Debt</t>
  </si>
  <si>
    <t>Cost of Lesser of UNL or ARC</t>
  </si>
  <si>
    <t>Pension and OPEB Accrual</t>
  </si>
  <si>
    <t>Pension Plan Contributions &amp; OPEB Payments</t>
  </si>
  <si>
    <t>Nuclear Waste Management Expenses</t>
  </si>
  <si>
    <t>Receipts from Nuclear Segregated Funds</t>
  </si>
  <si>
    <t>Cash Expenditures for Nuclear Waste &amp; Decommissioning</t>
  </si>
  <si>
    <t>Cash Flow from Operations</t>
  </si>
  <si>
    <t>OPEB Liabilities</t>
  </si>
  <si>
    <t>Pension Liabilities</t>
  </si>
  <si>
    <t>Pension Allocation</t>
  </si>
  <si>
    <t>Regulated-Only Credit Metrics (Excluding DNNP)</t>
  </si>
  <si>
    <t>Ex C1-1-1 (Tables 6-12), EB-2020-0290 Ex. C1-1-1 (Table 8-10)</t>
  </si>
  <si>
    <t>[a]*(1-[c])</t>
  </si>
  <si>
    <t>Ex F4-2-1 (Table 3), EB-2020-0290 Ex. F4-2-1 (Table 3)</t>
  </si>
  <si>
    <t>[a]*(1-[c])*[d]</t>
  </si>
  <si>
    <t>Ex F4-1-1 (Table 1-2), Ex H1-1-1 (Tables 1a &amp; 1b), Ex H1-2-1 (Tables 1 &amp; 2), EB-2023-0336 Ex H1-1-1 (Tables 1a-1c), EB-2020-0290 Ex F4-1-1 (Table 2) &amp; Ex H1-1-1 (Tables 1a &amp; 1b), EB-2018-0243 Ex H1-1-1 (Table 1b &amp; 1c)</t>
  </si>
  <si>
    <t>[g]+[h]+[i]+[j]-[k]</t>
  </si>
  <si>
    <t>[l]-[h]-[i]</t>
  </si>
  <si>
    <t>Ex F4-2-1 (Tables 3), EB-2020-0290 Ex. F4-2-1 (Table 3)</t>
  </si>
  <si>
    <t>Contributions to Nuclear Segregated Funds</t>
  </si>
  <si>
    <t>[l]-[h]-[i]+[n]-[o]+[p]+[q]-[r]-[s]</t>
  </si>
  <si>
    <t>Ex. F4-3-2 Attachment 1-3, EB-2020-0290 Ex. F4-3-2, Attachment 2</t>
  </si>
  <si>
    <t>Ex. F4-4-1 (Tables 1-3), EB-2020-0290 Ex. F4-4-1 (Tables 1 &amp; 3)</t>
  </si>
  <si>
    <r>
      <t>FFO/Debt</t>
    </r>
    <r>
      <rPr>
        <vertAlign val="superscript"/>
        <sz val="12"/>
        <color theme="1"/>
        <rFont val="Aptos Narrow"/>
        <family val="2"/>
        <scheme val="minor"/>
      </rPr>
      <t>1</t>
    </r>
  </si>
  <si>
    <t>[l] / {[e] + ([u] +[v]) x (1 -[f]) x[w]}</t>
  </si>
  <si>
    <r>
      <t>CFO/Debt</t>
    </r>
    <r>
      <rPr>
        <vertAlign val="superscript"/>
        <sz val="12"/>
        <color theme="1"/>
        <rFont val="Aptos Narrow"/>
        <family val="2"/>
        <scheme val="minor"/>
      </rPr>
      <t>2</t>
    </r>
  </si>
  <si>
    <t>[t] / ([e] +[u] x[w])</t>
  </si>
  <si>
    <t>N/A</t>
  </si>
  <si>
    <t>1 S&amp;P downgrade threshold for OPG was &lt;7% for 2017-2018, &lt;11% for 2019, and &lt;13% since 2020.</t>
  </si>
  <si>
    <t>2 Moody's downgrade threshold for OPG was &lt;12% for 2019-2023, and &lt;15% since 2024. OPG was not rated by Moody's in 2017 and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</si>
</sst>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Calibri"/>
      <family val="2"/>
    </font>
    <font>
      <sz val="12"/>
      <name val="Aptos Narrow"/>
      <family val="2"/>
      <scheme val="minor"/>
    </font>
    <font>
      <sz val="12"/>
      <color rgb="FFFF0000"/>
      <name val="Aptos Narrow"/>
      <family val="2"/>
    </font>
    <font>
      <sz val="12"/>
      <color rgb="FF000000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164" fontId="4" fillId="0" borderId="0" xfId="1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164" fontId="4" fillId="0" borderId="0" xfId="1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0" fontId="4" fillId="0" borderId="0" xfId="2" applyNumberFormat="1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8" fontId="10" fillId="0" borderId="0" xfId="0" applyNumberFormat="1" applyFont="1"/>
    <xf numFmtId="10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5" fontId="9" fillId="0" borderId="0" xfId="2" applyNumberFormat="1" applyFont="1" applyFill="1" applyAlignment="1">
      <alignment vertical="top"/>
    </xf>
    <xf numFmtId="164" fontId="9" fillId="0" borderId="0" xfId="1" applyNumberFormat="1" applyFont="1" applyFill="1" applyAlignment="1">
      <alignment vertical="top"/>
    </xf>
    <xf numFmtId="0" fontId="11" fillId="0" borderId="0" xfId="0" applyFont="1" applyAlignment="1">
      <alignment horizontal="center"/>
    </xf>
    <xf numFmtId="165" fontId="9" fillId="0" borderId="0" xfId="2" applyNumberFormat="1" applyFont="1" applyFill="1" applyAlignment="1">
      <alignment horizontal="right" vertical="top"/>
    </xf>
    <xf numFmtId="3" fontId="0" fillId="0" borderId="0" xfId="0" applyNumberFormat="1"/>
    <xf numFmtId="165" fontId="9" fillId="0" borderId="0" xfId="2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9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top"/>
    </xf>
  </cellXfs>
  <cellStyles count="4">
    <cellStyle name="Currency" xfId="1" builtinId="4"/>
    <cellStyle name="Normal" xfId="0" builtinId="0"/>
    <cellStyle name="Normal 139" xfId="3" xr:uid="{1C028318-71F1-4E80-9AEB-6ED0D798CB91}"/>
    <cellStyle name="Percent" xfId="2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874A-B20B-4DD6-9651-890384E1A505}">
  <dimension ref="A1:R4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S21" sqref="S21"/>
    </sheetView>
  </sheetViews>
  <sheetFormatPr defaultColWidth="9.1796875" defaultRowHeight="16" x14ac:dyDescent="0.35"/>
  <cols>
    <col min="1" max="1" width="9.1796875" style="4"/>
    <col min="2" max="2" width="55.453125" style="4" bestFit="1" customWidth="1"/>
    <col min="3" max="3" width="69.26953125" style="7" bestFit="1" customWidth="1"/>
    <col min="4" max="4" width="10.1796875" style="4" bestFit="1" customWidth="1"/>
    <col min="5" max="14" width="12.1796875" style="4" bestFit="1" customWidth="1"/>
    <col min="15" max="15" width="10.453125" style="4" customWidth="1"/>
    <col min="16" max="17" width="11.26953125" style="4" customWidth="1"/>
    <col min="18" max="18" width="11.7265625" style="4" customWidth="1"/>
    <col min="19" max="16384" width="9.1796875" style="4"/>
  </cols>
  <sheetData>
    <row r="1" spans="1:14" x14ac:dyDescent="0.35">
      <c r="A1" s="3"/>
    </row>
    <row r="2" spans="1:14" x14ac:dyDescent="0.35">
      <c r="A2" s="5" t="s">
        <v>53</v>
      </c>
    </row>
    <row r="4" spans="1:14" x14ac:dyDescent="0.35">
      <c r="A4" s="6" t="s">
        <v>0</v>
      </c>
      <c r="B4" s="6" t="s">
        <v>1</v>
      </c>
      <c r="C4" s="6" t="s">
        <v>2</v>
      </c>
      <c r="D4" s="6" t="s">
        <v>3</v>
      </c>
      <c r="E4" s="6">
        <v>2017</v>
      </c>
      <c r="F4" s="6">
        <v>2018</v>
      </c>
      <c r="G4" s="6">
        <v>2019</v>
      </c>
      <c r="H4" s="6">
        <v>2020</v>
      </c>
      <c r="I4" s="6">
        <f>H4+1</f>
        <v>2021</v>
      </c>
      <c r="J4" s="6">
        <f t="shared" ref="J4:N4" si="0">I4+1</f>
        <v>2022</v>
      </c>
      <c r="K4" s="6">
        <f t="shared" si="0"/>
        <v>2023</v>
      </c>
      <c r="L4" s="6">
        <f t="shared" si="0"/>
        <v>2024</v>
      </c>
      <c r="M4" s="6">
        <f t="shared" si="0"/>
        <v>2025</v>
      </c>
      <c r="N4" s="6">
        <f t="shared" si="0"/>
        <v>2026</v>
      </c>
    </row>
    <row r="5" spans="1:14" x14ac:dyDescent="0.35">
      <c r="A5" s="7" t="s">
        <v>4</v>
      </c>
      <c r="B5" s="18" t="s">
        <v>5</v>
      </c>
      <c r="C5" s="7" t="s">
        <v>54</v>
      </c>
      <c r="D5" s="1" t="s">
        <v>6</v>
      </c>
      <c r="E5" s="17">
        <v>10473.200000000001</v>
      </c>
      <c r="F5" s="17">
        <v>10775</v>
      </c>
      <c r="G5" s="17">
        <v>10996.7</v>
      </c>
      <c r="H5" s="17">
        <v>13907.983654554038</v>
      </c>
      <c r="I5" s="17">
        <v>16042.196867034718</v>
      </c>
      <c r="J5" s="17">
        <v>16240.774474724378</v>
      </c>
      <c r="K5" s="17">
        <v>17541.23705808974</v>
      </c>
      <c r="L5" s="17">
        <v>19754.80143940129</v>
      </c>
      <c r="M5" s="17">
        <v>21133.657412004282</v>
      </c>
      <c r="N5" s="17">
        <v>23264.094207920018</v>
      </c>
    </row>
    <row r="6" spans="1:14" x14ac:dyDescent="0.35">
      <c r="A6" s="7" t="s">
        <v>7</v>
      </c>
      <c r="B6" s="18" t="s">
        <v>8</v>
      </c>
      <c r="C6" s="7" t="s">
        <v>54</v>
      </c>
      <c r="D6" s="7" t="s">
        <v>9</v>
      </c>
      <c r="E6" s="24">
        <v>6.0199999999999997E-2</v>
      </c>
      <c r="F6" s="24">
        <v>0.1072</v>
      </c>
      <c r="G6" s="24">
        <v>0.15720000000000001</v>
      </c>
      <c r="H6" s="24">
        <v>0.17444515289320972</v>
      </c>
      <c r="I6" s="24">
        <v>0.10785431568580198</v>
      </c>
      <c r="J6" s="24">
        <v>0.12410841342371903</v>
      </c>
      <c r="K6" s="24">
        <v>0.1370678012818623</v>
      </c>
      <c r="L6" s="24">
        <v>5.8569577944825445E-2</v>
      </c>
      <c r="M6" s="24">
        <v>0.12443681949751356</v>
      </c>
      <c r="N6" s="24">
        <v>5.6486302056329804E-2</v>
      </c>
    </row>
    <row r="7" spans="1:14" x14ac:dyDescent="0.35">
      <c r="A7" s="7" t="s">
        <v>10</v>
      </c>
      <c r="B7" s="18" t="s">
        <v>11</v>
      </c>
      <c r="C7" s="7" t="s">
        <v>54</v>
      </c>
      <c r="D7" s="7" t="s">
        <v>9</v>
      </c>
      <c r="E7" s="25">
        <v>0.45</v>
      </c>
      <c r="F7" s="25">
        <v>0.45</v>
      </c>
      <c r="G7" s="25">
        <v>0.45</v>
      </c>
      <c r="H7" s="25">
        <v>0.45</v>
      </c>
      <c r="I7" s="25">
        <v>0.45</v>
      </c>
      <c r="J7" s="25">
        <v>0.45</v>
      </c>
      <c r="K7" s="25">
        <v>0.45</v>
      </c>
      <c r="L7" s="25">
        <v>0.45</v>
      </c>
      <c r="M7" s="25">
        <v>0.45</v>
      </c>
      <c r="N7" s="25">
        <v>0.45</v>
      </c>
    </row>
    <row r="8" spans="1:14" x14ac:dyDescent="0.35">
      <c r="A8" s="7" t="s">
        <v>12</v>
      </c>
      <c r="B8" s="18" t="s">
        <v>42</v>
      </c>
      <c r="C8" s="7" t="s">
        <v>54</v>
      </c>
      <c r="D8" s="1" t="s">
        <v>9</v>
      </c>
      <c r="E8" s="21">
        <v>0.05</v>
      </c>
      <c r="F8" s="21">
        <v>4.48E-2</v>
      </c>
      <c r="G8" s="21">
        <v>4.3099999999999999E-2</v>
      </c>
      <c r="H8" s="21">
        <v>3.9768834737572242E-2</v>
      </c>
      <c r="I8" s="21">
        <v>3.9205057761546321E-2</v>
      </c>
      <c r="J8" s="21">
        <v>3.8715318112537506E-2</v>
      </c>
      <c r="K8" s="21">
        <v>3.8115607991688463E-2</v>
      </c>
      <c r="L8" s="21">
        <v>3.9652876776155879E-2</v>
      </c>
      <c r="M8" s="21">
        <v>4.0569841914195874E-2</v>
      </c>
      <c r="N8" s="21">
        <v>4.4014564573262444E-2</v>
      </c>
    </row>
    <row r="9" spans="1:14" x14ac:dyDescent="0.35">
      <c r="A9" s="7" t="s">
        <v>14</v>
      </c>
      <c r="B9" s="18" t="s">
        <v>37</v>
      </c>
      <c r="C9" s="7" t="s">
        <v>55</v>
      </c>
      <c r="D9" s="1" t="s">
        <v>6</v>
      </c>
      <c r="E9" s="17">
        <f t="shared" ref="E9:N9" si="1">E5*(1-E7)</f>
        <v>5760.2600000000011</v>
      </c>
      <c r="F9" s="17">
        <f t="shared" si="1"/>
        <v>5926.2500000000009</v>
      </c>
      <c r="G9" s="17">
        <f t="shared" si="1"/>
        <v>6048.1850000000013</v>
      </c>
      <c r="H9" s="17">
        <f t="shared" si="1"/>
        <v>7649.3910100047215</v>
      </c>
      <c r="I9" s="17">
        <f t="shared" si="1"/>
        <v>8823.2082768690962</v>
      </c>
      <c r="J9" s="17">
        <f t="shared" si="1"/>
        <v>8932.4259610984082</v>
      </c>
      <c r="K9" s="17">
        <f t="shared" si="1"/>
        <v>9647.680381949358</v>
      </c>
      <c r="L9" s="17">
        <f t="shared" si="1"/>
        <v>10865.14079167071</v>
      </c>
      <c r="M9" s="17">
        <f t="shared" si="1"/>
        <v>11623.511576602355</v>
      </c>
      <c r="N9" s="17">
        <f t="shared" si="1"/>
        <v>12795.25181435601</v>
      </c>
    </row>
    <row r="10" spans="1:14" x14ac:dyDescent="0.35">
      <c r="A10" s="13" t="s">
        <v>15</v>
      </c>
      <c r="B10" s="18" t="s">
        <v>29</v>
      </c>
      <c r="C10" s="13" t="s">
        <v>56</v>
      </c>
      <c r="D10" s="14" t="s">
        <v>9</v>
      </c>
      <c r="E10" s="26">
        <v>0.25</v>
      </c>
      <c r="F10" s="26">
        <v>0.25</v>
      </c>
      <c r="G10" s="26">
        <v>0.25</v>
      </c>
      <c r="H10" s="26">
        <v>0.25</v>
      </c>
      <c r="I10" s="26">
        <v>0.25</v>
      </c>
      <c r="J10" s="26">
        <v>0.25</v>
      </c>
      <c r="K10" s="26">
        <v>0.25</v>
      </c>
      <c r="L10" s="26">
        <v>0.25</v>
      </c>
      <c r="M10" s="26">
        <v>0.25</v>
      </c>
      <c r="N10" s="26">
        <v>0.25</v>
      </c>
    </row>
    <row r="11" spans="1:14" x14ac:dyDescent="0.35">
      <c r="A11" s="7" t="s">
        <v>17</v>
      </c>
      <c r="B11" s="18" t="s">
        <v>13</v>
      </c>
      <c r="C11" s="2" t="s">
        <v>39</v>
      </c>
      <c r="D11" s="1" t="s">
        <v>6</v>
      </c>
      <c r="E11" s="17">
        <f t="shared" ref="E11:N11" si="2">E5*E6*E7</f>
        <v>283.71898799999997</v>
      </c>
      <c r="F11" s="17">
        <f t="shared" si="2"/>
        <v>519.78599999999994</v>
      </c>
      <c r="G11" s="17">
        <f t="shared" si="2"/>
        <v>777.90655800000002</v>
      </c>
      <c r="H11" s="17">
        <f t="shared" si="2"/>
        <v>1091.7811507747233</v>
      </c>
      <c r="I11" s="17">
        <f t="shared" si="2"/>
        <v>778.59907433592571</v>
      </c>
      <c r="J11" s="17">
        <f t="shared" si="2"/>
        <v>907.02753877371435</v>
      </c>
      <c r="K11" s="17">
        <f t="shared" si="2"/>
        <v>1081.9524578923274</v>
      </c>
      <c r="L11" s="17">
        <f t="shared" si="2"/>
        <v>520.66367221030373</v>
      </c>
      <c r="M11" s="17">
        <f t="shared" si="2"/>
        <v>1183.4123007149401</v>
      </c>
      <c r="N11" s="17">
        <f t="shared" si="2"/>
        <v>591.34619362296723</v>
      </c>
    </row>
    <row r="12" spans="1:14" x14ac:dyDescent="0.35">
      <c r="A12" s="7" t="s">
        <v>18</v>
      </c>
      <c r="B12" s="18" t="s">
        <v>16</v>
      </c>
      <c r="C12" s="7" t="s">
        <v>57</v>
      </c>
      <c r="D12" s="1" t="s">
        <v>6</v>
      </c>
      <c r="E12" s="17">
        <f>E5*(1-E7)*E8</f>
        <v>288.01300000000009</v>
      </c>
      <c r="F12" s="17">
        <f t="shared" ref="F12:N12" si="3">F5*(1-F7)*F8</f>
        <v>265.49600000000004</v>
      </c>
      <c r="G12" s="17">
        <f t="shared" si="3"/>
        <v>260.67677350000008</v>
      </c>
      <c r="H12" s="17">
        <f t="shared" si="3"/>
        <v>304.20736691994858</v>
      </c>
      <c r="I12" s="17">
        <f t="shared" si="3"/>
        <v>345.9143901368065</v>
      </c>
      <c r="J12" s="17">
        <f t="shared" si="3"/>
        <v>345.82171260061347</v>
      </c>
      <c r="K12" s="17">
        <f t="shared" si="3"/>
        <v>367.72720346748497</v>
      </c>
      <c r="L12" s="17">
        <f t="shared" si="3"/>
        <v>430.83408896770339</v>
      </c>
      <c r="M12" s="17">
        <f t="shared" si="3"/>
        <v>471.56402715058323</v>
      </c>
      <c r="N12" s="17">
        <f t="shared" si="3"/>
        <v>563.17743721412603</v>
      </c>
    </row>
    <row r="13" spans="1:14" x14ac:dyDescent="0.35">
      <c r="A13" s="7" t="s">
        <v>20</v>
      </c>
      <c r="B13" s="18" t="s">
        <v>41</v>
      </c>
      <c r="C13" s="7" t="s">
        <v>56</v>
      </c>
      <c r="D13" s="1" t="s">
        <v>6</v>
      </c>
      <c r="E13" s="17">
        <v>-17.5</v>
      </c>
      <c r="F13" s="17">
        <v>83.6</v>
      </c>
      <c r="G13" s="17">
        <v>110.6</v>
      </c>
      <c r="H13" s="17">
        <v>251.55449227999009</v>
      </c>
      <c r="I13" s="17">
        <v>67.707635643931866</v>
      </c>
      <c r="J13" s="17">
        <v>184.80386397361715</v>
      </c>
      <c r="K13" s="17">
        <v>143.71698224776577</v>
      </c>
      <c r="L13" s="17">
        <v>-63.173420707764528</v>
      </c>
      <c r="M13" s="17">
        <v>239.53823615069268</v>
      </c>
      <c r="N13" s="17">
        <v>-40.176124703225582</v>
      </c>
    </row>
    <row r="14" spans="1:14" ht="48" x14ac:dyDescent="0.35">
      <c r="A14" s="32" t="s">
        <v>22</v>
      </c>
      <c r="B14" s="33" t="s">
        <v>19</v>
      </c>
      <c r="C14" s="34" t="s">
        <v>58</v>
      </c>
      <c r="D14" s="35" t="s">
        <v>6</v>
      </c>
      <c r="E14" s="36">
        <f>140.24268688+366.1+0+0</f>
        <v>506.34268688000003</v>
      </c>
      <c r="F14" s="36">
        <f>145.9455646+324.1+45.7</f>
        <v>515.74556460000008</v>
      </c>
      <c r="G14" s="36">
        <f>147.318646397+333+152.3+106.9</f>
        <v>739.518646397</v>
      </c>
      <c r="H14" s="36">
        <f>148.13987103+448.615994296706+106.7+109.4</f>
        <v>812.85586532670607</v>
      </c>
      <c r="I14" s="36">
        <f>153.36521425+504.785871831029+267.3</f>
        <v>925.45108608102896</v>
      </c>
      <c r="J14" s="36">
        <f>162.66747619+626.640687251029+29.7</f>
        <v>819.00816344102907</v>
      </c>
      <c r="K14" s="36">
        <f>173.08361905+685.572775491029+29.693024616236</f>
        <v>888.34941915726506</v>
      </c>
      <c r="L14" s="36">
        <f>174.1284479+753.71056293+29.71009905173+83.3092174448735</f>
        <v>1040.8583273266036</v>
      </c>
      <c r="M14" s="36">
        <f>190.771443058258+540.254518985462</f>
        <v>731.02596204372003</v>
      </c>
      <c r="N14" s="36">
        <f>194.762349258414+617.683824515358+(34.1673183684613+169.805152775646+0-5.06371225953024)/2+(259.775088341187+173.559141522908+0-5.06371225953024)/2</f>
        <v>1126.0358120183428</v>
      </c>
    </row>
    <row r="15" spans="1:14" x14ac:dyDescent="0.35">
      <c r="A15" s="7" t="s">
        <v>24</v>
      </c>
      <c r="B15" s="18" t="s">
        <v>43</v>
      </c>
      <c r="C15" s="7" t="s">
        <v>54</v>
      </c>
      <c r="D15" s="1" t="s">
        <v>6</v>
      </c>
      <c r="E15" s="27">
        <v>25</v>
      </c>
      <c r="F15" s="27">
        <v>28.1</v>
      </c>
      <c r="G15" s="27">
        <v>23.9</v>
      </c>
      <c r="H15" s="27">
        <v>19.746185218355368</v>
      </c>
      <c r="I15" s="27">
        <v>18.319237925804948</v>
      </c>
      <c r="J15" s="27">
        <v>25.056341425480873</v>
      </c>
      <c r="K15" s="27">
        <v>14.374787065383282</v>
      </c>
      <c r="L15" s="27">
        <v>27.935464771644092</v>
      </c>
      <c r="M15" s="27">
        <v>15.485621905716549</v>
      </c>
      <c r="N15" s="27">
        <v>9.5679147734186412</v>
      </c>
    </row>
    <row r="16" spans="1:14" x14ac:dyDescent="0.35">
      <c r="A16" s="7" t="s">
        <v>25</v>
      </c>
      <c r="B16" s="18" t="s">
        <v>21</v>
      </c>
      <c r="C16" s="10" t="s">
        <v>59</v>
      </c>
      <c r="D16" s="1" t="s">
        <v>6</v>
      </c>
      <c r="E16" s="17">
        <f>E11+E13+E12+E14-E15</f>
        <v>1035.57467488</v>
      </c>
      <c r="F16" s="17">
        <f t="shared" ref="F16:N16" si="4">F11+F13+F12+F14-F15</f>
        <v>1356.5275646000002</v>
      </c>
      <c r="G16" s="17">
        <f t="shared" si="4"/>
        <v>1864.8019778970001</v>
      </c>
      <c r="H16" s="17">
        <f t="shared" si="4"/>
        <v>2440.6526900830122</v>
      </c>
      <c r="I16" s="17">
        <f t="shared" si="4"/>
        <v>2099.3529482718882</v>
      </c>
      <c r="J16" s="17">
        <f t="shared" si="4"/>
        <v>2231.6049373634933</v>
      </c>
      <c r="K16" s="17">
        <f t="shared" si="4"/>
        <v>2467.3712756994601</v>
      </c>
      <c r="L16" s="17">
        <f t="shared" si="4"/>
        <v>1901.247203025202</v>
      </c>
      <c r="M16" s="17">
        <f t="shared" si="4"/>
        <v>2610.0549041542195</v>
      </c>
      <c r="N16" s="17">
        <f t="shared" si="4"/>
        <v>2230.8154033787919</v>
      </c>
    </row>
    <row r="17" spans="1:18" x14ac:dyDescent="0.35">
      <c r="A17" s="7" t="s">
        <v>26</v>
      </c>
      <c r="B17" s="18" t="s">
        <v>23</v>
      </c>
      <c r="C17" s="16" t="s">
        <v>60</v>
      </c>
      <c r="D17" s="1" t="s">
        <v>6</v>
      </c>
      <c r="E17" s="17">
        <f>E16-E13-E12</f>
        <v>765.06167487999983</v>
      </c>
      <c r="F17" s="17">
        <f t="shared" ref="F17:N17" si="5">F16-F13-F12</f>
        <v>1007.4315646000002</v>
      </c>
      <c r="G17" s="17">
        <f t="shared" si="5"/>
        <v>1493.5252043970002</v>
      </c>
      <c r="H17" s="17">
        <f t="shared" si="5"/>
        <v>1884.8908308830737</v>
      </c>
      <c r="I17" s="17">
        <f t="shared" si="5"/>
        <v>1685.7309224911498</v>
      </c>
      <c r="J17" s="17">
        <f t="shared" si="5"/>
        <v>1700.9793607892627</v>
      </c>
      <c r="K17" s="17">
        <f t="shared" si="5"/>
        <v>1955.9270899842093</v>
      </c>
      <c r="L17" s="17">
        <f t="shared" si="5"/>
        <v>1533.5865347652632</v>
      </c>
      <c r="M17" s="17">
        <f t="shared" si="5"/>
        <v>1898.9526408529437</v>
      </c>
      <c r="N17" s="17">
        <f t="shared" si="5"/>
        <v>1707.8140908678913</v>
      </c>
    </row>
    <row r="18" spans="1:18" x14ac:dyDescent="0.35">
      <c r="A18" s="7" t="s">
        <v>27</v>
      </c>
      <c r="B18" s="18" t="s">
        <v>44</v>
      </c>
      <c r="C18" s="7" t="s">
        <v>61</v>
      </c>
      <c r="D18" s="1" t="s">
        <v>6</v>
      </c>
      <c r="E18" s="17">
        <v>297.3</v>
      </c>
      <c r="F18" s="17">
        <v>283.39999999999998</v>
      </c>
      <c r="G18" s="17">
        <v>271.10000000000002</v>
      </c>
      <c r="H18" s="17">
        <f>172.890557889083+96.8390777207802</f>
        <v>269.72963560986318</v>
      </c>
      <c r="I18" s="17">
        <v>269.20414679999993</v>
      </c>
      <c r="J18" s="17">
        <v>356.31540287659044</v>
      </c>
      <c r="K18" s="17">
        <v>336.46898821757298</v>
      </c>
      <c r="L18" s="17">
        <v>318.5897974682444</v>
      </c>
      <c r="M18" s="17">
        <v>266.58450789193842</v>
      </c>
      <c r="N18" s="17">
        <v>224.59091265023596</v>
      </c>
    </row>
    <row r="19" spans="1:18" x14ac:dyDescent="0.35">
      <c r="A19" s="7" t="s">
        <v>28</v>
      </c>
      <c r="B19" s="18" t="s">
        <v>45</v>
      </c>
      <c r="C19" s="7" t="s">
        <v>61</v>
      </c>
      <c r="D19" s="1" t="s">
        <v>6</v>
      </c>
      <c r="E19" s="17">
        <f>196.7+100.6</f>
        <v>297.29999999999995</v>
      </c>
      <c r="F19" s="17">
        <f>180.5+102.9</f>
        <v>283.39999999999998</v>
      </c>
      <c r="G19" s="17">
        <f>165.3+105.8</f>
        <v>271.10000000000002</v>
      </c>
      <c r="H19" s="17">
        <f>172.890557889083+96.8390777207802</f>
        <v>269.72963560986318</v>
      </c>
      <c r="I19" s="17">
        <f>163.410568713723+105.793578085555</f>
        <v>269.20414679927796</v>
      </c>
      <c r="J19" s="17">
        <f>174.89204072485+104.144398367617</f>
        <v>279.03643909246699</v>
      </c>
      <c r="K19" s="17">
        <f>151.244811372121+126.046889106886</f>
        <v>277.29170047900698</v>
      </c>
      <c r="L19" s="17">
        <f>189.338802231249+124.786635336733</f>
        <v>314.12543756798198</v>
      </c>
      <c r="M19" s="17">
        <f>116+137.7</f>
        <v>253.7</v>
      </c>
      <c r="N19" s="17">
        <f>119.9+136.2</f>
        <v>256.10000000000002</v>
      </c>
    </row>
    <row r="20" spans="1:18" x14ac:dyDescent="0.35">
      <c r="A20" s="7" t="s">
        <v>30</v>
      </c>
      <c r="B20" s="18" t="s">
        <v>46</v>
      </c>
      <c r="C20" s="7" t="s">
        <v>61</v>
      </c>
      <c r="D20" s="1" t="s">
        <v>6</v>
      </c>
      <c r="E20" s="17">
        <v>55.7</v>
      </c>
      <c r="F20" s="17">
        <v>56.2</v>
      </c>
      <c r="G20" s="17">
        <v>65.599999999999994</v>
      </c>
      <c r="H20" s="17">
        <v>65.557053120060985</v>
      </c>
      <c r="I20" s="17">
        <v>67.194950335376959</v>
      </c>
      <c r="J20" s="17">
        <v>76.25101420580782</v>
      </c>
      <c r="K20" s="17">
        <v>58.68211194513254</v>
      </c>
      <c r="L20" s="17">
        <v>68.334651967779223</v>
      </c>
      <c r="M20" s="17">
        <v>70.473185048887117</v>
      </c>
      <c r="N20" s="17">
        <v>30.073146196361154</v>
      </c>
    </row>
    <row r="21" spans="1:18" x14ac:dyDescent="0.35">
      <c r="A21" s="7" t="s">
        <v>31</v>
      </c>
      <c r="B21" s="18" t="s">
        <v>47</v>
      </c>
      <c r="C21" s="7" t="s">
        <v>61</v>
      </c>
      <c r="D21" s="1" t="s">
        <v>6</v>
      </c>
      <c r="E21" s="17">
        <v>40.299999999999997</v>
      </c>
      <c r="F21" s="17">
        <v>49</v>
      </c>
      <c r="G21" s="17">
        <v>44.6</v>
      </c>
      <c r="H21" s="17">
        <v>64.511313540645247</v>
      </c>
      <c r="I21" s="17">
        <v>88.856078685523414</v>
      </c>
      <c r="J21" s="17">
        <v>117.37259245275446</v>
      </c>
      <c r="K21" s="17">
        <v>114.32297514758976</v>
      </c>
      <c r="L21" s="17">
        <v>156.60141199999998</v>
      </c>
      <c r="M21" s="17">
        <v>501.71543293928772</v>
      </c>
      <c r="N21" s="17">
        <v>534.16034054567126</v>
      </c>
    </row>
    <row r="22" spans="1:18" x14ac:dyDescent="0.35">
      <c r="A22" s="7" t="s">
        <v>32</v>
      </c>
      <c r="B22" s="18" t="s">
        <v>48</v>
      </c>
      <c r="C22" s="7" t="s">
        <v>61</v>
      </c>
      <c r="D22" s="1" t="s">
        <v>6</v>
      </c>
      <c r="E22" s="17">
        <v>169.2</v>
      </c>
      <c r="F22" s="17">
        <v>150.5</v>
      </c>
      <c r="G22" s="17">
        <v>146.30000000000001</v>
      </c>
      <c r="H22" s="17">
        <v>237.80093276502996</v>
      </c>
      <c r="I22" s="17">
        <v>281.97450710595228</v>
      </c>
      <c r="J22" s="17">
        <v>247.32121886346917</v>
      </c>
      <c r="K22" s="17">
        <v>252.70256342671192</v>
      </c>
      <c r="L22" s="17">
        <v>442.16127567022835</v>
      </c>
      <c r="M22" s="17">
        <v>604.9</v>
      </c>
      <c r="N22" s="17">
        <v>653.5</v>
      </c>
    </row>
    <row r="23" spans="1:18" x14ac:dyDescent="0.35">
      <c r="A23" s="7" t="s">
        <v>33</v>
      </c>
      <c r="B23" s="18" t="s">
        <v>62</v>
      </c>
      <c r="C23" s="7" t="s">
        <v>61</v>
      </c>
      <c r="D23" s="1" t="s">
        <v>6</v>
      </c>
      <c r="E23" s="17">
        <v>102.5</v>
      </c>
      <c r="F23" s="17">
        <v>102.5</v>
      </c>
      <c r="G23" s="17">
        <v>102.5</v>
      </c>
      <c r="H23" s="17">
        <v>102.50011199999994</v>
      </c>
      <c r="I23" s="17">
        <v>102.50011199999994</v>
      </c>
      <c r="J23" s="17">
        <v>200.08576055771164</v>
      </c>
      <c r="K23" s="17">
        <v>200.08576055771164</v>
      </c>
      <c r="L23" s="17">
        <v>200.08576099999999</v>
      </c>
      <c r="M23" s="17">
        <v>116.39542345050864</v>
      </c>
      <c r="N23" s="17">
        <v>39.212943450508646</v>
      </c>
    </row>
    <row r="24" spans="1:18" x14ac:dyDescent="0.35">
      <c r="A24" s="7" t="s">
        <v>34</v>
      </c>
      <c r="B24" s="18" t="s">
        <v>49</v>
      </c>
      <c r="C24" s="15" t="s">
        <v>63</v>
      </c>
      <c r="D24" s="1" t="s">
        <v>6</v>
      </c>
      <c r="E24" s="27">
        <f t="shared" ref="E24:N24" si="6">E16-E13-E12+E18-E19+E20+E21-E22-E23</f>
        <v>589.36167487999978</v>
      </c>
      <c r="F24" s="27">
        <f t="shared" si="6"/>
        <v>859.63156460000005</v>
      </c>
      <c r="G24" s="27">
        <f t="shared" si="6"/>
        <v>1354.9252043970002</v>
      </c>
      <c r="H24" s="27">
        <f t="shared" si="6"/>
        <v>1674.65815277875</v>
      </c>
      <c r="I24" s="27">
        <f t="shared" si="6"/>
        <v>1457.3073324068198</v>
      </c>
      <c r="J24" s="27">
        <f t="shared" si="6"/>
        <v>1524.4749518107678</v>
      </c>
      <c r="K24" s="27">
        <f t="shared" si="6"/>
        <v>1735.3211408310735</v>
      </c>
      <c r="L24" s="27">
        <f t="shared" si="6"/>
        <v>1120.7399219630763</v>
      </c>
      <c r="M24" s="27">
        <f t="shared" si="6"/>
        <v>1762.7303432825483</v>
      </c>
      <c r="N24" s="27">
        <f t="shared" si="6"/>
        <v>1547.8255468096513</v>
      </c>
    </row>
    <row r="25" spans="1:18" x14ac:dyDescent="0.4">
      <c r="A25" s="19" t="s">
        <v>35</v>
      </c>
      <c r="B25" s="18" t="s">
        <v>50</v>
      </c>
      <c r="C25" s="28" t="s">
        <v>64</v>
      </c>
      <c r="D25" s="1" t="s">
        <v>6</v>
      </c>
      <c r="E25" s="27">
        <f>2969.382+202.31</f>
        <v>3171.692</v>
      </c>
      <c r="F25" s="27">
        <f>2590.232+191.199</f>
        <v>2781.431</v>
      </c>
      <c r="G25" s="27">
        <f>2978.758+196.612</f>
        <v>3175.37</v>
      </c>
      <c r="H25" s="27">
        <f>3256.931+214.311</f>
        <v>3471.2420000000002</v>
      </c>
      <c r="I25" s="27">
        <f>3070.231+223.705</f>
        <v>3293.9360000000001</v>
      </c>
      <c r="J25" s="27">
        <f>2195.299+216.695</f>
        <v>2411.9940000000001</v>
      </c>
      <c r="K25" s="27">
        <f>2481.61+256.875</f>
        <v>2738.4850000000001</v>
      </c>
      <c r="L25" s="27">
        <f>2561.11+254.803</f>
        <v>2815.913</v>
      </c>
      <c r="M25" s="27">
        <f>2654.51+269.675</f>
        <v>2924.1850000000004</v>
      </c>
      <c r="N25" s="27">
        <f>2823.927+288.13</f>
        <v>3112.0570000000002</v>
      </c>
      <c r="O25" s="23"/>
      <c r="P25" s="23"/>
      <c r="Q25" s="23"/>
      <c r="R25" s="23"/>
    </row>
    <row r="26" spans="1:18" x14ac:dyDescent="0.4">
      <c r="A26" s="19" t="s">
        <v>36</v>
      </c>
      <c r="B26" s="18" t="s">
        <v>51</v>
      </c>
      <c r="C26" s="28" t="s">
        <v>64</v>
      </c>
      <c r="D26" s="1" t="s">
        <v>6</v>
      </c>
      <c r="E26" s="27">
        <f>3091.78+350.412</f>
        <v>3442.192</v>
      </c>
      <c r="F26" s="27">
        <f>3315.956+347.414</f>
        <v>3663.37</v>
      </c>
      <c r="G26" s="27">
        <f>3205.959+379.251</f>
        <v>3585.21</v>
      </c>
      <c r="H26" s="27">
        <f>4598.239+418.216</f>
        <v>5016.4549999999999</v>
      </c>
      <c r="I26" s="27">
        <f>2486.139+396.263</f>
        <v>2882.402</v>
      </c>
      <c r="J26" s="27">
        <f>303.746-704.408</f>
        <v>-400.66200000000003</v>
      </c>
      <c r="K26" s="27">
        <f>545.922+367.764</f>
        <v>913.68600000000004</v>
      </c>
      <c r="L26" s="27">
        <f>388.714-302.521</f>
        <v>86.192999999999984</v>
      </c>
      <c r="M26" s="27">
        <f>399.023-380.273</f>
        <v>18.75</v>
      </c>
      <c r="N26" s="27">
        <f>2.38+419.048</f>
        <v>421.428</v>
      </c>
      <c r="O26" s="23"/>
      <c r="P26" s="23"/>
      <c r="Q26" s="23"/>
      <c r="R26" s="23"/>
    </row>
    <row r="27" spans="1:18" x14ac:dyDescent="0.35">
      <c r="A27" s="19" t="s">
        <v>40</v>
      </c>
      <c r="B27" s="18" t="s">
        <v>52</v>
      </c>
      <c r="C27" s="19" t="s">
        <v>65</v>
      </c>
      <c r="D27" s="1" t="s">
        <v>9</v>
      </c>
      <c r="E27" s="31">
        <f>(359.7+54.3)/445.066</f>
        <v>0.93019911653552512</v>
      </c>
      <c r="F27" s="31">
        <f>(390.4+62.4)/488.089</f>
        <v>0.9276996613322569</v>
      </c>
      <c r="G27" s="31">
        <f>(363.2+60.9)/456.588</f>
        <v>0.92884613699878216</v>
      </c>
      <c r="H27" s="31">
        <f>(303+53.3)/384.319</f>
        <v>0.92709441895924993</v>
      </c>
      <c r="I27" s="31">
        <f>(319.9+59.1)/411.776</f>
        <v>0.92040332608019892</v>
      </c>
      <c r="J27" s="31">
        <f>(216.8+41)/282.756</f>
        <v>0.91174015759170468</v>
      </c>
      <c r="K27" s="31">
        <f>(125.6+22.7)/160.566</f>
        <v>0.9236077376281403</v>
      </c>
      <c r="L27" s="31">
        <f>(205.2+35)/261.142</f>
        <v>0.91980608251449403</v>
      </c>
      <c r="M27" s="31">
        <f>(174.8+29.9)/220.29</f>
        <v>0.92922965182259765</v>
      </c>
      <c r="N27" s="31">
        <f>(200.5+38.5)/269.567</f>
        <v>0.88660704017925041</v>
      </c>
    </row>
    <row r="28" spans="1:18" x14ac:dyDescent="0.35">
      <c r="A28" s="7"/>
      <c r="B28" s="8"/>
      <c r="D28" s="1"/>
      <c r="E28" s="9"/>
      <c r="F28" s="9"/>
      <c r="G28" s="9"/>
      <c r="H28" s="9"/>
      <c r="I28" s="9"/>
      <c r="J28" s="9"/>
      <c r="K28" s="9"/>
      <c r="L28" s="9"/>
      <c r="M28" s="9"/>
      <c r="N28" s="9"/>
      <c r="P28" s="11"/>
    </row>
    <row r="30" spans="1:18" x14ac:dyDescent="0.35">
      <c r="B30" s="20" t="s">
        <v>38</v>
      </c>
    </row>
    <row r="31" spans="1:18" ht="18" x14ac:dyDescent="0.35">
      <c r="B31" s="4" t="s">
        <v>66</v>
      </c>
      <c r="C31" s="7" t="s">
        <v>67</v>
      </c>
      <c r="E31" s="26">
        <f t="shared" ref="E31:K31" si="7">E17/(E9+(E25+MAX(E26,0))*(1-E10)*MIN(1,E27))</f>
        <v>7.3744923129083012E-2</v>
      </c>
      <c r="F31" s="26">
        <f t="shared" si="7"/>
        <v>9.6771835995118807E-2</v>
      </c>
      <c r="G31" s="22">
        <f t="shared" si="7"/>
        <v>0.13883134053055413</v>
      </c>
      <c r="H31" s="22">
        <f t="shared" si="7"/>
        <v>0.13909541822652149</v>
      </c>
      <c r="I31" s="26">
        <f t="shared" si="7"/>
        <v>0.12881203870655925</v>
      </c>
      <c r="J31" s="26">
        <f t="shared" si="7"/>
        <v>0.16074635905556905</v>
      </c>
      <c r="K31" s="26">
        <f t="shared" si="7"/>
        <v>0.16061731752823757</v>
      </c>
      <c r="L31" s="26">
        <f>L17/(L9+(L25+MAX(L26,0))*(1-L10)*MIN(1,L27))</f>
        <v>0.11918598368510643</v>
      </c>
      <c r="M31" s="26">
        <f>M17/(M9+(M25+MAX(M26,0))*(1-M10)*MIN(1,M27))</f>
        <v>0.13886807347985194</v>
      </c>
      <c r="N31" s="26">
        <f>N17/(N9+(N25+MAX(N26,0))*(1-N10)*MIN(1,N27))</f>
        <v>0.1127652511643667</v>
      </c>
      <c r="Q31" s="12"/>
    </row>
    <row r="32" spans="1:18" ht="18" x14ac:dyDescent="0.35">
      <c r="B32" s="4" t="s">
        <v>68</v>
      </c>
      <c r="C32" s="7" t="s">
        <v>69</v>
      </c>
      <c r="E32" s="29" t="s">
        <v>70</v>
      </c>
      <c r="F32" s="29" t="s">
        <v>70</v>
      </c>
      <c r="G32" s="26">
        <f t="shared" ref="G32:L32" si="8">G24/(G9+MAX(G26,0)*MIN(1,G27))</f>
        <v>0.14447460087969155</v>
      </c>
      <c r="H32" s="26">
        <f t="shared" si="8"/>
        <v>0.13614975827070153</v>
      </c>
      <c r="I32" s="26">
        <f t="shared" si="8"/>
        <v>0.12698539479084731</v>
      </c>
      <c r="J32" s="26">
        <f t="shared" si="8"/>
        <v>0.17066751613167641</v>
      </c>
      <c r="K32" s="26">
        <f t="shared" si="8"/>
        <v>0.1654015078659673</v>
      </c>
      <c r="L32" s="26">
        <f t="shared" si="8"/>
        <v>0.10240284586069526</v>
      </c>
      <c r="M32" s="26">
        <f>M24/(M9+MAX(M26,0)*MIN(1,M27))</f>
        <v>0.15142515604803938</v>
      </c>
      <c r="N32" s="26">
        <f>N24/(N9+MAX(N26,0)*MIN(1,N27))</f>
        <v>0.11753649793496843</v>
      </c>
      <c r="Q32" s="12"/>
    </row>
    <row r="33" spans="2:14" ht="16" customHeight="1" x14ac:dyDescent="0.35">
      <c r="B33" s="37" t="s">
        <v>71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2:14" x14ac:dyDescent="0.35">
      <c r="B34" s="37" t="s">
        <v>72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2:14" x14ac:dyDescent="0.35">
      <c r="D35" s="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5">
      <c r="H36" s="30"/>
      <c r="I36" s="30"/>
    </row>
    <row r="38" spans="2:14" x14ac:dyDescent="0.35">
      <c r="M38" s="12"/>
    </row>
    <row r="45" spans="2:14" x14ac:dyDescent="0.35">
      <c r="M45" s="12"/>
    </row>
  </sheetData>
  <mergeCells count="2">
    <mergeCell ref="B33:N33"/>
    <mergeCell ref="B34:N3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09D32E51B47D43AD58E706C7A38CD7" ma:contentTypeVersion="16" ma:contentTypeDescription="Create a new document." ma:contentTypeScope="" ma:versionID="81ea98f4fa569241651ea70642cf613f">
  <xsd:schema xmlns:xsd="http://www.w3.org/2001/XMLSchema" xmlns:xs="http://www.w3.org/2001/XMLSchema" xmlns:p="http://schemas.microsoft.com/office/2006/metadata/properties" xmlns:ns2="dcd34a62-2c90-4e16-b6f5-b8bf000a2b77" xmlns:ns3="9909a1fe-d543-41d5-a7bd-5a24856ec748" targetNamespace="http://schemas.microsoft.com/office/2006/metadata/properties" ma:root="true" ma:fieldsID="2e245398973741ea58fac42983779d41" ns2:_="" ns3:_="">
    <xsd:import namespace="dcd34a62-2c90-4e16-b6f5-b8bf000a2b77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34a62-2c90-4e16-b6f5-b8bf000a2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dcd34a62-2c90-4e16-b6f5-b8bf000a2b7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8EF2C-7F33-40FA-8D80-E77286656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34a62-2c90-4e16-b6f5-b8bf000a2b77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DA3D0-E31F-4F02-8D37-58BB39B96FAD}">
  <ds:schemaRefs>
    <ds:schemaRef ds:uri="http://purl.org/dc/elements/1.1/"/>
    <ds:schemaRef ds:uri="http://schemas.microsoft.com/office/2006/metadata/properties"/>
    <ds:schemaRef ds:uri="dcd34a62-2c90-4e16-b6f5-b8bf000a2b7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09a1fe-d543-41d5-a7bd-5a24856ec74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9188E2-1A5A-4A4A-BB90-8DE9F0576E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CCC-26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Dane</dc:creator>
  <cp:keywords/>
  <dc:description/>
  <cp:lastModifiedBy>Lori Patchett</cp:lastModifiedBy>
  <cp:revision/>
  <dcterms:created xsi:type="dcterms:W3CDTF">2025-06-09T16:20:23Z</dcterms:created>
  <dcterms:modified xsi:type="dcterms:W3CDTF">2026-05-05T12:57:12Z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{6DFDEDC0-324E-4316-B34E-3BC8A1233D7A}</vt:lpwstr>
  </property>
  <property fmtid="{D5CDD505-2E9C-101B-9397-08002B2CF9AE}" pid="3" name="ContentTypeId">
    <vt:lpwstr>0x010100A109D32E51B47D43AD58E706C7A38CD7</vt:lpwstr>
  </property>
  <property fmtid="{D5CDD505-2E9C-101B-9397-08002B2CF9AE}" pid="4" name="MediaServiceImageTags">
    <vt:lpwstr/>
  </property>
  <property fmtid="{D5CDD505-2E9C-101B-9397-08002B2CF9AE}" pid="5" name="MSIP_Label_de7afb16-bed2-47a7-a936-de53beb31938_Enabled">
    <vt:lpwstr>true</vt:lpwstr>
  </property>
  <property fmtid="{D5CDD505-2E9C-101B-9397-08002B2CF9AE}" pid="6" name="MSIP_Label_de7afb16-bed2-47a7-a936-de53beb31938_SetDate">
    <vt:lpwstr>2025-11-04T21:19:36Z</vt:lpwstr>
  </property>
  <property fmtid="{D5CDD505-2E9C-101B-9397-08002B2CF9AE}" pid="7" name="MSIP_Label_de7afb16-bed2-47a7-a936-de53beb31938_Method">
    <vt:lpwstr>Standard</vt:lpwstr>
  </property>
  <property fmtid="{D5CDD505-2E9C-101B-9397-08002B2CF9AE}" pid="8" name="MSIP_Label_de7afb16-bed2-47a7-a936-de53beb31938_Name">
    <vt:lpwstr>de7afb16-bed2-47a7-a936-de53beb31938</vt:lpwstr>
  </property>
  <property fmtid="{D5CDD505-2E9C-101B-9397-08002B2CF9AE}" pid="9" name="MSIP_Label_de7afb16-bed2-47a7-a936-de53beb31938_SiteId">
    <vt:lpwstr>962f21cf-93ea-449f-99bf-402e2b2987b2</vt:lpwstr>
  </property>
  <property fmtid="{D5CDD505-2E9C-101B-9397-08002B2CF9AE}" pid="10" name="MSIP_Label_de7afb16-bed2-47a7-a936-de53beb31938_ActionId">
    <vt:lpwstr>88740b6d-343f-4bdf-b262-272858121e3c</vt:lpwstr>
  </property>
  <property fmtid="{D5CDD505-2E9C-101B-9397-08002B2CF9AE}" pid="11" name="MSIP_Label_de7afb16-bed2-47a7-a936-de53beb31938_ContentBits">
    <vt:lpwstr>0</vt:lpwstr>
  </property>
  <property fmtid="{D5CDD505-2E9C-101B-9397-08002B2CF9AE}" pid="12" name="MSIP_Label_de7afb16-bed2-47a7-a936-de53beb31938_Tag">
    <vt:lpwstr>10, 3, 0, 1</vt:lpwstr>
  </property>
  <property fmtid="{D5CDD505-2E9C-101B-9397-08002B2CF9AE}" pid="13" name="Engagement Type">
    <vt:lpwstr/>
  </property>
  <property fmtid="{D5CDD505-2E9C-101B-9397-08002B2CF9AE}" pid="14" name="Engagement_x0020_Type">
    <vt:lpwstr/>
  </property>
  <property fmtid="{D5CDD505-2E9C-101B-9397-08002B2CF9AE}" pid="15" name="Practice Areas and Services Provided">
    <vt:lpwstr/>
  </property>
  <property fmtid="{D5CDD505-2E9C-101B-9397-08002B2CF9AE}" pid="16" name="Practice_x0020_Areas_x0020_and_x0020_Services_x0020_Provided">
    <vt:lpwstr/>
  </property>
  <property fmtid="{D5CDD505-2E9C-101B-9397-08002B2CF9AE}" pid="17" name="Industry Segment">
    <vt:lpwstr/>
  </property>
  <property fmtid="{D5CDD505-2E9C-101B-9397-08002B2CF9AE}" pid="18" name="Industry_x0020_Segment">
    <vt:lpwstr/>
  </property>
</Properties>
</file>