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IRR test/"/>
    </mc:Choice>
  </mc:AlternateContent>
  <xr:revisionPtr revIDLastSave="778" documentId="13_ncr:1_{4687F280-6487-46AF-93AB-7BC17C5B2B38}" xr6:coauthVersionLast="47" xr6:coauthVersionMax="47" xr10:uidLastSave="{FD8F953F-AA92-47FA-8559-B13986D878B0}"/>
  <bookViews>
    <workbookView xWindow="19065" yWindow="-16320" windowWidth="29040" windowHeight="15720" tabRatio="767" xr2:uid="{DF978D85-C938-4B37-B792-5A95C7E48303}"/>
  </bookViews>
  <sheets>
    <sheet name="App.2-JA OM&amp;A Summary Analys" sheetId="1" r:id="rId1"/>
    <sheet name="App.2-JB OM&amp;A Cost Drivers" sheetId="2" r:id="rId2"/>
    <sheet name="App2.-JC OM&amp;A Programs" sheetId="3" r:id="rId3"/>
    <sheet name="App2.-K Compensation" sheetId="4" r:id="rId4"/>
  </sheets>
  <externalReferences>
    <externalReference r:id="rId5"/>
  </externalReferences>
  <definedNames>
    <definedName name="BridgeYear">'[1]LDC Info'!$E$26</definedName>
    <definedName name="EBNUMBER">'[1]LDC Info'!$E$16</definedName>
    <definedName name="RebaseYear">'[1]LDC Info'!$E$28</definedName>
    <definedName name="TestYear">'[1]LDC Info'!$E$24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3" l="1"/>
  <c r="N17" i="3"/>
  <c r="A11" i="2"/>
  <c r="AC14" i="1"/>
  <c r="AD14" i="1"/>
  <c r="AE14" i="1"/>
  <c r="AC15" i="1"/>
  <c r="AD15" i="1"/>
  <c r="AE15" i="1"/>
  <c r="AC16" i="1"/>
  <c r="AD16" i="1"/>
  <c r="AE16" i="1"/>
  <c r="AC17" i="1"/>
  <c r="AD17" i="1"/>
  <c r="AE17" i="1"/>
  <c r="AB17" i="1"/>
  <c r="AB16" i="1"/>
  <c r="AB15" i="1"/>
  <c r="AB14" i="1"/>
  <c r="Z17" i="1"/>
  <c r="Z16" i="1"/>
  <c r="Z15" i="1"/>
  <c r="Z14" i="1"/>
  <c r="AC13" i="1"/>
  <c r="AD13" i="1"/>
  <c r="AE13" i="1"/>
  <c r="AB13" i="1"/>
  <c r="Z13" i="1"/>
  <c r="A49" i="2"/>
  <c r="O48" i="3" l="1"/>
  <c r="E44" i="2"/>
  <c r="G44" i="2"/>
  <c r="H44" i="2"/>
  <c r="I44" i="2"/>
  <c r="J44" i="2"/>
  <c r="M49" i="3"/>
  <c r="B43" i="2"/>
  <c r="E43" i="2"/>
  <c r="I43" i="2"/>
  <c r="L43" i="2"/>
  <c r="F43" i="2"/>
  <c r="F44" i="2"/>
  <c r="G43" i="2"/>
  <c r="E49" i="3"/>
  <c r="D49" i="3"/>
  <c r="C49" i="3"/>
  <c r="C44" i="2"/>
  <c r="D43" i="2"/>
  <c r="C43" i="2"/>
  <c r="B44" i="2"/>
  <c r="D44" i="2"/>
  <c r="J49" i="3"/>
  <c r="J43" i="2"/>
  <c r="I49" i="3"/>
  <c r="N48" i="3"/>
  <c r="H49" i="3"/>
  <c r="H43" i="2"/>
  <c r="N47" i="3"/>
  <c r="G49" i="3"/>
  <c r="K43" i="2"/>
  <c r="F49" i="3"/>
  <c r="O47" i="3" l="1"/>
  <c r="K44" i="2"/>
  <c r="L49" i="3"/>
  <c r="K49" i="3"/>
  <c r="L44" i="2"/>
  <c r="B49" i="3"/>
  <c r="N49" i="3"/>
  <c r="O49" i="3" l="1"/>
  <c r="O13" i="3" l="1"/>
  <c r="L41" i="2" l="1"/>
  <c r="C41" i="2"/>
  <c r="D41" i="2"/>
  <c r="E41" i="2"/>
  <c r="K41" i="2" l="1"/>
  <c r="F41" i="2"/>
  <c r="O44" i="3"/>
  <c r="I41" i="2"/>
  <c r="J41" i="2"/>
  <c r="B41" i="2"/>
  <c r="G41" i="2"/>
  <c r="H41" i="2"/>
  <c r="N44" i="3"/>
  <c r="L45" i="3"/>
  <c r="K45" i="3"/>
  <c r="J45" i="3"/>
  <c r="F45" i="3"/>
  <c r="F13" i="3"/>
  <c r="N13" i="3" s="1"/>
  <c r="E13" i="3"/>
  <c r="D13" i="3"/>
  <c r="C13" i="3"/>
  <c r="B13" i="3"/>
  <c r="L13" i="2"/>
  <c r="K13" i="2"/>
  <c r="J13" i="2"/>
  <c r="I13" i="2"/>
  <c r="H13" i="2"/>
  <c r="G13" i="2"/>
  <c r="E13" i="2"/>
  <c r="D13" i="2"/>
  <c r="C13" i="2"/>
  <c r="B13" i="2"/>
  <c r="Q12" i="2"/>
  <c r="P12" i="2" s="1"/>
  <c r="O12" i="2" s="1"/>
  <c r="N12" i="2" s="1"/>
  <c r="M12" i="2" s="1"/>
  <c r="L12" i="2" s="1"/>
  <c r="K12" i="2" s="1"/>
  <c r="J12" i="2" s="1"/>
  <c r="I12" i="2" s="1"/>
  <c r="H12" i="2" s="1"/>
  <c r="G12" i="2" s="1"/>
  <c r="F12" i="2" s="1"/>
  <c r="E12" i="2" s="1"/>
  <c r="D12" i="2" s="1"/>
  <c r="C12" i="2" s="1"/>
  <c r="B12" i="2" s="1"/>
  <c r="M29" i="1"/>
  <c r="M38" i="1" s="1"/>
  <c r="L29" i="1"/>
  <c r="L38" i="1" s="1"/>
  <c r="K29" i="1"/>
  <c r="K38" i="1" s="1"/>
  <c r="J29" i="1"/>
  <c r="J38" i="1" s="1"/>
  <c r="I29" i="1"/>
  <c r="I38" i="1" s="1"/>
  <c r="H29" i="1"/>
  <c r="H38" i="1" s="1"/>
  <c r="W21" i="1"/>
  <c r="AE12" i="1"/>
  <c r="AD12" i="1"/>
  <c r="AC12" i="1"/>
  <c r="AB12" i="1"/>
  <c r="AA12" i="1"/>
  <c r="G29" i="1"/>
  <c r="G38" i="1" s="1"/>
  <c r="H11" i="1"/>
  <c r="X11" i="1" s="1"/>
  <c r="G11" i="1"/>
  <c r="V11" i="1" s="1"/>
  <c r="F11" i="1"/>
  <c r="U11" i="1" s="1"/>
  <c r="E11" i="1"/>
  <c r="D11" i="1"/>
  <c r="C11" i="1"/>
  <c r="R11" i="1" s="1"/>
  <c r="B11" i="1"/>
  <c r="Q11" i="1" s="1"/>
  <c r="N3" i="1"/>
  <c r="N2" i="1"/>
  <c r="N1" i="1"/>
  <c r="E1" i="1"/>
  <c r="W12" i="1" l="1"/>
  <c r="V12" i="1"/>
  <c r="M45" i="3"/>
  <c r="H45" i="3"/>
  <c r="E45" i="3"/>
  <c r="D45" i="3"/>
  <c r="C45" i="3"/>
  <c r="G45" i="3"/>
  <c r="B45" i="3"/>
  <c r="J30" i="3"/>
  <c r="O16" i="3"/>
  <c r="M30" i="3"/>
  <c r="I45" i="3"/>
  <c r="K30" i="3"/>
  <c r="L30" i="3"/>
  <c r="O21" i="3"/>
  <c r="D27" i="2"/>
  <c r="B30" i="3"/>
  <c r="C30" i="3"/>
  <c r="D30" i="3"/>
  <c r="E30" i="3"/>
  <c r="F30" i="3"/>
  <c r="G30" i="3"/>
  <c r="H30" i="3"/>
  <c r="I30" i="3"/>
  <c r="O42" i="3"/>
  <c r="O25" i="3"/>
  <c r="E39" i="2"/>
  <c r="F27" i="2"/>
  <c r="C36" i="2"/>
  <c r="O29" i="3"/>
  <c r="O41" i="3"/>
  <c r="O24" i="3"/>
  <c r="O40" i="3"/>
  <c r="L39" i="2"/>
  <c r="O35" i="3"/>
  <c r="O43" i="3"/>
  <c r="O26" i="3"/>
  <c r="G27" i="2"/>
  <c r="D36" i="2"/>
  <c r="O32" i="3"/>
  <c r="O28" i="3"/>
  <c r="O20" i="3"/>
  <c r="I20" i="2"/>
  <c r="O38" i="3"/>
  <c r="O39" i="3"/>
  <c r="C21" i="2"/>
  <c r="O27" i="3"/>
  <c r="O33" i="3"/>
  <c r="O34" i="3"/>
  <c r="F36" i="2"/>
  <c r="N38" i="3"/>
  <c r="G36" i="2"/>
  <c r="N39" i="3"/>
  <c r="H36" i="2"/>
  <c r="I36" i="2"/>
  <c r="K36" i="2"/>
  <c r="K20" i="2"/>
  <c r="E18" i="3"/>
  <c r="N41" i="3"/>
  <c r="G18" i="3"/>
  <c r="B36" i="2"/>
  <c r="E36" i="2"/>
  <c r="J36" i="2"/>
  <c r="N42" i="3"/>
  <c r="L36" i="2"/>
  <c r="B25" i="2"/>
  <c r="C25" i="2"/>
  <c r="B40" i="2"/>
  <c r="D25" i="2"/>
  <c r="C40" i="2"/>
  <c r="D40" i="2"/>
  <c r="G35" i="2"/>
  <c r="L37" i="2"/>
  <c r="L35" i="2"/>
  <c r="C27" i="2"/>
  <c r="F35" i="2"/>
  <c r="B21" i="2"/>
  <c r="L18" i="2"/>
  <c r="D30" i="2"/>
  <c r="F18" i="3"/>
  <c r="K37" i="2"/>
  <c r="I30" i="2"/>
  <c r="H17" i="2"/>
  <c r="M18" i="3"/>
  <c r="L18" i="3"/>
  <c r="L30" i="2"/>
  <c r="E27" i="2"/>
  <c r="E28" i="2"/>
  <c r="C24" i="2"/>
  <c r="F28" i="2"/>
  <c r="D32" i="2"/>
  <c r="E32" i="2"/>
  <c r="B38" i="2"/>
  <c r="F38" i="2"/>
  <c r="C38" i="2"/>
  <c r="I17" i="2"/>
  <c r="D17" i="2"/>
  <c r="D38" i="2"/>
  <c r="J17" i="2"/>
  <c r="E17" i="2"/>
  <c r="E38" i="2"/>
  <c r="H30" i="2"/>
  <c r="L21" i="2"/>
  <c r="G38" i="2"/>
  <c r="E25" i="2"/>
  <c r="F25" i="2"/>
  <c r="E22" i="3"/>
  <c r="G25" i="2"/>
  <c r="F22" i="3"/>
  <c r="C28" i="2"/>
  <c r="H35" i="2"/>
  <c r="B39" i="2"/>
  <c r="G32" i="2"/>
  <c r="G28" i="2"/>
  <c r="B30" i="2"/>
  <c r="F39" i="2"/>
  <c r="C30" i="2"/>
  <c r="G24" i="2"/>
  <c r="C33" i="2"/>
  <c r="H20" i="2"/>
  <c r="D35" i="2"/>
  <c r="E18" i="2"/>
  <c r="D24" i="2"/>
  <c r="F18" i="2"/>
  <c r="E24" i="2"/>
  <c r="N28" i="3"/>
  <c r="F24" i="2"/>
  <c r="M22" i="3"/>
  <c r="I26" i="2"/>
  <c r="H32" i="2"/>
  <c r="H38" i="2"/>
  <c r="B31" i="2"/>
  <c r="I38" i="2"/>
  <c r="E40" i="2"/>
  <c r="N34" i="3"/>
  <c r="D33" i="2"/>
  <c r="B28" i="2"/>
  <c r="L40" i="2"/>
  <c r="J31" i="2"/>
  <c r="D20" i="2"/>
  <c r="C39" i="2"/>
  <c r="B18" i="2"/>
  <c r="E20" i="2"/>
  <c r="H33" i="2"/>
  <c r="C18" i="2"/>
  <c r="I33" i="2"/>
  <c r="D18" i="2"/>
  <c r="J18" i="3"/>
  <c r="E35" i="2"/>
  <c r="D28" i="2"/>
  <c r="L33" i="2"/>
  <c r="F32" i="2"/>
  <c r="B24" i="2"/>
  <c r="N29" i="3"/>
  <c r="D22" i="3"/>
  <c r="J26" i="2"/>
  <c r="F21" i="2"/>
  <c r="K26" i="2"/>
  <c r="L26" i="2"/>
  <c r="H25" i="2"/>
  <c r="B33" i="2"/>
  <c r="I36" i="3"/>
  <c r="B27" i="2"/>
  <c r="K17" i="2"/>
  <c r="J18" i="2"/>
  <c r="G39" i="2"/>
  <c r="D21" i="2"/>
  <c r="D39" i="2"/>
  <c r="J33" i="2"/>
  <c r="C18" i="3"/>
  <c r="H22" i="3"/>
  <c r="I40" i="2"/>
  <c r="L25" i="2"/>
  <c r="K31" i="2"/>
  <c r="I32" i="2"/>
  <c r="N26" i="3"/>
  <c r="B26" i="2"/>
  <c r="K38" i="2"/>
  <c r="G40" i="2"/>
  <c r="L28" i="2"/>
  <c r="H24" i="2"/>
  <c r="N20" i="3"/>
  <c r="F26" i="2"/>
  <c r="E33" i="2"/>
  <c r="L17" i="2"/>
  <c r="D18" i="3"/>
  <c r="I25" i="2"/>
  <c r="B22" i="3"/>
  <c r="F17" i="2"/>
  <c r="K35" i="2"/>
  <c r="K30" i="2"/>
  <c r="G17" i="2"/>
  <c r="B36" i="3"/>
  <c r="D34" i="1"/>
  <c r="K34" i="1"/>
  <c r="L34" i="1"/>
  <c r="V14" i="1"/>
  <c r="K30" i="1"/>
  <c r="K31" i="1"/>
  <c r="L31" i="1"/>
  <c r="L33" i="1"/>
  <c r="D32" i="1"/>
  <c r="I34" i="1"/>
  <c r="M34" i="1"/>
  <c r="I33" i="1"/>
  <c r="T16" i="1"/>
  <c r="R15" i="1"/>
  <c r="L32" i="1"/>
  <c r="M32" i="1"/>
  <c r="M33" i="1"/>
  <c r="D33" i="1"/>
  <c r="S16" i="1"/>
  <c r="K32" i="2"/>
  <c r="D31" i="2"/>
  <c r="C12" i="1"/>
  <c r="C29" i="1" s="1"/>
  <c r="C38" i="1" s="1"/>
  <c r="B17" i="2"/>
  <c r="B12" i="1"/>
  <c r="B29" i="1" s="1"/>
  <c r="B38" i="1" s="1"/>
  <c r="U12" i="1"/>
  <c r="B37" i="2"/>
  <c r="N21" i="3"/>
  <c r="I21" i="2"/>
  <c r="D37" i="2"/>
  <c r="J32" i="2"/>
  <c r="K36" i="3"/>
  <c r="B20" i="2"/>
  <c r="C20" i="2"/>
  <c r="C22" i="3"/>
  <c r="J21" i="2"/>
  <c r="E37" i="2"/>
  <c r="J40" i="2"/>
  <c r="K21" i="2"/>
  <c r="F37" i="2"/>
  <c r="C31" i="2"/>
  <c r="L32" i="2"/>
  <c r="G37" i="2"/>
  <c r="H37" i="2"/>
  <c r="N33" i="3"/>
  <c r="F36" i="3"/>
  <c r="E31" i="2"/>
  <c r="I37" i="2"/>
  <c r="J37" i="2"/>
  <c r="B35" i="2"/>
  <c r="C35" i="2"/>
  <c r="F31" i="2"/>
  <c r="G36" i="3"/>
  <c r="G31" i="2"/>
  <c r="H31" i="2"/>
  <c r="G21" i="2"/>
  <c r="M31" i="1"/>
  <c r="H21" i="2"/>
  <c r="N40" i="3"/>
  <c r="H39" i="2"/>
  <c r="F12" i="1"/>
  <c r="F29" i="1" s="1"/>
  <c r="F38" i="1" s="1"/>
  <c r="L38" i="2"/>
  <c r="Q12" i="1"/>
  <c r="R12" i="1"/>
  <c r="I22" i="3"/>
  <c r="H18" i="3"/>
  <c r="G18" i="2"/>
  <c r="H18" i="2"/>
  <c r="I18" i="3"/>
  <c r="N25" i="3"/>
  <c r="N27" i="3"/>
  <c r="H26" i="2"/>
  <c r="L22" i="3"/>
  <c r="L20" i="2"/>
  <c r="I39" i="2"/>
  <c r="K27" i="2"/>
  <c r="I24" i="2"/>
  <c r="C26" i="2"/>
  <c r="L27" i="2"/>
  <c r="G20" i="2"/>
  <c r="G22" i="3"/>
  <c r="F20" i="2"/>
  <c r="J24" i="2"/>
  <c r="D26" i="2"/>
  <c r="Y12" i="1"/>
  <c r="X12" i="1"/>
  <c r="B32" i="2"/>
  <c r="C32" i="2"/>
  <c r="K24" i="2"/>
  <c r="E26" i="2"/>
  <c r="G30" i="2"/>
  <c r="H36" i="3"/>
  <c r="L24" i="2"/>
  <c r="G26" i="2"/>
  <c r="K22" i="3"/>
  <c r="J20" i="2"/>
  <c r="J38" i="2"/>
  <c r="F40" i="2"/>
  <c r="C37" i="2"/>
  <c r="N43" i="3"/>
  <c r="H40" i="2"/>
  <c r="N24" i="3"/>
  <c r="K39" i="2"/>
  <c r="J39" i="2"/>
  <c r="I35" i="2"/>
  <c r="C36" i="3"/>
  <c r="K33" i="1"/>
  <c r="D36" i="3"/>
  <c r="L31" i="2"/>
  <c r="F33" i="2"/>
  <c r="E36" i="3"/>
  <c r="G33" i="2"/>
  <c r="H28" i="2"/>
  <c r="F30" i="2"/>
  <c r="E30" i="2"/>
  <c r="N35" i="3"/>
  <c r="I28" i="2"/>
  <c r="H27" i="2"/>
  <c r="E21" i="2"/>
  <c r="I31" i="1"/>
  <c r="J35" i="2"/>
  <c r="S11" i="1"/>
  <c r="S12" i="1" s="1"/>
  <c r="D12" i="1"/>
  <c r="D29" i="1" s="1"/>
  <c r="D38" i="1" s="1"/>
  <c r="J36" i="3"/>
  <c r="I31" i="2"/>
  <c r="T11" i="1"/>
  <c r="E12" i="1"/>
  <c r="E29" i="1" s="1"/>
  <c r="E38" i="1" s="1"/>
  <c r="N16" i="3"/>
  <c r="K33" i="2"/>
  <c r="J25" i="2"/>
  <c r="K25" i="2"/>
  <c r="K18" i="3"/>
  <c r="M36" i="3"/>
  <c r="J28" i="2"/>
  <c r="I27" i="2"/>
  <c r="K28" i="2"/>
  <c r="J27" i="2"/>
  <c r="C17" i="2"/>
  <c r="K40" i="2"/>
  <c r="B18" i="3"/>
  <c r="I18" i="2"/>
  <c r="N32" i="3"/>
  <c r="K18" i="2"/>
  <c r="J30" i="2"/>
  <c r="J22" i="3"/>
  <c r="L36" i="3"/>
  <c r="B50" i="3" l="1" a="1"/>
  <c r="B50" i="3" s="1"/>
  <c r="B15" i="2" s="1"/>
  <c r="B49" i="2" s="1"/>
  <c r="J31" i="1"/>
  <c r="Q15" i="1"/>
  <c r="B32" i="1"/>
  <c r="R14" i="1"/>
  <c r="C31" i="1"/>
  <c r="R16" i="1"/>
  <c r="C33" i="1"/>
  <c r="I50" i="3" a="1"/>
  <c r="I50" i="3" s="1"/>
  <c r="I40" i="1" s="1"/>
  <c r="K50" i="3" a="1"/>
  <c r="K50" i="3" s="1"/>
  <c r="K40" i="1" s="1"/>
  <c r="M50" i="3" a="1"/>
  <c r="M50" i="3" s="1"/>
  <c r="M40" i="1" s="1"/>
  <c r="F50" i="3" a="1"/>
  <c r="F50" i="3" s="1"/>
  <c r="F40" i="1" s="1"/>
  <c r="C50" i="3" a="1"/>
  <c r="C50" i="3" s="1"/>
  <c r="C40" i="1" s="1"/>
  <c r="H50" i="3" a="1"/>
  <c r="H50" i="3" s="1"/>
  <c r="H40" i="1" s="1"/>
  <c r="E50" i="3" a="1"/>
  <c r="E50" i="3" s="1"/>
  <c r="E40" i="1" s="1"/>
  <c r="D50" i="3" a="1"/>
  <c r="D50" i="3" s="1"/>
  <c r="L50" i="3" a="1"/>
  <c r="L50" i="3" s="1"/>
  <c r="L40" i="1" s="1"/>
  <c r="J50" i="3" a="1"/>
  <c r="J50" i="3" s="1"/>
  <c r="J40" i="1" s="1"/>
  <c r="G50" i="3" a="1"/>
  <c r="G50" i="3" s="1"/>
  <c r="G40" i="1" s="1"/>
  <c r="N45" i="3"/>
  <c r="N30" i="3"/>
  <c r="O22" i="3"/>
  <c r="O36" i="3"/>
  <c r="O45" i="3"/>
  <c r="O18" i="3"/>
  <c r="S17" i="1"/>
  <c r="D22" i="1"/>
  <c r="S15" i="1"/>
  <c r="K16" i="1"/>
  <c r="G31" i="1"/>
  <c r="E33" i="1"/>
  <c r="M22" i="1"/>
  <c r="U16" i="1"/>
  <c r="F33" i="1"/>
  <c r="C32" i="1"/>
  <c r="L22" i="1"/>
  <c r="J16" i="1"/>
  <c r="J30" i="1"/>
  <c r="L30" i="1"/>
  <c r="L35" i="1" s="1"/>
  <c r="L16" i="1"/>
  <c r="H31" i="1"/>
  <c r="X14" i="1"/>
  <c r="Y14" i="1" s="1"/>
  <c r="X17" i="1"/>
  <c r="H34" i="1"/>
  <c r="R17" i="1"/>
  <c r="C34" i="1"/>
  <c r="Q17" i="1"/>
  <c r="B34" i="1"/>
  <c r="Q16" i="1"/>
  <c r="B33" i="1"/>
  <c r="B22" i="1"/>
  <c r="J34" i="1"/>
  <c r="N36" i="3"/>
  <c r="I30" i="1"/>
  <c r="I16" i="1"/>
  <c r="V17" i="1"/>
  <c r="G34" i="1"/>
  <c r="M16" i="1"/>
  <c r="M30" i="1"/>
  <c r="M35" i="1" s="1"/>
  <c r="X16" i="1"/>
  <c r="H33" i="1"/>
  <c r="E16" i="1"/>
  <c r="E30" i="1"/>
  <c r="T13" i="1"/>
  <c r="R13" i="1"/>
  <c r="C30" i="1"/>
  <c r="C16" i="1"/>
  <c r="G22" i="1"/>
  <c r="G32" i="1"/>
  <c r="V15" i="1"/>
  <c r="H32" i="1"/>
  <c r="X15" i="1"/>
  <c r="H22" i="1"/>
  <c r="F22" i="1"/>
  <c r="F32" i="1"/>
  <c r="U15" i="1"/>
  <c r="H30" i="1"/>
  <c r="X13" i="1"/>
  <c r="H16" i="1"/>
  <c r="S14" i="1"/>
  <c r="D31" i="1"/>
  <c r="V16" i="1"/>
  <c r="G33" i="1"/>
  <c r="E34" i="1"/>
  <c r="T17" i="1"/>
  <c r="J33" i="1"/>
  <c r="K32" i="1"/>
  <c r="K35" i="1" s="1"/>
  <c r="K22" i="1"/>
  <c r="Q13" i="1"/>
  <c r="B30" i="1"/>
  <c r="B16" i="1"/>
  <c r="D16" i="1"/>
  <c r="D30" i="1"/>
  <c r="S13" i="1"/>
  <c r="T12" i="1"/>
  <c r="G30" i="1"/>
  <c r="G16" i="1"/>
  <c r="V13" i="1"/>
  <c r="N18" i="3"/>
  <c r="Q14" i="1"/>
  <c r="B31" i="1"/>
  <c r="E32" i="1"/>
  <c r="T15" i="1"/>
  <c r="E22" i="1"/>
  <c r="F30" i="1"/>
  <c r="F16" i="1"/>
  <c r="U13" i="1"/>
  <c r="I32" i="1"/>
  <c r="I22" i="1"/>
  <c r="I25" i="1" s="1"/>
  <c r="J32" i="1"/>
  <c r="J22" i="1"/>
  <c r="E31" i="1"/>
  <c r="T14" i="1"/>
  <c r="N22" i="3"/>
  <c r="U17" i="1"/>
  <c r="F34" i="1"/>
  <c r="C22" i="1"/>
  <c r="F31" i="1"/>
  <c r="U14" i="1"/>
  <c r="W14" i="1" s="1"/>
  <c r="N50" i="3" l="1" a="1"/>
  <c r="N50" i="3" s="1"/>
  <c r="B40" i="1"/>
  <c r="K17" i="1"/>
  <c r="C15" i="2"/>
  <c r="C49" i="2" s="1"/>
  <c r="C39" i="1"/>
  <c r="AA14" i="1"/>
  <c r="W16" i="1"/>
  <c r="M23" i="1"/>
  <c r="Y13" i="1"/>
  <c r="Y17" i="1"/>
  <c r="B35" i="1"/>
  <c r="E35" i="1"/>
  <c r="M36" i="1"/>
  <c r="AA16" i="1"/>
  <c r="L25" i="1"/>
  <c r="AD18" i="1" s="1"/>
  <c r="AD20" i="1" s="1"/>
  <c r="W17" i="1"/>
  <c r="D17" i="1"/>
  <c r="Y15" i="1"/>
  <c r="F17" i="1"/>
  <c r="C35" i="1"/>
  <c r="B23" i="1"/>
  <c r="C25" i="1"/>
  <c r="C23" i="1"/>
  <c r="Y16" i="1"/>
  <c r="L17" i="1"/>
  <c r="AA17" i="1"/>
  <c r="L36" i="1"/>
  <c r="K23" i="1"/>
  <c r="K25" i="1"/>
  <c r="AC18" i="1" s="1"/>
  <c r="AC20" i="1" s="1"/>
  <c r="E17" i="1"/>
  <c r="Z18" i="1"/>
  <c r="I23" i="1"/>
  <c r="F25" i="1"/>
  <c r="F23" i="1"/>
  <c r="M17" i="1"/>
  <c r="F35" i="1"/>
  <c r="D35" i="1"/>
  <c r="L23" i="1"/>
  <c r="H17" i="1"/>
  <c r="H23" i="1"/>
  <c r="H25" i="1"/>
  <c r="E25" i="1"/>
  <c r="E23" i="1"/>
  <c r="D25" i="1"/>
  <c r="G23" i="1"/>
  <c r="G25" i="1"/>
  <c r="I17" i="1"/>
  <c r="J35" i="1"/>
  <c r="C17" i="1"/>
  <c r="I35" i="1"/>
  <c r="J17" i="1"/>
  <c r="H35" i="1"/>
  <c r="M25" i="1"/>
  <c r="AE18" i="1" s="1"/>
  <c r="AE20" i="1" s="1"/>
  <c r="B25" i="1"/>
  <c r="W15" i="1"/>
  <c r="D23" i="1"/>
  <c r="W13" i="1"/>
  <c r="J25" i="1"/>
  <c r="AB18" i="1" s="1"/>
  <c r="AB20" i="1" s="1"/>
  <c r="J23" i="1"/>
  <c r="G17" i="1"/>
  <c r="AA15" i="1"/>
  <c r="G35" i="1"/>
  <c r="AA13" i="1"/>
  <c r="AE21" i="1" l="1"/>
  <c r="AE22" i="1" s="1"/>
  <c r="AD21" i="1"/>
  <c r="AD22" i="1" s="1"/>
  <c r="AC21" i="1"/>
  <c r="AC22" i="1" s="1"/>
  <c r="C36" i="1"/>
  <c r="B36" i="1"/>
  <c r="D15" i="2"/>
  <c r="D49" i="2" s="1"/>
  <c r="D39" i="1"/>
  <c r="M26" i="1"/>
  <c r="H36" i="1"/>
  <c r="F36" i="1"/>
  <c r="I26" i="1"/>
  <c r="G36" i="1"/>
  <c r="J36" i="1"/>
  <c r="D36" i="1"/>
  <c r="K26" i="1"/>
  <c r="J26" i="1"/>
  <c r="X18" i="1"/>
  <c r="H26" i="1"/>
  <c r="E26" i="1"/>
  <c r="T18" i="1"/>
  <c r="T20" i="1" s="1"/>
  <c r="G26" i="1"/>
  <c r="V18" i="1"/>
  <c r="Q18" i="1"/>
  <c r="Q20" i="1" s="1"/>
  <c r="D26" i="1"/>
  <c r="S18" i="1"/>
  <c r="S20" i="1" s="1"/>
  <c r="U18" i="1"/>
  <c r="U20" i="1" s="1"/>
  <c r="F26" i="1"/>
  <c r="E36" i="1"/>
  <c r="C26" i="1"/>
  <c r="R18" i="1"/>
  <c r="R20" i="1" s="1"/>
  <c r="I36" i="1"/>
  <c r="L26" i="1"/>
  <c r="B17" i="1"/>
  <c r="K36" i="1"/>
  <c r="B26" i="1" l="1"/>
  <c r="T21" i="1"/>
  <c r="T22" i="1" s="1"/>
  <c r="R21" i="1"/>
  <c r="R22" i="1" s="1"/>
  <c r="E15" i="2"/>
  <c r="E49" i="2" s="1"/>
  <c r="E39" i="1"/>
  <c r="W18" i="1"/>
  <c r="W20" i="1" s="1"/>
  <c r="V20" i="1"/>
  <c r="V21" i="1" s="1"/>
  <c r="V22" i="1" s="1"/>
  <c r="Y18" i="1"/>
  <c r="Y20" i="1" s="1"/>
  <c r="X20" i="1"/>
  <c r="U21" i="1"/>
  <c r="U22" i="1" s="1"/>
  <c r="S21" i="1"/>
  <c r="S22" i="1" s="1"/>
  <c r="Z20" i="1"/>
  <c r="AA18" i="1"/>
  <c r="AA20" i="1" s="1"/>
  <c r="AA25" i="1" l="1"/>
  <c r="Z23" i="1"/>
  <c r="AB21" i="1"/>
  <c r="AB22" i="1" s="1"/>
  <c r="F15" i="2"/>
  <c r="F49" i="2" s="1"/>
  <c r="F39" i="1"/>
  <c r="Z22" i="1"/>
  <c r="X22" i="1"/>
  <c r="Z24" i="1" l="1"/>
  <c r="X24" i="1"/>
  <c r="G15" i="2"/>
  <c r="G49" i="2" s="1"/>
  <c r="G39" i="1"/>
  <c r="H15" i="2" l="1"/>
  <c r="H49" i="2" s="1"/>
  <c r="H39" i="1"/>
  <c r="I15" i="2" l="1"/>
  <c r="I49" i="2" s="1"/>
  <c r="I39" i="1"/>
  <c r="J15" i="2" l="1"/>
  <c r="J49" i="2" s="1"/>
  <c r="J39" i="1"/>
  <c r="K15" i="2" l="1"/>
  <c r="K49" i="2" s="1"/>
  <c r="K39" i="1"/>
  <c r="L15" i="2" l="1"/>
  <c r="L49" i="2" s="1"/>
  <c r="M39" i="1" s="1"/>
  <c r="L39" i="1"/>
  <c r="D40" i="1" l="1"/>
  <c r="O30" i="3"/>
  <c r="O50" i="3" s="1" a="1"/>
  <c r="O5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<sst xmlns="http://schemas.openxmlformats.org/spreadsheetml/2006/main" count="255" uniqueCount="124">
  <si>
    <t>File Number:</t>
  </si>
  <si>
    <t>EB-2025-0312</t>
  </si>
  <si>
    <t>Last Rebasing Year</t>
  </si>
  <si>
    <t>Column</t>
  </si>
  <si>
    <t>Exhibit:</t>
  </si>
  <si>
    <t>B</t>
  </si>
  <si>
    <t>Tab:</t>
  </si>
  <si>
    <t>D</t>
  </si>
  <si>
    <t>Schedule:</t>
  </si>
  <si>
    <t>G</t>
  </si>
  <si>
    <t>Show RRR data</t>
  </si>
  <si>
    <t>Page:</t>
  </si>
  <si>
    <t>J</t>
  </si>
  <si>
    <t>Yes</t>
  </si>
  <si>
    <t>M</t>
  </si>
  <si>
    <t>Date:</t>
  </si>
  <si>
    <t>P</t>
  </si>
  <si>
    <t>S</t>
  </si>
  <si>
    <t>Appendix 2-JA</t>
  </si>
  <si>
    <t>V</t>
  </si>
  <si>
    <r>
      <t xml:space="preserve">Summary of </t>
    </r>
    <r>
      <rPr>
        <b/>
        <u/>
        <sz val="14"/>
        <color indexed="10"/>
        <rFont val="Arial"/>
        <family val="2"/>
      </rPr>
      <t>Recoverable</t>
    </r>
    <r>
      <rPr>
        <b/>
        <sz val="14"/>
        <rFont val="Arial"/>
        <family val="2"/>
      </rPr>
      <t xml:space="preserve"> OM&amp;A Expenses</t>
    </r>
    <r>
      <rPr>
        <b/>
        <vertAlign val="superscript"/>
        <sz val="14"/>
        <rFont val="Arial"/>
        <family val="2"/>
      </rPr>
      <t>6</t>
    </r>
  </si>
  <si>
    <t>2025 Actuals</t>
  </si>
  <si>
    <t>2026 Bridge Year</t>
  </si>
  <si>
    <t>2027 Test Year</t>
  </si>
  <si>
    <t>2028 Forecast</t>
  </si>
  <si>
    <t>2029 Forecast</t>
  </si>
  <si>
    <t>2030 Forecast</t>
  </si>
  <si>
    <t>2031 Forecast</t>
  </si>
  <si>
    <t>Reporting Basis</t>
  </si>
  <si>
    <t>MIFRS</t>
  </si>
  <si>
    <t>Operations</t>
  </si>
  <si>
    <t xml:space="preserve">Maintenance </t>
  </si>
  <si>
    <t>Maintenance</t>
  </si>
  <si>
    <t xml:space="preserve">Billing and Collecting </t>
  </si>
  <si>
    <t>SubTotal</t>
  </si>
  <si>
    <t xml:space="preserve">Community Relations </t>
  </si>
  <si>
    <t>%Change (year over year)</t>
  </si>
  <si>
    <t xml:space="preserve">Administrative and General </t>
  </si>
  <si>
    <t>%Change (Test Year vs 
Last Rebasing Year - Actual)</t>
  </si>
  <si>
    <t xml:space="preserve">Total OM&amp;A Expenses </t>
  </si>
  <si>
    <t>Billing and Collecting</t>
  </si>
  <si>
    <r>
      <t>Adjustments for Total non-recoverable items</t>
    </r>
    <r>
      <rPr>
        <b/>
        <vertAlign val="superscript"/>
        <sz val="9"/>
        <color theme="1"/>
        <rFont val="Arial"/>
        <family val="2"/>
      </rPr>
      <t>3</t>
    </r>
  </si>
  <si>
    <t>Community Relations</t>
  </si>
  <si>
    <t xml:space="preserve">Total Recoverable OM&amp;A Expenses </t>
  </si>
  <si>
    <t>Administrative and General</t>
  </si>
  <si>
    <t xml:space="preserve">Variance from previous year </t>
  </si>
  <si>
    <t xml:space="preserve">Percent change (year over year) </t>
  </si>
  <si>
    <t xml:space="preserve">Percent Change:
Test year vs. Most Current Actual </t>
  </si>
  <si>
    <t>Simple average of % variance for all years</t>
  </si>
  <si>
    <t>Total</t>
  </si>
  <si>
    <t>Compound Annual Growth Rate for all years</t>
  </si>
  <si>
    <r>
      <t>Operations</t>
    </r>
    <r>
      <rPr>
        <vertAlign val="superscript"/>
        <sz val="9"/>
        <rFont val="Arial"/>
        <family val="2"/>
      </rPr>
      <t>1</t>
    </r>
  </si>
  <si>
    <r>
      <t>Maintenance</t>
    </r>
    <r>
      <rPr>
        <vertAlign val="superscript"/>
        <sz val="9"/>
        <rFont val="Arial"/>
        <family val="2"/>
      </rPr>
      <t>2</t>
    </r>
  </si>
  <si>
    <r>
      <t>Billing and Collecting</t>
    </r>
    <r>
      <rPr>
        <vertAlign val="superscript"/>
        <sz val="9"/>
        <rFont val="Arial"/>
        <family val="2"/>
      </rPr>
      <t>3</t>
    </r>
  </si>
  <si>
    <r>
      <t>Community Relations</t>
    </r>
    <r>
      <rPr>
        <vertAlign val="superscript"/>
        <sz val="9"/>
        <rFont val="Arial"/>
        <family val="2"/>
      </rPr>
      <t>4</t>
    </r>
  </si>
  <si>
    <r>
      <t>Administrative and General</t>
    </r>
    <r>
      <rPr>
        <vertAlign val="superscript"/>
        <sz val="9"/>
        <rFont val="Arial"/>
        <family val="2"/>
      </rPr>
      <t>5</t>
    </r>
  </si>
  <si>
    <t>Integrity Check - 2-JB: Total OM&amp;A</t>
  </si>
  <si>
    <t>N/A</t>
  </si>
  <si>
    <t>Integrity Check - 2-JC: Total OM&amp;A (if applicable)</t>
  </si>
  <si>
    <t>Note:</t>
  </si>
  <si>
    <t>1     USoA included in Operations: 5005, 5010, 5012, 5014, 5015, 5016, 5017, 5020, 5025, 5030, 5035, 5040, 5045, 5050, 5055, 5060, 5065, 5070, 5075, 5085, 5090, 5095, 5096</t>
  </si>
  <si>
    <t>2     USoA included in Maintenance: 5105, 5110, 5112, 5114, 5120, 5125, 5130, 5135, 5145, 5150, 5155, 5160, 5165, 5170, 5172, 5175, 5178, 5195</t>
  </si>
  <si>
    <t>3     USoA included in Billing and Collecting: 5305, 5310, 5315, 5320, 5325, 5330, 5335, 5340</t>
  </si>
  <si>
    <t>4     USoA included in Community Relations: 5405, 5410, 5415, 5420, 5425</t>
  </si>
  <si>
    <t>5     USoA included in Administrative and General: 5505, 5510, 5515, 5520, 5605, 5610, 5615, 5620, 5625, 5630, 5635, 5640, 5645, 5646, 5647,
 5650, 5655, 5660, 5665, 5670, 5672, 5675, 5680, 5681, 5685, 5695 &amp; 6205 (sub-account LEAP funding)</t>
  </si>
  <si>
    <t>6       Non recoverable items have been removed from OM&amp;A.</t>
  </si>
  <si>
    <t>Appendix 2-JB</t>
  </si>
  <si>
    <t>OM&amp;A</t>
  </si>
  <si>
    <t>Opening Balance</t>
  </si>
  <si>
    <t>System Planning and Design</t>
  </si>
  <si>
    <t xml:space="preserve">   Asset Planning &amp; System Engineering</t>
  </si>
  <si>
    <t xml:space="preserve">   Design Services &amp; Connections</t>
  </si>
  <si>
    <t>System Operations</t>
  </si>
  <si>
    <t xml:space="preserve">   Control Centre</t>
  </si>
  <si>
    <t xml:space="preserve">   Operations</t>
  </si>
  <si>
    <t>Sustainment</t>
  </si>
  <si>
    <t xml:space="preserve">   Maintenance</t>
  </si>
  <si>
    <t xml:space="preserve">      Maintenance - Distribution System</t>
  </si>
  <si>
    <t xml:space="preserve">      Maintenance - Substations</t>
  </si>
  <si>
    <t xml:space="preserve">   Restoration (storms, trouble calls)</t>
  </si>
  <si>
    <t xml:space="preserve">   Vegetation Management</t>
  </si>
  <si>
    <t xml:space="preserve">   Locates</t>
  </si>
  <si>
    <t>Customer Care</t>
  </si>
  <si>
    <t xml:space="preserve">   Billing</t>
  </si>
  <si>
    <t xml:space="preserve">   Customer Experience/Contact Centre</t>
  </si>
  <si>
    <t xml:space="preserve">   Payments &amp; Collections</t>
  </si>
  <si>
    <t xml:space="preserve">   Metering &amp; Wholesale Settlements</t>
  </si>
  <si>
    <t>Common Corporate</t>
  </si>
  <si>
    <t xml:space="preserve">   Technology</t>
  </si>
  <si>
    <t xml:space="preserve">   People &amp; Culture</t>
  </si>
  <si>
    <t xml:space="preserve">   Finance</t>
  </si>
  <si>
    <t xml:space="preserve">   Procurement &amp; Facilities</t>
  </si>
  <si>
    <t xml:space="preserve">   Regulatory Affairs</t>
  </si>
  <si>
    <t xml:space="preserve">   Stakeholder Relations</t>
  </si>
  <si>
    <t xml:space="preserve">   Legal and Corporate Secretariat</t>
  </si>
  <si>
    <r>
      <t>DVA Adjustments</t>
    </r>
    <r>
      <rPr>
        <b/>
        <vertAlign val="superscript"/>
        <sz val="10"/>
        <rFont val="Arial"/>
        <family val="2"/>
      </rPr>
      <t>2</t>
    </r>
  </si>
  <si>
    <t xml:space="preserve">   Sustainment/Locates</t>
  </si>
  <si>
    <t xml:space="preserve">   Common Corporate/Regulatory</t>
  </si>
  <si>
    <t>Notes:</t>
  </si>
  <si>
    <t>Detailed explanation for each program cost driver and associated amount is provided in Exhibit 4.</t>
  </si>
  <si>
    <t xml:space="preserve">To align with MIFRS, Elexicon has included both total costs and net costs. Net costs are the segment costs less the operational amounts of that segment which were tracked in a deferral or variance account (DVA). </t>
  </si>
  <si>
    <t>Utilities with less than 30,000 customers have a choice to complete 2-JC or 2-JD.</t>
  </si>
  <si>
    <t>Appendix 2-JC</t>
  </si>
  <si>
    <t>OM&amp;A Programs Table</t>
  </si>
  <si>
    <t>Programs</t>
  </si>
  <si>
    <t>Sub-Total</t>
  </si>
  <si>
    <t>DVA Adjustments</t>
  </si>
  <si>
    <t xml:space="preserve">1   To align with MIFRS, Elexicon has included both total costs and net costs. Net costs are the segment costs less the operational amounts of that segment which were tracked in a deferral or variance account (DVA). </t>
  </si>
  <si>
    <t>Appendix 2-K</t>
  </si>
  <si>
    <t>Employee Costs</t>
  </si>
  <si>
    <t>2020 Actuals</t>
  </si>
  <si>
    <t>2021 Actuals</t>
  </si>
  <si>
    <t>2022 Actuals</t>
  </si>
  <si>
    <t>2023 Actuals</t>
  </si>
  <si>
    <t>2024 Actuals</t>
  </si>
  <si>
    <t>Number of Employees (FTEs including Part-Time)</t>
  </si>
  <si>
    <t>Management (including executive)</t>
  </si>
  <si>
    <t>Non-Management (union and non-union)</t>
  </si>
  <si>
    <t>Total Salary and Wages including ovetime and incentive pay</t>
  </si>
  <si>
    <t>Total Benefits (Current + Accrued)</t>
  </si>
  <si>
    <t>Total Compensation (Salary, Wages, &amp; Benefits)</t>
  </si>
  <si>
    <t>Total Compensation Breakdown (Capital, OM&amp;A)</t>
  </si>
  <si>
    <t>Capital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</si>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</sst>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&quot;$&quot;* #,##0_-;\-&quot;$&quot;* #,##0_-;_-&quot;$&quot;* &quot;-&quot;??_-;_-@_-"/>
    <numFmt numFmtId="166" formatCode="0.0%"/>
    <numFmt numFmtId="167" formatCode="_-* #,##0_-;\-* #,##0_-;_-* &quot;-&quot;??_-;_-@_-"/>
    <numFmt numFmtId="168" formatCode="_-&quot;$&quot;* #,##0.0_-;\-&quot;$&quot;* #,##0.0_-;_-&quot;$&quot;* &quot;-&quot;??_-;_-@_-"/>
    <numFmt numFmtId="169" formatCode="_(&quot;$&quot;* #,##0_);_(&quot;$&quot;* \(\ #,##0\);_(&quot;$&quot;* &quot;-&quot;_);_(@_)"/>
    <numFmt numFmtId="170" formatCode="[$-F800]dddd\,\ mmmm\ dd\,\ yyyy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u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i/>
      <sz val="9"/>
      <color rgb="FFFF0000"/>
      <name val="Arial"/>
      <family val="2"/>
    </font>
    <font>
      <b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sz val="10"/>
      <color theme="2"/>
      <name val="Arial"/>
      <family val="2"/>
    </font>
    <font>
      <b/>
      <i/>
      <sz val="10"/>
      <name val="Arial"/>
      <family val="2"/>
    </font>
    <font>
      <b/>
      <sz val="12"/>
      <name val="Aharoni"/>
      <charset val="177"/>
    </font>
    <font>
      <sz val="10"/>
      <color theme="1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0"/>
      <name val="Arial"/>
      <family val="2"/>
    </font>
    <font>
      <sz val="11"/>
      <color rgb="FF000000"/>
      <name val="Aptos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EBF1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1F0C8"/>
        <bgColor rgb="FF000000"/>
      </patternFill>
    </fill>
  </fills>
  <borders count="4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23" fillId="0" borderId="0"/>
  </cellStyleXfs>
  <cellXfs count="194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 vertical="top"/>
    </xf>
    <xf numFmtId="0" fontId="7" fillId="0" borderId="0" xfId="4" applyFont="1"/>
    <xf numFmtId="0" fontId="8" fillId="0" borderId="0" xfId="0" applyFont="1"/>
    <xf numFmtId="165" fontId="0" fillId="0" borderId="0" xfId="0" applyNumberFormat="1"/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12" fillId="0" borderId="4" xfId="4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4" fillId="0" borderId="7" xfId="5" applyFont="1" applyBorder="1" applyAlignment="1">
      <alignment horizontal="center" vertical="center" wrapText="1"/>
    </xf>
    <xf numFmtId="0" fontId="14" fillId="0" borderId="8" xfId="5" applyFont="1" applyBorder="1" applyAlignment="1">
      <alignment horizontal="center" vertical="center" wrapText="1"/>
    </xf>
    <xf numFmtId="0" fontId="14" fillId="0" borderId="9" xfId="5" applyFont="1" applyBorder="1" applyAlignment="1">
      <alignment horizontal="center" vertical="center" wrapText="1"/>
    </xf>
    <xf numFmtId="0" fontId="15" fillId="0" borderId="7" xfId="4" applyFont="1" applyBorder="1" applyAlignment="1">
      <alignment vertical="center" wrapText="1"/>
    </xf>
    <xf numFmtId="0" fontId="16" fillId="0" borderId="10" xfId="5" applyFont="1" applyBorder="1" applyAlignment="1">
      <alignment vertical="center" wrapText="1"/>
    </xf>
    <xf numFmtId="165" fontId="16" fillId="0" borderId="11" xfId="5" applyNumberFormat="1" applyFont="1" applyBorder="1" applyAlignment="1">
      <alignment vertical="center" wrapText="1"/>
    </xf>
    <xf numFmtId="165" fontId="16" fillId="0" borderId="12" xfId="5" applyNumberFormat="1" applyFont="1" applyBorder="1" applyAlignment="1">
      <alignment vertical="center" wrapText="1"/>
    </xf>
    <xf numFmtId="0" fontId="12" fillId="0" borderId="13" xfId="4" applyFont="1" applyBorder="1" applyAlignment="1">
      <alignment vertical="center" wrapText="1"/>
    </xf>
    <xf numFmtId="165" fontId="12" fillId="2" borderId="2" xfId="2" applyNumberFormat="1" applyFont="1" applyFill="1" applyBorder="1" applyAlignment="1" applyProtection="1">
      <alignment vertical="center" wrapText="1"/>
      <protection locked="0"/>
    </xf>
    <xf numFmtId="165" fontId="12" fillId="3" borderId="2" xfId="2" applyNumberFormat="1" applyFont="1" applyFill="1" applyBorder="1" applyAlignment="1" applyProtection="1">
      <alignment vertical="center" wrapText="1"/>
    </xf>
    <xf numFmtId="3" fontId="12" fillId="0" borderId="0" xfId="4" applyNumberFormat="1" applyFont="1" applyAlignment="1">
      <alignment vertical="center" wrapText="1"/>
    </xf>
    <xf numFmtId="0" fontId="16" fillId="0" borderId="15" xfId="5" applyFont="1" applyBorder="1" applyAlignment="1">
      <alignment vertical="center" wrapText="1"/>
    </xf>
    <xf numFmtId="165" fontId="16" fillId="0" borderId="16" xfId="5" applyNumberFormat="1" applyFont="1" applyBorder="1" applyAlignment="1">
      <alignment vertical="center" wrapText="1"/>
    </xf>
    <xf numFmtId="0" fontId="12" fillId="0" borderId="15" xfId="4" applyFont="1" applyBorder="1" applyAlignment="1">
      <alignment vertical="center" wrapText="1"/>
    </xf>
    <xf numFmtId="0" fontId="13" fillId="0" borderId="15" xfId="4" applyFont="1" applyBorder="1" applyAlignment="1">
      <alignment vertical="center" wrapText="1"/>
    </xf>
    <xf numFmtId="165" fontId="13" fillId="0" borderId="2" xfId="2" applyNumberFormat="1" applyFont="1" applyBorder="1" applyAlignment="1" applyProtection="1">
      <alignment vertical="center" wrapText="1"/>
    </xf>
    <xf numFmtId="165" fontId="13" fillId="0" borderId="14" xfId="2" applyNumberFormat="1" applyFont="1" applyBorder="1" applyAlignment="1" applyProtection="1">
      <alignment vertical="center" wrapText="1"/>
    </xf>
    <xf numFmtId="3" fontId="13" fillId="0" borderId="0" xfId="1" applyNumberFormat="1" applyFont="1" applyFill="1" applyBorder="1" applyAlignment="1" applyProtection="1">
      <alignment vertical="center" wrapText="1"/>
    </xf>
    <xf numFmtId="166" fontId="12" fillId="0" borderId="2" xfId="3" applyNumberFormat="1" applyFont="1" applyBorder="1" applyAlignment="1" applyProtection="1">
      <alignment vertical="center" wrapText="1"/>
    </xf>
    <xf numFmtId="166" fontId="12" fillId="0" borderId="17" xfId="3" applyNumberFormat="1" applyFont="1" applyBorder="1" applyAlignment="1" applyProtection="1">
      <alignment vertical="center" wrapText="1"/>
    </xf>
    <xf numFmtId="3" fontId="12" fillId="0" borderId="18" xfId="3" applyNumberFormat="1" applyFont="1" applyFill="1" applyBorder="1" applyAlignment="1" applyProtection="1">
      <alignment vertical="center" wrapText="1"/>
    </xf>
    <xf numFmtId="3" fontId="12" fillId="0" borderId="0" xfId="3" applyNumberFormat="1" applyFont="1" applyFill="1" applyBorder="1" applyAlignment="1" applyProtection="1">
      <alignment vertical="center" wrapText="1"/>
    </xf>
    <xf numFmtId="0" fontId="12" fillId="0" borderId="19" xfId="4" applyFont="1" applyBorder="1" applyAlignment="1">
      <alignment vertical="center" wrapText="1"/>
    </xf>
    <xf numFmtId="166" fontId="12" fillId="0" borderId="0" xfId="3" applyNumberFormat="1" applyFont="1" applyBorder="1" applyAlignment="1" applyProtection="1">
      <alignment vertical="center" wrapText="1"/>
    </xf>
    <xf numFmtId="166" fontId="12" fillId="0" borderId="20" xfId="3" applyNumberFormat="1" applyFont="1" applyBorder="1" applyAlignment="1" applyProtection="1">
      <alignment vertical="center" wrapText="1"/>
    </xf>
    <xf numFmtId="3" fontId="12" fillId="0" borderId="18" xfId="4" applyNumberFormat="1" applyFont="1" applyBorder="1" applyAlignment="1">
      <alignment vertical="center" wrapText="1"/>
    </xf>
    <xf numFmtId="0" fontId="16" fillId="0" borderId="16" xfId="5" applyFont="1" applyBorder="1" applyAlignment="1">
      <alignment vertical="center" wrapText="1"/>
    </xf>
    <xf numFmtId="0" fontId="16" fillId="0" borderId="22" xfId="5" applyFont="1" applyBorder="1" applyAlignment="1">
      <alignment vertical="center" wrapText="1"/>
    </xf>
    <xf numFmtId="0" fontId="12" fillId="4" borderId="15" xfId="4" applyFont="1" applyFill="1" applyBorder="1" applyAlignment="1">
      <alignment vertical="center" wrapText="1"/>
    </xf>
    <xf numFmtId="0" fontId="16" fillId="4" borderId="15" xfId="5" applyFont="1" applyFill="1" applyBorder="1" applyAlignment="1">
      <alignment vertical="center" wrapText="1"/>
    </xf>
    <xf numFmtId="165" fontId="14" fillId="4" borderId="2" xfId="2" applyNumberFormat="1" applyFont="1" applyFill="1" applyBorder="1" applyAlignment="1" applyProtection="1">
      <alignment vertical="center" wrapText="1"/>
    </xf>
    <xf numFmtId="0" fontId="16" fillId="4" borderId="14" xfId="5" applyFont="1" applyFill="1" applyBorder="1" applyAlignment="1">
      <alignment vertical="center" wrapText="1"/>
    </xf>
    <xf numFmtId="0" fontId="0" fillId="4" borderId="0" xfId="0" applyFill="1"/>
    <xf numFmtId="0" fontId="13" fillId="4" borderId="15" xfId="4" applyFont="1" applyFill="1" applyBorder="1" applyAlignment="1">
      <alignment vertical="center" wrapText="1"/>
    </xf>
    <xf numFmtId="165" fontId="13" fillId="4" borderId="2" xfId="2" applyNumberFormat="1" applyFont="1" applyFill="1" applyBorder="1" applyAlignment="1" applyProtection="1">
      <alignment vertical="center" wrapText="1"/>
    </xf>
    <xf numFmtId="165" fontId="13" fillId="4" borderId="14" xfId="2" applyNumberFormat="1" applyFont="1" applyFill="1" applyBorder="1" applyAlignment="1" applyProtection="1">
      <alignment vertical="center" wrapText="1"/>
    </xf>
    <xf numFmtId="9" fontId="14" fillId="4" borderId="23" xfId="3" applyFont="1" applyFill="1" applyBorder="1" applyAlignment="1" applyProtection="1">
      <alignment vertical="center" wrapText="1"/>
    </xf>
    <xf numFmtId="0" fontId="16" fillId="0" borderId="2" xfId="5" applyFont="1" applyBorder="1" applyAlignment="1">
      <alignment vertical="center" wrapText="1"/>
    </xf>
    <xf numFmtId="10" fontId="14" fillId="0" borderId="2" xfId="5" applyNumberFormat="1" applyFont="1" applyBorder="1" applyAlignment="1">
      <alignment vertical="center" wrapText="1"/>
    </xf>
    <xf numFmtId="0" fontId="16" fillId="0" borderId="14" xfId="5" applyFont="1" applyBorder="1" applyAlignment="1">
      <alignment vertical="center" wrapText="1"/>
    </xf>
    <xf numFmtId="166" fontId="12" fillId="0" borderId="21" xfId="3" applyNumberFormat="1" applyFont="1" applyBorder="1" applyAlignment="1" applyProtection="1">
      <alignment vertical="center" wrapText="1"/>
    </xf>
    <xf numFmtId="0" fontId="16" fillId="0" borderId="24" xfId="5" applyFont="1" applyBorder="1" applyAlignment="1">
      <alignment vertical="center" wrapText="1"/>
    </xf>
    <xf numFmtId="0" fontId="12" fillId="0" borderId="25" xfId="4" applyFont="1" applyBorder="1" applyAlignment="1">
      <alignment vertical="center" wrapText="1"/>
    </xf>
    <xf numFmtId="166" fontId="12" fillId="0" borderId="27" xfId="3" applyNumberFormat="1" applyFont="1" applyBorder="1" applyAlignment="1" applyProtection="1">
      <alignment vertical="center" wrapText="1"/>
    </xf>
    <xf numFmtId="166" fontId="12" fillId="0" borderId="28" xfId="3" applyNumberFormat="1" applyFont="1" applyBorder="1" applyAlignment="1" applyProtection="1">
      <alignment vertical="center" wrapText="1"/>
    </xf>
    <xf numFmtId="0" fontId="16" fillId="0" borderId="25" xfId="5" applyFont="1" applyBorder="1" applyAlignment="1">
      <alignment vertical="center" wrapText="1"/>
    </xf>
    <xf numFmtId="0" fontId="6" fillId="0" borderId="0" xfId="4" applyAlignment="1">
      <alignment vertical="center" wrapText="1"/>
    </xf>
    <xf numFmtId="167" fontId="6" fillId="0" borderId="0" xfId="1" applyNumberFormat="1" applyFont="1" applyAlignment="1" applyProtection="1">
      <alignment vertical="center" wrapText="1"/>
    </xf>
    <xf numFmtId="167" fontId="5" fillId="0" borderId="0" xfId="1" applyNumberFormat="1" applyFont="1" applyAlignment="1" applyProtection="1">
      <alignment vertical="center" wrapText="1"/>
    </xf>
    <xf numFmtId="0" fontId="0" fillId="0" borderId="0" xfId="0" applyAlignment="1">
      <alignment vertical="center" wrapText="1"/>
    </xf>
    <xf numFmtId="165" fontId="12" fillId="0" borderId="2" xfId="2" applyNumberFormat="1" applyFont="1" applyBorder="1" applyAlignment="1" applyProtection="1">
      <alignment vertical="center" wrapText="1"/>
    </xf>
    <xf numFmtId="165" fontId="12" fillId="0" borderId="14" xfId="2" applyNumberFormat="1" applyFont="1" applyBorder="1" applyAlignment="1" applyProtection="1">
      <alignment vertical="center" wrapText="1"/>
    </xf>
    <xf numFmtId="164" fontId="0" fillId="0" borderId="0" xfId="0" applyNumberFormat="1" applyAlignment="1">
      <alignment vertical="center" wrapText="1"/>
    </xf>
    <xf numFmtId="166" fontId="12" fillId="0" borderId="26" xfId="3" applyNumberFormat="1" applyFont="1" applyBorder="1" applyAlignment="1" applyProtection="1">
      <alignment vertical="center" wrapText="1"/>
    </xf>
    <xf numFmtId="166" fontId="12" fillId="0" borderId="29" xfId="3" applyNumberFormat="1" applyFont="1" applyBorder="1" applyAlignment="1" applyProtection="1">
      <alignment vertical="center" wrapText="1"/>
    </xf>
    <xf numFmtId="166" fontId="12" fillId="0" borderId="30" xfId="3" applyNumberFormat="1" applyFont="1" applyBorder="1" applyAlignment="1" applyProtection="1">
      <alignment vertical="center" wrapText="1"/>
    </xf>
    <xf numFmtId="165" fontId="0" fillId="0" borderId="0" xfId="0" applyNumberFormat="1" applyAlignment="1">
      <alignment vertical="center" wrapText="1"/>
    </xf>
    <xf numFmtId="0" fontId="0" fillId="0" borderId="18" xfId="0" applyBorder="1"/>
    <xf numFmtId="0" fontId="4" fillId="0" borderId="23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6" fillId="0" borderId="0" xfId="0" applyFont="1" applyAlignment="1">
      <alignment vertical="center"/>
    </xf>
    <xf numFmtId="3" fontId="0" fillId="0" borderId="0" xfId="0" applyNumberForma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4" fillId="0" borderId="13" xfId="0" applyFont="1" applyBorder="1" applyAlignment="1" applyProtection="1">
      <alignment vertical="center"/>
      <protection locked="0"/>
    </xf>
    <xf numFmtId="0" fontId="15" fillId="0" borderId="7" xfId="4" applyFont="1" applyBorder="1" applyAlignment="1" applyProtection="1">
      <alignment vertical="center" wrapText="1"/>
      <protection locked="0"/>
    </xf>
    <xf numFmtId="0" fontId="15" fillId="0" borderId="0" xfId="4" applyFont="1" applyAlignment="1" applyProtection="1">
      <alignment vertical="center" wrapText="1"/>
      <protection locked="0"/>
    </xf>
    <xf numFmtId="0" fontId="4" fillId="0" borderId="19" xfId="0" applyFont="1" applyBorder="1"/>
    <xf numFmtId="165" fontId="0" fillId="3" borderId="16" xfId="2" applyNumberFormat="1" applyFont="1" applyFill="1" applyBorder="1" applyProtection="1"/>
    <xf numFmtId="165" fontId="0" fillId="3" borderId="22" xfId="2" applyNumberFormat="1" applyFont="1" applyFill="1" applyBorder="1" applyProtection="1"/>
    <xf numFmtId="0" fontId="4" fillId="0" borderId="35" xfId="0" applyFont="1" applyBorder="1"/>
    <xf numFmtId="165" fontId="0" fillId="0" borderId="37" xfId="2" applyNumberFormat="1" applyFont="1" applyBorder="1" applyProtection="1"/>
    <xf numFmtId="165" fontId="0" fillId="0" borderId="38" xfId="2" applyNumberFormat="1" applyFont="1" applyBorder="1" applyProtection="1"/>
    <xf numFmtId="0" fontId="0" fillId="0" borderId="0" xfId="0" applyAlignment="1" applyProtection="1">
      <alignment horizontal="right"/>
      <protection locked="0"/>
    </xf>
    <xf numFmtId="0" fontId="4" fillId="0" borderId="0" xfId="0" applyFont="1" applyAlignment="1" applyProtection="1">
      <alignment horizontal="right"/>
      <protection locked="0"/>
    </xf>
    <xf numFmtId="0" fontId="19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20" fillId="0" borderId="0" xfId="0" applyFont="1" applyAlignment="1" applyProtection="1">
      <alignment horizontal="center" wrapText="1"/>
      <protection locked="0"/>
    </xf>
    <xf numFmtId="0" fontId="20" fillId="0" borderId="0" xfId="0" applyFont="1" applyProtection="1">
      <protection locked="0"/>
    </xf>
    <xf numFmtId="3" fontId="4" fillId="0" borderId="39" xfId="0" applyNumberFormat="1" applyFont="1" applyBorder="1" applyProtection="1">
      <protection locked="0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0" fillId="0" borderId="0" xfId="0" applyNumberFormat="1" applyProtection="1">
      <protection locked="0"/>
    </xf>
    <xf numFmtId="3" fontId="15" fillId="0" borderId="7" xfId="4" applyNumberFormat="1" applyFont="1" applyBorder="1" applyAlignment="1" applyProtection="1">
      <alignment vertical="center" wrapText="1"/>
      <protection locked="0"/>
    </xf>
    <xf numFmtId="3" fontId="0" fillId="0" borderId="2" xfId="2" applyNumberFormat="1" applyFont="1" applyFill="1" applyBorder="1" applyProtection="1"/>
    <xf numFmtId="3" fontId="0" fillId="0" borderId="2" xfId="2" applyNumberFormat="1" applyFont="1" applyFill="1" applyBorder="1" applyProtection="1">
      <protection locked="0"/>
    </xf>
    <xf numFmtId="3" fontId="0" fillId="4" borderId="2" xfId="2" applyNumberFormat="1" applyFont="1" applyFill="1" applyBorder="1" applyProtection="1"/>
    <xf numFmtId="3" fontId="6" fillId="5" borderId="16" xfId="0" applyNumberFormat="1" applyFont="1" applyFill="1" applyBorder="1" applyProtection="1">
      <protection locked="0"/>
    </xf>
    <xf numFmtId="3" fontId="0" fillId="5" borderId="23" xfId="2" applyNumberFormat="1" applyFont="1" applyFill="1" applyBorder="1" applyProtection="1">
      <protection locked="0"/>
    </xf>
    <xf numFmtId="3" fontId="4" fillId="0" borderId="16" xfId="0" applyNumberFormat="1" applyFont="1" applyBorder="1" applyProtection="1">
      <protection locked="0"/>
    </xf>
    <xf numFmtId="3" fontId="0" fillId="0" borderId="2" xfId="0" applyNumberFormat="1" applyBorder="1"/>
    <xf numFmtId="3" fontId="0" fillId="0" borderId="31" xfId="2" applyNumberFormat="1" applyFont="1" applyFill="1" applyBorder="1" applyProtection="1">
      <protection locked="0"/>
    </xf>
    <xf numFmtId="3" fontId="4" fillId="0" borderId="36" xfId="0" applyNumberFormat="1" applyFont="1" applyBorder="1" applyProtection="1">
      <protection locked="0"/>
    </xf>
    <xf numFmtId="3" fontId="4" fillId="0" borderId="36" xfId="0" applyNumberFormat="1" applyFont="1" applyBorder="1"/>
    <xf numFmtId="3" fontId="21" fillId="0" borderId="0" xfId="0" applyNumberFormat="1" applyFont="1" applyAlignment="1" applyProtection="1">
      <alignment horizontal="left" vertical="top"/>
      <protection locked="0"/>
    </xf>
    <xf numFmtId="3" fontId="22" fillId="0" borderId="0" xfId="0" applyNumberFormat="1" applyFont="1" applyAlignment="1" applyProtection="1">
      <alignment horizontal="left" wrapText="1"/>
      <protection locked="0"/>
    </xf>
    <xf numFmtId="3" fontId="4" fillId="0" borderId="0" xfId="0" applyNumberFormat="1" applyFont="1" applyAlignment="1" applyProtection="1">
      <alignment horizontal="left" wrapText="1"/>
      <protection locked="0"/>
    </xf>
    <xf numFmtId="3" fontId="4" fillId="0" borderId="0" xfId="0" applyNumberFormat="1" applyFont="1" applyProtection="1">
      <protection locked="0"/>
    </xf>
    <xf numFmtId="167" fontId="0" fillId="0" borderId="2" xfId="1" applyNumberFormat="1" applyFont="1" applyBorder="1" applyAlignment="1">
      <alignment vertical="center" wrapText="1"/>
    </xf>
    <xf numFmtId="0" fontId="2" fillId="2" borderId="15" xfId="0" applyFont="1" applyFill="1" applyBorder="1" applyProtection="1">
      <protection locked="0"/>
    </xf>
    <xf numFmtId="165" fontId="0" fillId="2" borderId="2" xfId="2" applyNumberFormat="1" applyFont="1" applyFill="1" applyBorder="1" applyProtection="1">
      <protection locked="0"/>
    </xf>
    <xf numFmtId="165" fontId="0" fillId="2" borderId="14" xfId="2" applyNumberFormat="1" applyFont="1" applyFill="1" applyBorder="1" applyProtection="1">
      <protection locked="0"/>
    </xf>
    <xf numFmtId="168" fontId="0" fillId="2" borderId="2" xfId="2" applyNumberFormat="1" applyFont="1" applyFill="1" applyBorder="1" applyProtection="1">
      <protection locked="0"/>
    </xf>
    <xf numFmtId="0" fontId="6" fillId="2" borderId="15" xfId="0" applyFont="1" applyFill="1" applyBorder="1" applyProtection="1">
      <protection locked="0"/>
    </xf>
    <xf numFmtId="0" fontId="4" fillId="2" borderId="15" xfId="0" applyFont="1" applyFill="1" applyBorder="1" applyProtection="1">
      <protection locked="0"/>
    </xf>
    <xf numFmtId="0" fontId="0" fillId="2" borderId="32" xfId="0" applyFill="1" applyBorder="1" applyProtection="1">
      <protection locked="0"/>
    </xf>
    <xf numFmtId="165" fontId="0" fillId="2" borderId="33" xfId="2" applyNumberFormat="1" applyFont="1" applyFill="1" applyBorder="1" applyProtection="1">
      <protection locked="0"/>
    </xf>
    <xf numFmtId="165" fontId="0" fillId="2" borderId="34" xfId="2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horizontal="right" vertical="top"/>
      <protection locked="0"/>
    </xf>
    <xf numFmtId="0" fontId="5" fillId="2" borderId="0" xfId="0" applyFont="1" applyFill="1" applyAlignment="1" applyProtection="1">
      <alignment horizontal="right" vertical="top"/>
      <protection locked="0"/>
    </xf>
    <xf numFmtId="15" fontId="5" fillId="2" borderId="0" xfId="0" applyNumberFormat="1" applyFont="1" applyFill="1" applyAlignment="1" applyProtection="1">
      <alignment horizontal="right" vertical="top"/>
      <protection locked="0"/>
    </xf>
    <xf numFmtId="3" fontId="4" fillId="2" borderId="16" xfId="0" applyNumberFormat="1" applyFont="1" applyFill="1" applyBorder="1" applyProtection="1">
      <protection locked="0"/>
    </xf>
    <xf numFmtId="3" fontId="6" fillId="2" borderId="16" xfId="0" applyNumberFormat="1" applyFont="1" applyFill="1" applyBorder="1" applyProtection="1">
      <protection locked="0"/>
    </xf>
    <xf numFmtId="3" fontId="4" fillId="2" borderId="16" xfId="0" applyNumberFormat="1" applyFont="1" applyFill="1" applyBorder="1" applyAlignment="1" applyProtection="1">
      <alignment wrapText="1"/>
      <protection locked="0"/>
    </xf>
    <xf numFmtId="3" fontId="0" fillId="2" borderId="23" xfId="2" applyNumberFormat="1" applyFont="1" applyFill="1" applyBorder="1" applyProtection="1">
      <protection locked="0"/>
    </xf>
    <xf numFmtId="3" fontId="0" fillId="2" borderId="2" xfId="2" applyNumberFormat="1" applyFont="1" applyFill="1" applyBorder="1" applyProtection="1">
      <protection locked="0"/>
    </xf>
    <xf numFmtId="165" fontId="12" fillId="2" borderId="17" xfId="2" applyNumberFormat="1" applyFont="1" applyFill="1" applyBorder="1" applyAlignment="1" applyProtection="1">
      <alignment vertical="center" wrapText="1"/>
      <protection locked="0"/>
    </xf>
    <xf numFmtId="165" fontId="12" fillId="2" borderId="14" xfId="2" applyNumberFormat="1" applyFont="1" applyFill="1" applyBorder="1" applyAlignment="1" applyProtection="1">
      <alignment vertical="center" wrapText="1"/>
      <protection locked="0"/>
    </xf>
    <xf numFmtId="3" fontId="4" fillId="6" borderId="5" xfId="0" applyNumberFormat="1" applyFont="1" applyFill="1" applyBorder="1" applyAlignment="1" applyProtection="1">
      <alignment horizontal="center" vertical="top" wrapText="1"/>
      <protection locked="0"/>
    </xf>
    <xf numFmtId="3" fontId="4" fillId="6" borderId="6" xfId="0" applyNumberFormat="1" applyFont="1" applyFill="1" applyBorder="1" applyAlignment="1" applyProtection="1">
      <alignment horizontal="center" vertical="top" wrapText="1"/>
      <protection locked="0"/>
    </xf>
    <xf numFmtId="0" fontId="9" fillId="6" borderId="2" xfId="0" applyFont="1" applyFill="1" applyBorder="1" applyProtection="1">
      <protection locked="0"/>
    </xf>
    <xf numFmtId="0" fontId="4" fillId="6" borderId="5" xfId="0" applyFont="1" applyFill="1" applyBorder="1" applyAlignment="1" applyProtection="1">
      <alignment horizontal="center" vertical="top" wrapText="1"/>
      <protection locked="0"/>
    </xf>
    <xf numFmtId="0" fontId="4" fillId="6" borderId="6" xfId="0" applyFont="1" applyFill="1" applyBorder="1" applyAlignment="1" applyProtection="1">
      <alignment horizontal="center" vertical="top" wrapText="1"/>
      <protection locked="0"/>
    </xf>
    <xf numFmtId="3" fontId="10" fillId="0" borderId="0" xfId="0" applyNumberFormat="1" applyFont="1" applyProtection="1">
      <protection locked="0"/>
    </xf>
    <xf numFmtId="3" fontId="0" fillId="4" borderId="2" xfId="2" applyNumberFormat="1" applyFont="1" applyFill="1" applyBorder="1"/>
    <xf numFmtId="169" fontId="0" fillId="2" borderId="2" xfId="2" applyNumberFormat="1" applyFont="1" applyFill="1" applyBorder="1" applyProtection="1">
      <protection locked="0"/>
    </xf>
    <xf numFmtId="169" fontId="0" fillId="2" borderId="14" xfId="2" applyNumberFormat="1" applyFont="1" applyFill="1" applyBorder="1" applyProtection="1">
      <protection locked="0"/>
    </xf>
    <xf numFmtId="9" fontId="0" fillId="0" borderId="0" xfId="3" applyFont="1" applyProtection="1">
      <protection locked="0"/>
    </xf>
    <xf numFmtId="167" fontId="0" fillId="0" borderId="2" xfId="1" applyNumberFormat="1" applyFont="1" applyBorder="1" applyAlignment="1">
      <alignment horizontal="center" vertical="center" wrapText="1"/>
    </xf>
    <xf numFmtId="165" fontId="12" fillId="2" borderId="15" xfId="2" applyNumberFormat="1" applyFont="1" applyFill="1" applyBorder="1" applyAlignment="1" applyProtection="1">
      <alignment vertical="center" wrapText="1"/>
      <protection locked="0"/>
    </xf>
    <xf numFmtId="165" fontId="16" fillId="0" borderId="13" xfId="5" applyNumberFormat="1" applyFont="1" applyBorder="1" applyAlignment="1">
      <alignment vertical="center" wrapText="1"/>
    </xf>
    <xf numFmtId="165" fontId="16" fillId="0" borderId="39" xfId="5" applyNumberFormat="1" applyFont="1" applyBorder="1" applyAlignment="1">
      <alignment vertical="center" wrapText="1"/>
    </xf>
    <xf numFmtId="165" fontId="16" fillId="0" borderId="40" xfId="5" applyNumberFormat="1" applyFont="1" applyBorder="1" applyAlignment="1">
      <alignment vertical="center" wrapText="1"/>
    </xf>
    <xf numFmtId="165" fontId="16" fillId="0" borderId="15" xfId="5" applyNumberFormat="1" applyFont="1" applyBorder="1" applyAlignment="1">
      <alignment vertical="center" wrapText="1"/>
    </xf>
    <xf numFmtId="165" fontId="16" fillId="0" borderId="22" xfId="5" applyNumberFormat="1" applyFont="1" applyBorder="1" applyAlignment="1">
      <alignment vertical="center" wrapText="1"/>
    </xf>
    <xf numFmtId="165" fontId="14" fillId="4" borderId="14" xfId="2" applyNumberFormat="1" applyFont="1" applyFill="1" applyBorder="1" applyAlignment="1" applyProtection="1">
      <alignment vertical="center" wrapText="1"/>
    </xf>
    <xf numFmtId="9" fontId="14" fillId="4" borderId="41" xfId="3" applyFont="1" applyFill="1" applyBorder="1" applyAlignment="1" applyProtection="1">
      <alignment vertical="center" wrapText="1"/>
    </xf>
    <xf numFmtId="166" fontId="14" fillId="0" borderId="28" xfId="3" applyNumberFormat="1" applyFont="1" applyFill="1" applyBorder="1" applyAlignment="1" applyProtection="1">
      <alignment vertical="center" wrapText="1"/>
    </xf>
    <xf numFmtId="0" fontId="16" fillId="0" borderId="26" xfId="5" applyFont="1" applyBorder="1" applyAlignment="1">
      <alignment vertical="center" wrapText="1"/>
    </xf>
    <xf numFmtId="165" fontId="16" fillId="0" borderId="30" xfId="5" applyNumberFormat="1" applyFont="1" applyBorder="1" applyAlignment="1">
      <alignment vertical="center" wrapText="1"/>
    </xf>
    <xf numFmtId="9" fontId="0" fillId="0" borderId="0" xfId="3" applyFont="1" applyAlignment="1">
      <alignment vertical="center" wrapText="1"/>
    </xf>
    <xf numFmtId="170" fontId="5" fillId="2" borderId="0" xfId="0" applyNumberFormat="1" applyFont="1" applyFill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23" fillId="0" borderId="0" xfId="0" applyFont="1" applyProtection="1">
      <protection locked="0"/>
    </xf>
    <xf numFmtId="3" fontId="6" fillId="0" borderId="0" xfId="0" applyNumberFormat="1" applyFont="1" applyAlignment="1" applyProtection="1">
      <alignment vertical="top" wrapText="1"/>
      <protection locked="0"/>
    </xf>
    <xf numFmtId="0" fontId="10" fillId="0" borderId="0" xfId="0" applyFont="1" applyAlignment="1">
      <alignment vertical="center"/>
    </xf>
    <xf numFmtId="0" fontId="10" fillId="0" borderId="0" xfId="0" applyFont="1"/>
    <xf numFmtId="0" fontId="0" fillId="0" borderId="7" xfId="0" applyBorder="1"/>
    <xf numFmtId="0" fontId="4" fillId="7" borderId="42" xfId="0" applyFont="1" applyFill="1" applyBorder="1"/>
    <xf numFmtId="0" fontId="0" fillId="0" borderId="2" xfId="0" applyBorder="1"/>
    <xf numFmtId="0" fontId="4" fillId="7" borderId="17" xfId="0" applyFont="1" applyFill="1" applyBorder="1"/>
    <xf numFmtId="0" fontId="2" fillId="0" borderId="0" xfId="0" applyFont="1" applyAlignment="1">
      <alignment horizontal="center"/>
    </xf>
    <xf numFmtId="0" fontId="4" fillId="8" borderId="5" xfId="0" applyFont="1" applyFill="1" applyBorder="1" applyAlignment="1">
      <alignment horizontal="center" vertical="center" wrapText="1"/>
    </xf>
    <xf numFmtId="0" fontId="4" fillId="7" borderId="43" xfId="0" applyFont="1" applyFill="1" applyBorder="1"/>
    <xf numFmtId="167" fontId="1" fillId="9" borderId="2" xfId="1" applyNumberFormat="1" applyFill="1" applyBorder="1" applyProtection="1">
      <protection locked="0"/>
    </xf>
    <xf numFmtId="167" fontId="1" fillId="0" borderId="2" xfId="1" applyNumberFormat="1" applyBorder="1" applyProtection="1"/>
    <xf numFmtId="0" fontId="4" fillId="7" borderId="21" xfId="0" applyFont="1" applyFill="1" applyBorder="1"/>
    <xf numFmtId="165" fontId="1" fillId="0" borderId="2" xfId="2" applyNumberFormat="1" applyBorder="1" applyProtection="1"/>
    <xf numFmtId="165" fontId="1" fillId="9" borderId="2" xfId="2" applyNumberFormat="1" applyFill="1" applyBorder="1" applyProtection="1">
      <protection locked="0"/>
    </xf>
    <xf numFmtId="167" fontId="26" fillId="10" borderId="2" xfId="0" applyNumberFormat="1" applyFont="1" applyFill="1" applyBorder="1"/>
    <xf numFmtId="0" fontId="4" fillId="0" borderId="0" xfId="0" applyFont="1" applyAlignment="1" applyProtection="1">
      <alignment horizontal="right" vertical="top"/>
      <protection locked="0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13" fillId="0" borderId="0" xfId="4" applyFont="1" applyAlignment="1">
      <alignment horizontal="center" vertical="center" wrapText="1"/>
    </xf>
    <xf numFmtId="0" fontId="10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23" fillId="0" borderId="0" xfId="0" applyFont="1" applyAlignment="1" applyProtection="1">
      <alignment horizontal="center"/>
      <protection locked="0"/>
    </xf>
  </cellXfs>
  <cellStyles count="7">
    <cellStyle name="Comma" xfId="1" builtinId="3"/>
    <cellStyle name="Currency" xfId="2" builtinId="4"/>
    <cellStyle name="Normal" xfId="0" builtinId="0"/>
    <cellStyle name="Normal 2" xfId="4" xr:uid="{4156E5D8-C05A-4DC9-9BDD-AB514DEF3C5C}"/>
    <cellStyle name="Normal 3" xfId="5" xr:uid="{410FDB3C-76AB-4456-A88D-5BFEBABD1636}"/>
    <cellStyle name="Normal 5" xfId="6" xr:uid="{ACC860AA-D7F6-4866-A681-B77C131B3826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\\sv6022fs.internal.veridian.on.ca\Shares\Corporate%20Planning\Rate%20Application%20Backup\Chapter%202%20Filing%20Appendices\2026_Filing_Requirements_Chapter2_Appendices_1.0_.xlsm" TargetMode="External"/><Relationship Id="rId2" Type="http://schemas.microsoft.com/office/2019/04/relationships/externalLinkLongPath" Target="/sites/EarlyRebasingApplication-ExhibitsWorkingDrafts/Shared%20Documents/Exhibits%20(Working%20Drafts)/0.0%20Master%20Data%20Site/0%20-%20LINKED%20MODELS/Chapter%202%20appendices/OM&amp;A%20appendices/2026_Filing_Requirements_Chapter2_Appendices_1.0_.xlsm?6A164841" TargetMode="External"/><Relationship Id="rId1" Type="http://schemas.openxmlformats.org/officeDocument/2006/relationships/externalLinkPath" Target="file:///\\6A164841\2026_Filing_Requirements_Chapter2_Appendices_1.0_.xlsm" TargetMode="External"/><Relationship Id="rId4" Type="http://schemas.openxmlformats.org/officeDocument/2006/relationships/externalLinkPath" Target="../Shared%20Documents/Exhibits%20(Working%20Drafts)/0.0%20Master%20Data%20Site/0%20-%20LINKED%20MODELS/Chapter%202%20appendices/OM&amp;A%20appendices/2026_Filing_Requirements_Chapter2_Appendices_1.0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App.2-FC Calc of REG Expansion"/>
      <sheetName val="App.2-G SQI"/>
      <sheetName val="2.1.4_ServiceQuality old"/>
      <sheetName val="App.2-H_Other_Rev"/>
      <sheetName val="Hidden_Other Revenue"/>
      <sheetName val="App_2-I LF_CDM"/>
      <sheetName val="lists"/>
      <sheetName val="2.1.7  All Accounts"/>
      <sheetName val="App.2-IA_Load_Forecast_Instrct"/>
      <sheetName val="App.2-IB_Load_Forecast_Analysis"/>
      <sheetName val="2.1.5.6"/>
      <sheetName val="2.1.4_ServiceQuality"/>
      <sheetName val="2.1.7 - System OM (2-AB)"/>
      <sheetName val="2.1.4 SAIDI SAIFI"/>
      <sheetName val="2018 Adjusted SAIDI and SAIFI"/>
      <sheetName val="2019 Adjusted SAIDI and SAIFI"/>
      <sheetName val="2020"/>
      <sheetName val="Several_Accounts"/>
      <sheetName val="2.1.2"/>
      <sheetName val="2.1.5.4"/>
      <sheetName val="FTE"/>
      <sheetName val="OM&amp;A_Expenses"/>
      <sheetName val="App.2-JA_OM&amp;A_Summary_Analys"/>
      <sheetName val="Hidden_OM&amp;A Summary"/>
      <sheetName val="App.2-JB_OM&amp;A_Cost _Drivers"/>
      <sheetName val="App.2-JC_OMA Programs"/>
      <sheetName val="App.2-JD_OM&amp;A USoA"/>
      <sheetName val="App.2-K_Employee Costs"/>
      <sheetName val="Hidden_Employee Costs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 refreshError="1">
        <row r="14">
          <cell r="E14"/>
        </row>
        <row r="16">
          <cell r="E16"/>
        </row>
        <row r="24">
          <cell r="E24">
            <v>2026</v>
          </cell>
        </row>
        <row r="26">
          <cell r="E26">
            <v>2025</v>
          </cell>
        </row>
        <row r="28">
          <cell r="E28"/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1BC63-32E2-4CF2-9945-88C647374305}">
  <dimension ref="A1:AM116"/>
  <sheetViews>
    <sheetView tabSelected="1" topLeftCell="A26" workbookViewId="0">
      <selection activeCell="E41" sqref="E41"/>
    </sheetView>
  </sheetViews>
  <sheetFormatPr defaultColWidth="9.453125" defaultRowHeight="14.5" x14ac:dyDescent="0.35"/>
  <cols>
    <col min="1" max="1" width="46" customWidth="1"/>
    <col min="2" max="5" width="15" customWidth="1"/>
    <col min="6" max="6" width="13.453125" customWidth="1"/>
    <col min="7" max="13" width="12.54296875" customWidth="1"/>
    <col min="14" max="14" width="13.453125" bestFit="1" customWidth="1"/>
    <col min="15" max="15" width="11.453125" bestFit="1" customWidth="1"/>
    <col min="16" max="16" width="39.453125" customWidth="1"/>
    <col min="17" max="39" width="13.453125" customWidth="1"/>
  </cols>
  <sheetData>
    <row r="1" spans="1:31" x14ac:dyDescent="0.35">
      <c r="E1" s="1">
        <f>'[1]LDC Info'!$E$28</f>
        <v>0</v>
      </c>
      <c r="G1" s="2" t="s">
        <v>0</v>
      </c>
      <c r="H1" s="3" t="s">
        <v>1</v>
      </c>
      <c r="I1" s="1"/>
      <c r="J1" s="1"/>
      <c r="K1" s="1"/>
      <c r="L1" s="1"/>
      <c r="M1" s="1"/>
      <c r="N1" s="1">
        <f>'[1]LDC Info'!$E$28</f>
        <v>0</v>
      </c>
      <c r="O1" s="1" t="s">
        <v>2</v>
      </c>
      <c r="P1" s="1" t="s">
        <v>3</v>
      </c>
    </row>
    <row r="2" spans="1:31" x14ac:dyDescent="0.35">
      <c r="G2" s="2" t="s">
        <v>4</v>
      </c>
      <c r="H2" s="133"/>
      <c r="I2" s="1"/>
      <c r="J2" s="1"/>
      <c r="K2" s="1"/>
      <c r="L2" s="1"/>
      <c r="M2" s="1"/>
      <c r="N2" s="1">
        <f>TestYear</f>
        <v>2026</v>
      </c>
      <c r="O2" s="1">
        <v>2010</v>
      </c>
      <c r="P2" s="1" t="s">
        <v>5</v>
      </c>
    </row>
    <row r="3" spans="1:31" x14ac:dyDescent="0.35">
      <c r="G3" s="2" t="s">
        <v>6</v>
      </c>
      <c r="H3" s="133"/>
      <c r="I3" s="1"/>
      <c r="J3" s="1"/>
      <c r="K3" s="1"/>
      <c r="L3" s="1"/>
      <c r="M3" s="1"/>
      <c r="N3" s="1">
        <f>'[1]LDC Info'!$E$28</f>
        <v>0</v>
      </c>
      <c r="O3" s="1">
        <v>2011</v>
      </c>
      <c r="P3" s="1" t="s">
        <v>7</v>
      </c>
    </row>
    <row r="4" spans="1:31" x14ac:dyDescent="0.35">
      <c r="A4" s="4"/>
      <c r="G4" s="2" t="s">
        <v>8</v>
      </c>
      <c r="H4" s="133"/>
      <c r="I4" s="1"/>
      <c r="J4" s="1"/>
      <c r="K4" s="1"/>
      <c r="L4" s="1"/>
      <c r="M4" s="1"/>
      <c r="N4" s="1"/>
      <c r="O4" s="1">
        <v>2012</v>
      </c>
      <c r="P4" s="1" t="s">
        <v>9</v>
      </c>
    </row>
    <row r="5" spans="1:31" x14ac:dyDescent="0.35">
      <c r="A5" s="5" t="s">
        <v>10</v>
      </c>
      <c r="G5" s="2" t="s">
        <v>11</v>
      </c>
      <c r="H5" s="134"/>
      <c r="I5" s="1"/>
      <c r="J5" s="1"/>
      <c r="K5" s="1"/>
      <c r="L5" s="1"/>
      <c r="M5" s="1"/>
      <c r="N5" s="1"/>
      <c r="O5" s="1">
        <v>2013</v>
      </c>
      <c r="P5" s="1" t="s">
        <v>12</v>
      </c>
    </row>
    <row r="6" spans="1:31" x14ac:dyDescent="0.35">
      <c r="A6" s="145" t="s">
        <v>13</v>
      </c>
      <c r="G6" s="2"/>
      <c r="H6" s="3"/>
      <c r="I6" s="1"/>
      <c r="J6" s="1"/>
      <c r="K6" s="1"/>
      <c r="L6" s="1"/>
      <c r="M6" s="1"/>
      <c r="N6" s="1"/>
      <c r="O6" s="1">
        <v>2014</v>
      </c>
      <c r="P6" s="1" t="s">
        <v>14</v>
      </c>
    </row>
    <row r="7" spans="1:31" x14ac:dyDescent="0.35">
      <c r="G7" s="2" t="s">
        <v>15</v>
      </c>
      <c r="H7" s="166">
        <v>46150</v>
      </c>
      <c r="I7" s="1"/>
      <c r="J7" s="1"/>
      <c r="K7" s="1"/>
      <c r="L7" s="1"/>
      <c r="M7" s="1"/>
      <c r="N7" s="1"/>
      <c r="O7" s="1">
        <v>2015</v>
      </c>
      <c r="P7" s="1" t="s">
        <v>16</v>
      </c>
    </row>
    <row r="8" spans="1:31" x14ac:dyDescent="0.35">
      <c r="B8" s="6"/>
      <c r="C8" s="6"/>
      <c r="D8" s="6"/>
      <c r="E8" s="6"/>
      <c r="F8" s="6"/>
      <c r="I8" s="1"/>
      <c r="J8" s="1"/>
      <c r="K8" s="1"/>
      <c r="L8" s="1"/>
      <c r="M8" s="1"/>
      <c r="N8" s="1"/>
      <c r="O8" s="1">
        <v>2016</v>
      </c>
      <c r="P8" s="1" t="s">
        <v>17</v>
      </c>
    </row>
    <row r="9" spans="1:31" ht="18" x14ac:dyDescent="0.35">
      <c r="A9" s="187" t="s">
        <v>18</v>
      </c>
      <c r="B9" s="187"/>
      <c r="C9" s="187"/>
      <c r="D9" s="187"/>
      <c r="E9" s="187"/>
      <c r="F9" s="187"/>
      <c r="G9" s="187"/>
      <c r="H9" s="170"/>
      <c r="I9" s="7"/>
      <c r="J9" s="7"/>
      <c r="K9" s="7"/>
      <c r="L9" s="7"/>
      <c r="M9" s="7"/>
      <c r="N9" s="1"/>
      <c r="O9" s="1">
        <v>2017</v>
      </c>
      <c r="P9" s="1" t="s">
        <v>19</v>
      </c>
    </row>
    <row r="10" spans="1:31" ht="34.5" customHeight="1" thickBot="1" x14ac:dyDescent="0.4">
      <c r="A10" s="187" t="s">
        <v>20</v>
      </c>
      <c r="B10" s="187"/>
      <c r="C10" s="187"/>
      <c r="D10" s="187"/>
      <c r="E10" s="187"/>
      <c r="F10" s="187"/>
      <c r="G10" s="187"/>
      <c r="H10" s="170"/>
      <c r="I10" s="7"/>
      <c r="J10" s="7"/>
      <c r="K10" s="7"/>
      <c r="L10" s="7"/>
      <c r="M10" s="7"/>
      <c r="N10" s="1"/>
      <c r="O10" s="1"/>
      <c r="P10" s="1"/>
    </row>
    <row r="11" spans="1:31" s="8" customFormat="1" ht="17.25" hidden="1" customHeight="1" thickBot="1" x14ac:dyDescent="0.35">
      <c r="B11" s="9">
        <f>TestYear-6</f>
        <v>2020</v>
      </c>
      <c r="C11" s="9">
        <f>TestYear-5</f>
        <v>2021</v>
      </c>
      <c r="D11" s="9">
        <f>TestYear-4</f>
        <v>2022</v>
      </c>
      <c r="E11" s="9">
        <f>TestYear-3</f>
        <v>2023</v>
      </c>
      <c r="F11" s="9">
        <f>TestYear-2</f>
        <v>2024</v>
      </c>
      <c r="G11" s="10">
        <f>BridgeYear</f>
        <v>2025</v>
      </c>
      <c r="H11" s="10">
        <f>TestYear</f>
        <v>2026</v>
      </c>
      <c r="I11" s="10"/>
      <c r="J11" s="10"/>
      <c r="K11" s="10"/>
      <c r="L11" s="10"/>
      <c r="M11" s="10"/>
      <c r="Q11" s="11">
        <f t="shared" ref="Q11:V11" si="0">B11</f>
        <v>2020</v>
      </c>
      <c r="R11" s="11">
        <f t="shared" si="0"/>
        <v>2021</v>
      </c>
      <c r="S11" s="11">
        <f t="shared" si="0"/>
        <v>2022</v>
      </c>
      <c r="T11" s="11">
        <f t="shared" si="0"/>
        <v>2023</v>
      </c>
      <c r="U11" s="11">
        <f t="shared" si="0"/>
        <v>2024</v>
      </c>
      <c r="V11" s="11">
        <f t="shared" si="0"/>
        <v>2025</v>
      </c>
      <c r="W11" s="11"/>
      <c r="X11" s="11">
        <f>H11</f>
        <v>2026</v>
      </c>
      <c r="Z11" s="11">
        <v>2027</v>
      </c>
      <c r="AB11" s="8">
        <v>2028</v>
      </c>
      <c r="AC11" s="8">
        <v>2029</v>
      </c>
      <c r="AD11" s="8">
        <v>2030</v>
      </c>
      <c r="AE11" s="8">
        <v>2031</v>
      </c>
    </row>
    <row r="12" spans="1:31" ht="35" thickBot="1" x14ac:dyDescent="0.4">
      <c r="A12" s="12"/>
      <c r="B12" s="13" t="str">
        <f>CONCATENATE(B11," ",IF($N1=B11,"Last Rebasing Year ",""),"Actuals")</f>
        <v>2020 Actuals</v>
      </c>
      <c r="C12" s="13" t="str">
        <f>CONCATENATE(C11," ",IF($N1=C11,"Last Rebasing Year ",""),"Actuals")</f>
        <v>2021 Actuals</v>
      </c>
      <c r="D12" s="13" t="str">
        <f>CONCATENATE(D11," ",IF($N1=D11,"Last Rebasing Year ",""),"Actuals")</f>
        <v>2022 Actuals</v>
      </c>
      <c r="E12" s="13" t="str">
        <f>CONCATENATE(E11," ",IF($N1=E11,"Last Rebasing Year ",""),"Actuals")</f>
        <v>2023 Actuals</v>
      </c>
      <c r="F12" s="13" t="str">
        <f>CONCATENATE(F11," ",IF($N1=F11,"Last Rebasing Year ",""),"Actuals")</f>
        <v>2024 Actuals</v>
      </c>
      <c r="G12" s="105" t="s">
        <v>21</v>
      </c>
      <c r="H12" s="14" t="s">
        <v>22</v>
      </c>
      <c r="I12" s="14" t="s">
        <v>23</v>
      </c>
      <c r="J12" s="14" t="s">
        <v>24</v>
      </c>
      <c r="K12" s="14" t="s">
        <v>25</v>
      </c>
      <c r="L12" s="14" t="s">
        <v>26</v>
      </c>
      <c r="M12" s="14" t="s">
        <v>27</v>
      </c>
      <c r="N12" s="189"/>
      <c r="O12" s="189"/>
      <c r="P12" s="16"/>
      <c r="Q12" s="17" t="str">
        <f t="shared" ref="Q12:U12" si="1">CONCATENATE(IF($N1=Q11,"Last Rebasing Year ",""),Q11," Actuals")</f>
        <v>2020 Actuals</v>
      </c>
      <c r="R12" s="17" t="str">
        <f t="shared" si="1"/>
        <v>2021 Actuals</v>
      </c>
      <c r="S12" s="17" t="str">
        <f t="shared" si="1"/>
        <v>2022 Actuals</v>
      </c>
      <c r="T12" s="17" t="str">
        <f t="shared" si="1"/>
        <v>2023 Actuals</v>
      </c>
      <c r="U12" s="17" t="str">
        <f t="shared" si="1"/>
        <v>2024 Actuals</v>
      </c>
      <c r="V12" s="17" t="str">
        <f>CONCATENATE(V11," Bridge Year (Actuals)")</f>
        <v>2025 Bridge Year (Actuals)</v>
      </c>
      <c r="W12" s="17" t="str">
        <f>CONCATENATE("Variance ",V11," Bridge vs. ",V11-1," Actuals")</f>
        <v>Variance 2025 Bridge vs. 2024 Actuals</v>
      </c>
      <c r="X12" s="17" t="str">
        <f>CONCATENATE(X11," Bridge Year")</f>
        <v>2026 Bridge Year</v>
      </c>
      <c r="Y12" s="18" t="str">
        <f>CONCATENATE("Variance ",X11," Bridge vs. ",X11-1," Bridge")</f>
        <v>Variance 2026 Bridge vs. 2025 Bridge</v>
      </c>
      <c r="Z12" s="17" t="s">
        <v>23</v>
      </c>
      <c r="AA12" s="18" t="str">
        <f>CONCATENATE("Variance ",Z11," Bridge vs. ",Z11-1," Bridge")</f>
        <v>Variance 2027 Bridge vs. 2026 Bridge</v>
      </c>
      <c r="AB12" s="17">
        <f>AB11</f>
        <v>2028</v>
      </c>
      <c r="AC12" s="17">
        <f>AC11</f>
        <v>2029</v>
      </c>
      <c r="AD12" s="17">
        <f>AD11</f>
        <v>2030</v>
      </c>
      <c r="AE12" s="18">
        <f>AE11</f>
        <v>2031</v>
      </c>
    </row>
    <row r="13" spans="1:31" ht="15" thickBot="1" x14ac:dyDescent="0.4">
      <c r="A13" s="19" t="s">
        <v>28</v>
      </c>
      <c r="B13" s="146" t="s">
        <v>29</v>
      </c>
      <c r="C13" s="146" t="s">
        <v>29</v>
      </c>
      <c r="D13" s="146" t="s">
        <v>29</v>
      </c>
      <c r="E13" s="146" t="s">
        <v>29</v>
      </c>
      <c r="F13" s="146" t="s">
        <v>29</v>
      </c>
      <c r="G13" s="146" t="s">
        <v>29</v>
      </c>
      <c r="H13" s="147" t="s">
        <v>29</v>
      </c>
      <c r="I13" s="147" t="s">
        <v>29</v>
      </c>
      <c r="J13" s="147" t="s">
        <v>29</v>
      </c>
      <c r="K13" s="147" t="s">
        <v>29</v>
      </c>
      <c r="L13" s="147" t="s">
        <v>29</v>
      </c>
      <c r="M13" s="147" t="s">
        <v>29</v>
      </c>
      <c r="N13" s="15"/>
      <c r="O13" s="15"/>
      <c r="P13" s="20" t="s">
        <v>30</v>
      </c>
      <c r="Q13" s="21">
        <f t="shared" ref="Q13:V14" si="2">B14</f>
        <v>9748687.0300000031</v>
      </c>
      <c r="R13" s="21">
        <f t="shared" si="2"/>
        <v>10180786.590000002</v>
      </c>
      <c r="S13" s="21">
        <f t="shared" si="2"/>
        <v>11638182.449999999</v>
      </c>
      <c r="T13" s="21">
        <f t="shared" si="2"/>
        <v>11348932.559999999</v>
      </c>
      <c r="U13" s="21">
        <f t="shared" si="2"/>
        <v>12992985.529999999</v>
      </c>
      <c r="V13" s="21">
        <f t="shared" si="2"/>
        <v>12109873.880000001</v>
      </c>
      <c r="W13" s="21">
        <f t="shared" ref="W13:W18" si="3">V13-U13</f>
        <v>-883111.64999999851</v>
      </c>
      <c r="X13" s="21">
        <f>H14</f>
        <v>17019714.552592028</v>
      </c>
      <c r="Y13" s="22">
        <f t="shared" ref="Y13:Y18" si="4">X13-V13</f>
        <v>4909840.6725920271</v>
      </c>
      <c r="Z13" s="21">
        <f>I14</f>
        <v>21300363.636417922</v>
      </c>
      <c r="AA13" s="22">
        <f t="shared" ref="AA13:AA18" si="5">Z13-X13</f>
        <v>4280649.0838258937</v>
      </c>
      <c r="AB13" s="155">
        <f>J14</f>
        <v>22213707.726745728</v>
      </c>
      <c r="AC13" s="156">
        <f t="shared" ref="AC13:AE14" si="6">K14</f>
        <v>22796570.817364153</v>
      </c>
      <c r="AD13" s="156">
        <f t="shared" si="6"/>
        <v>22813368.711721502</v>
      </c>
      <c r="AE13" s="157">
        <f t="shared" si="6"/>
        <v>23290842.517583612</v>
      </c>
    </row>
    <row r="14" spans="1:31" ht="24.75" customHeight="1" x14ac:dyDescent="0.35">
      <c r="A14" s="23" t="s">
        <v>30</v>
      </c>
      <c r="B14" s="25">
        <v>9748687.0300000031</v>
      </c>
      <c r="C14" s="25">
        <v>10180786.590000002</v>
      </c>
      <c r="D14" s="25">
        <v>11638182.449999999</v>
      </c>
      <c r="E14" s="25">
        <v>11348932.559999999</v>
      </c>
      <c r="F14" s="25">
        <v>12992985.529999999</v>
      </c>
      <c r="G14" s="24">
        <v>12109873.880000001</v>
      </c>
      <c r="H14" s="24">
        <v>17019714.552592028</v>
      </c>
      <c r="I14" s="24">
        <v>21300363.636417922</v>
      </c>
      <c r="J14" s="24">
        <v>22213707.726745728</v>
      </c>
      <c r="K14" s="24">
        <v>22796570.817364153</v>
      </c>
      <c r="L14" s="24">
        <v>22813368.711721502</v>
      </c>
      <c r="M14" s="142">
        <v>23290842.517583612</v>
      </c>
      <c r="N14" s="26"/>
      <c r="O14" s="26"/>
      <c r="P14" s="27" t="s">
        <v>31</v>
      </c>
      <c r="Q14" s="28">
        <f t="shared" si="2"/>
        <v>4229032.21</v>
      </c>
      <c r="R14" s="28">
        <f t="shared" si="2"/>
        <v>4744305.6500000004</v>
      </c>
      <c r="S14" s="28">
        <f t="shared" si="2"/>
        <v>4068368.5100000007</v>
      </c>
      <c r="T14" s="28">
        <f t="shared" si="2"/>
        <v>4203636.55</v>
      </c>
      <c r="U14" s="28">
        <f t="shared" si="2"/>
        <v>7443163.7000000002</v>
      </c>
      <c r="V14" s="28">
        <f t="shared" si="2"/>
        <v>7771862.6899999995</v>
      </c>
      <c r="W14" s="21">
        <f t="shared" si="3"/>
        <v>328698.98999999929</v>
      </c>
      <c r="X14" s="28">
        <f>H15</f>
        <v>6525246.8013525307</v>
      </c>
      <c r="Y14" s="22">
        <f t="shared" si="4"/>
        <v>-1246615.8886474688</v>
      </c>
      <c r="Z14" s="21">
        <f>I15</f>
        <v>7161584.0695743887</v>
      </c>
      <c r="AA14" s="22">
        <f t="shared" si="5"/>
        <v>636337.26822185796</v>
      </c>
      <c r="AB14" s="158">
        <f>J15</f>
        <v>8553011.8901650701</v>
      </c>
      <c r="AC14" s="28">
        <f t="shared" si="6"/>
        <v>8639723.8763395306</v>
      </c>
      <c r="AD14" s="28">
        <f t="shared" si="6"/>
        <v>8869918.2008947302</v>
      </c>
      <c r="AE14" s="159">
        <f t="shared" si="6"/>
        <v>9209183.6424233187</v>
      </c>
    </row>
    <row r="15" spans="1:31" ht="24.75" customHeight="1" x14ac:dyDescent="0.35">
      <c r="A15" s="29" t="s">
        <v>32</v>
      </c>
      <c r="B15" s="25">
        <v>4229032.21</v>
      </c>
      <c r="C15" s="25">
        <v>4744305.6500000004</v>
      </c>
      <c r="D15" s="25">
        <v>4068368.5100000007</v>
      </c>
      <c r="E15" s="25">
        <v>4203636.55</v>
      </c>
      <c r="F15" s="25">
        <v>7443163.7000000002</v>
      </c>
      <c r="G15" s="24">
        <v>7771862.6899999995</v>
      </c>
      <c r="H15" s="24">
        <v>6525246.8013525307</v>
      </c>
      <c r="I15" s="24">
        <v>7161584.0695743887</v>
      </c>
      <c r="J15" s="24">
        <v>8553011.8901650701</v>
      </c>
      <c r="K15" s="24">
        <v>8639723.8763395306</v>
      </c>
      <c r="L15" s="24">
        <v>8869918.2008947302</v>
      </c>
      <c r="M15" s="142">
        <v>9209183.6424233187</v>
      </c>
      <c r="N15" s="26"/>
      <c r="O15" s="26"/>
      <c r="P15" s="27" t="s">
        <v>33</v>
      </c>
      <c r="Q15" s="28">
        <f t="shared" ref="Q15:V17" si="7">B19</f>
        <v>11355586.779999999</v>
      </c>
      <c r="R15" s="28">
        <f t="shared" si="7"/>
        <v>10770334.309999999</v>
      </c>
      <c r="S15" s="28">
        <f t="shared" si="7"/>
        <v>10017118.899999999</v>
      </c>
      <c r="T15" s="28">
        <f t="shared" si="7"/>
        <v>10583609.41</v>
      </c>
      <c r="U15" s="28">
        <f t="shared" si="7"/>
        <v>11581087.32</v>
      </c>
      <c r="V15" s="28">
        <f t="shared" si="7"/>
        <v>14162785.849999998</v>
      </c>
      <c r="W15" s="21">
        <f t="shared" si="3"/>
        <v>2581698.5299999975</v>
      </c>
      <c r="X15" s="28">
        <f>H19</f>
        <v>13066207.046844071</v>
      </c>
      <c r="Y15" s="22">
        <f t="shared" si="4"/>
        <v>-1096578.803155927</v>
      </c>
      <c r="Z15" s="28">
        <f>I19</f>
        <v>13851521.50658321</v>
      </c>
      <c r="AA15" s="22">
        <f t="shared" si="5"/>
        <v>785314.4597391393</v>
      </c>
      <c r="AB15" s="158">
        <f>J19</f>
        <v>15537808.686378179</v>
      </c>
      <c r="AC15" s="28">
        <f t="shared" ref="AC15:AE15" si="8">K19</f>
        <v>15127459.196973702</v>
      </c>
      <c r="AD15" s="28">
        <f t="shared" si="8"/>
        <v>15187400.08723622</v>
      </c>
      <c r="AE15" s="159">
        <f t="shared" si="8"/>
        <v>15356493.36948235</v>
      </c>
    </row>
    <row r="16" spans="1:31" ht="24.75" customHeight="1" x14ac:dyDescent="0.35">
      <c r="A16" s="30" t="s">
        <v>34</v>
      </c>
      <c r="B16" s="31">
        <f t="shared" ref="B16:H16" si="9">SUM(B14:B15)</f>
        <v>13977719.240000002</v>
      </c>
      <c r="C16" s="31">
        <f>SUM(C14:C15)</f>
        <v>14925092.240000002</v>
      </c>
      <c r="D16" s="31">
        <f t="shared" si="9"/>
        <v>15706550.960000001</v>
      </c>
      <c r="E16" s="31">
        <f t="shared" si="9"/>
        <v>15552569.109999999</v>
      </c>
      <c r="F16" s="31">
        <f t="shared" si="9"/>
        <v>20436149.23</v>
      </c>
      <c r="G16" s="31">
        <f t="shared" si="9"/>
        <v>19881736.57</v>
      </c>
      <c r="H16" s="31">
        <f t="shared" si="9"/>
        <v>23544961.353944559</v>
      </c>
      <c r="I16" s="31">
        <f>SUM(I14:I15)</f>
        <v>28461947.705992311</v>
      </c>
      <c r="J16" s="31">
        <f>SUM(J14:J15)</f>
        <v>30766719.6169108</v>
      </c>
      <c r="K16" s="31">
        <f>SUM(K14:K15)</f>
        <v>31436294.693703681</v>
      </c>
      <c r="L16" s="31">
        <f>SUM(L14:L15)</f>
        <v>31683286.912616231</v>
      </c>
      <c r="M16" s="32">
        <f>SUM(M14:M15)</f>
        <v>32500026.160006933</v>
      </c>
      <c r="N16" s="33"/>
      <c r="O16" s="33"/>
      <c r="P16" s="27" t="s">
        <v>35</v>
      </c>
      <c r="Q16" s="28">
        <f t="shared" si="7"/>
        <v>10083.5</v>
      </c>
      <c r="R16" s="28">
        <f t="shared" si="7"/>
        <v>209037.49</v>
      </c>
      <c r="S16" s="28">
        <f t="shared" si="7"/>
        <v>572372.72</v>
      </c>
      <c r="T16" s="28">
        <f t="shared" si="7"/>
        <v>524888.58000000007</v>
      </c>
      <c r="U16" s="28">
        <f t="shared" si="7"/>
        <v>576712.71000000008</v>
      </c>
      <c r="V16" s="28">
        <f t="shared" si="7"/>
        <v>732386.26000000013</v>
      </c>
      <c r="W16" s="21">
        <f t="shared" si="3"/>
        <v>155673.55000000005</v>
      </c>
      <c r="X16" s="28">
        <f>H20</f>
        <v>906644.52532789984</v>
      </c>
      <c r="Y16" s="22">
        <f t="shared" si="4"/>
        <v>174258.26532789972</v>
      </c>
      <c r="Z16" s="28">
        <f>I20</f>
        <v>973788.47976212983</v>
      </c>
      <c r="AA16" s="22">
        <f t="shared" si="5"/>
        <v>67143.954434229992</v>
      </c>
      <c r="AB16" s="158">
        <f>J20</f>
        <v>1174353.8087519598</v>
      </c>
      <c r="AC16" s="28">
        <f t="shared" ref="AC16:AE16" si="10">K20</f>
        <v>1196678.9446747999</v>
      </c>
      <c r="AD16" s="28">
        <f t="shared" si="10"/>
        <v>1220492.5235682901</v>
      </c>
      <c r="AE16" s="159">
        <f t="shared" si="10"/>
        <v>1241552.5190652502</v>
      </c>
    </row>
    <row r="17" spans="1:39" ht="24.75" customHeight="1" x14ac:dyDescent="0.35">
      <c r="A17" s="29" t="s">
        <v>36</v>
      </c>
      <c r="B17" s="34" t="str">
        <f>IFERROR((B16-#REF!)/#REF!,"")</f>
        <v/>
      </c>
      <c r="C17" s="34">
        <f t="shared" ref="C17:M17" si="11">IFERROR((C16-B16)/B16,"")</f>
        <v>6.7777366516913948E-2</v>
      </c>
      <c r="D17" s="34">
        <f t="shared" si="11"/>
        <v>5.2358719626914595E-2</v>
      </c>
      <c r="E17" s="34">
        <f t="shared" si="11"/>
        <v>-9.8036704806897645E-3</v>
      </c>
      <c r="F17" s="34">
        <f t="shared" si="11"/>
        <v>0.31400472072874147</v>
      </c>
      <c r="G17" s="34">
        <f t="shared" si="11"/>
        <v>-2.7129017984764449E-2</v>
      </c>
      <c r="H17" s="34">
        <f t="shared" si="11"/>
        <v>0.18425074545410086</v>
      </c>
      <c r="I17" s="34">
        <f t="shared" si="11"/>
        <v>0.20883391049711766</v>
      </c>
      <c r="J17" s="34">
        <f t="shared" si="11"/>
        <v>8.0977308184472838E-2</v>
      </c>
      <c r="K17" s="34">
        <f t="shared" si="11"/>
        <v>2.1762966124762022E-2</v>
      </c>
      <c r="L17" s="34">
        <f t="shared" si="11"/>
        <v>7.8569125693435798E-3</v>
      </c>
      <c r="M17" s="35">
        <f t="shared" si="11"/>
        <v>2.5778236003205786E-2</v>
      </c>
      <c r="N17" s="36"/>
      <c r="O17" s="37"/>
      <c r="P17" s="27" t="s">
        <v>37</v>
      </c>
      <c r="Q17" s="28">
        <f t="shared" si="7"/>
        <v>16960746.09</v>
      </c>
      <c r="R17" s="28">
        <f t="shared" si="7"/>
        <v>17011245.700000003</v>
      </c>
      <c r="S17" s="28">
        <f t="shared" si="7"/>
        <v>18622422.630000003</v>
      </c>
      <c r="T17" s="28">
        <f t="shared" si="7"/>
        <v>20001126.609999999</v>
      </c>
      <c r="U17" s="28">
        <f t="shared" si="7"/>
        <v>21006426.220000003</v>
      </c>
      <c r="V17" s="28">
        <f t="shared" si="7"/>
        <v>26248320.75</v>
      </c>
      <c r="W17" s="21">
        <f t="shared" si="3"/>
        <v>5241894.5299999975</v>
      </c>
      <c r="X17" s="28">
        <f>H21</f>
        <v>26573366.500489473</v>
      </c>
      <c r="Y17" s="22">
        <f t="shared" si="4"/>
        <v>325045.75048947334</v>
      </c>
      <c r="Z17" s="28">
        <f>I21</f>
        <v>37578329</v>
      </c>
      <c r="AA17" s="22">
        <f t="shared" si="5"/>
        <v>11004962.499510527</v>
      </c>
      <c r="AB17" s="158">
        <f>J21</f>
        <v>39987785</v>
      </c>
      <c r="AC17" s="28">
        <f t="shared" ref="AC17:AE17" si="12">K21</f>
        <v>41671421</v>
      </c>
      <c r="AD17" s="28">
        <f t="shared" si="12"/>
        <v>43246462</v>
      </c>
      <c r="AE17" s="159">
        <f t="shared" si="12"/>
        <v>44665274</v>
      </c>
    </row>
    <row r="18" spans="1:39" ht="24.75" customHeight="1" x14ac:dyDescent="0.35">
      <c r="A18" s="38" t="s">
        <v>38</v>
      </c>
      <c r="B18" s="39"/>
      <c r="C18" s="39"/>
      <c r="D18" s="39"/>
      <c r="E18" s="39"/>
      <c r="F18" s="39"/>
      <c r="G18" s="39"/>
      <c r="H18" s="39" t="s">
        <v>123</v>
      </c>
      <c r="I18" s="39" t="s">
        <v>123</v>
      </c>
      <c r="J18" s="39" t="s">
        <v>123</v>
      </c>
      <c r="K18" s="39" t="s">
        <v>123</v>
      </c>
      <c r="L18" s="39" t="s">
        <v>123</v>
      </c>
      <c r="M18" s="40" t="s">
        <v>123</v>
      </c>
      <c r="N18" s="37"/>
      <c r="O18" s="37"/>
      <c r="P18" s="27" t="s">
        <v>39</v>
      </c>
      <c r="Q18" s="28">
        <f t="shared" ref="Q18:V18" si="13">B25</f>
        <v>42304135.609999999</v>
      </c>
      <c r="R18" s="28">
        <f t="shared" si="13"/>
        <v>42915709.740000002</v>
      </c>
      <c r="S18" s="28">
        <f t="shared" si="13"/>
        <v>44918465.210000001</v>
      </c>
      <c r="T18" s="28">
        <f t="shared" si="13"/>
        <v>46662193.710000001</v>
      </c>
      <c r="U18" s="28">
        <f t="shared" si="13"/>
        <v>53600375.480000004</v>
      </c>
      <c r="V18" s="28">
        <f t="shared" si="13"/>
        <v>61025229.43</v>
      </c>
      <c r="W18" s="21">
        <f t="shared" si="3"/>
        <v>7424853.9499999955</v>
      </c>
      <c r="X18" s="28">
        <f>H25</f>
        <v>64091179.426605999</v>
      </c>
      <c r="Y18" s="22">
        <f t="shared" si="4"/>
        <v>3065949.9966059998</v>
      </c>
      <c r="Z18" s="28">
        <f>I25</f>
        <v>80865586.692337647</v>
      </c>
      <c r="AA18" s="22">
        <f t="shared" si="5"/>
        <v>16774407.265731648</v>
      </c>
      <c r="AB18" s="158">
        <f>J25</f>
        <v>87466667.112040937</v>
      </c>
      <c r="AC18" s="28">
        <f t="shared" ref="AC18:AE18" si="14">K25</f>
        <v>89431853.835352182</v>
      </c>
      <c r="AD18" s="28">
        <f t="shared" si="14"/>
        <v>91337641.523420751</v>
      </c>
      <c r="AE18" s="159">
        <f t="shared" si="14"/>
        <v>93763346.04855454</v>
      </c>
    </row>
    <row r="19" spans="1:39" ht="24.75" customHeight="1" x14ac:dyDescent="0.35">
      <c r="A19" s="29" t="s">
        <v>40</v>
      </c>
      <c r="B19" s="25">
        <v>11355586.779999999</v>
      </c>
      <c r="C19" s="25">
        <v>10770334.309999999</v>
      </c>
      <c r="D19" s="25">
        <v>10017118.899999999</v>
      </c>
      <c r="E19" s="25">
        <v>10583609.41</v>
      </c>
      <c r="F19" s="25">
        <v>11581087.32</v>
      </c>
      <c r="G19" s="24">
        <v>14162785.849999998</v>
      </c>
      <c r="H19" s="24">
        <v>13066207.046844071</v>
      </c>
      <c r="I19" s="24">
        <v>13851521.50658321</v>
      </c>
      <c r="J19" s="24">
        <v>15537808.686378179</v>
      </c>
      <c r="K19" s="24">
        <v>15127459.196973702</v>
      </c>
      <c r="L19" s="24">
        <v>15187400.08723622</v>
      </c>
      <c r="M19" s="141">
        <v>15356493.36948235</v>
      </c>
      <c r="N19" s="41"/>
      <c r="O19" s="26"/>
      <c r="P19" s="27" t="s">
        <v>41</v>
      </c>
      <c r="Q19" s="141"/>
      <c r="R19" s="141"/>
      <c r="S19" s="141"/>
      <c r="T19" s="141"/>
      <c r="U19" s="141"/>
      <c r="V19" s="24"/>
      <c r="W19" s="42"/>
      <c r="X19" s="24"/>
      <c r="Y19" s="43"/>
      <c r="Z19" s="154"/>
      <c r="AA19" s="43"/>
      <c r="AB19" s="154"/>
      <c r="AC19" s="24"/>
      <c r="AD19" s="24"/>
      <c r="AE19" s="142"/>
    </row>
    <row r="20" spans="1:39" ht="24.75" customHeight="1" x14ac:dyDescent="0.35">
      <c r="A20" s="29" t="s">
        <v>42</v>
      </c>
      <c r="B20" s="25">
        <v>10083.5</v>
      </c>
      <c r="C20" s="25">
        <v>209037.49</v>
      </c>
      <c r="D20" s="25">
        <v>572372.72</v>
      </c>
      <c r="E20" s="25">
        <v>524888.58000000007</v>
      </c>
      <c r="F20" s="25">
        <v>576712.71000000008</v>
      </c>
      <c r="G20" s="24">
        <v>732386.26000000013</v>
      </c>
      <c r="H20" s="24">
        <v>906644.52532789984</v>
      </c>
      <c r="I20" s="24">
        <v>973788.47976212983</v>
      </c>
      <c r="J20" s="24">
        <v>1174353.8087519598</v>
      </c>
      <c r="K20" s="24">
        <v>1196678.9446747999</v>
      </c>
      <c r="L20" s="24">
        <v>1220492.5235682901</v>
      </c>
      <c r="M20" s="142">
        <v>1241552.5190652502</v>
      </c>
      <c r="N20" s="41"/>
      <c r="O20" s="26"/>
      <c r="P20" s="27" t="s">
        <v>43</v>
      </c>
      <c r="Q20" s="21">
        <f t="shared" ref="Q20:X20" si="15">IF(Q11&lt;RebaseYear, 0, Q18-Q19)</f>
        <v>42304135.609999999</v>
      </c>
      <c r="R20" s="21">
        <f t="shared" si="15"/>
        <v>42915709.740000002</v>
      </c>
      <c r="S20" s="21">
        <f t="shared" si="15"/>
        <v>44918465.210000001</v>
      </c>
      <c r="T20" s="21">
        <f t="shared" si="15"/>
        <v>46662193.710000001</v>
      </c>
      <c r="U20" s="21">
        <f t="shared" si="15"/>
        <v>53600375.480000004</v>
      </c>
      <c r="V20" s="21">
        <f t="shared" si="15"/>
        <v>61025229.43</v>
      </c>
      <c r="W20" s="21">
        <f t="shared" si="15"/>
        <v>7424853.9499999955</v>
      </c>
      <c r="X20" s="21">
        <f t="shared" si="15"/>
        <v>64091179.426605999</v>
      </c>
      <c r="Y20" s="22">
        <f t="shared" ref="Y20:AE20" si="16">IF(Y11&lt;RebaseYear, 0, Y18-Y19)</f>
        <v>3065949.9966059998</v>
      </c>
      <c r="Z20" s="21">
        <f t="shared" si="16"/>
        <v>80865586.692337647</v>
      </c>
      <c r="AA20" s="22">
        <f t="shared" si="16"/>
        <v>16774407.265731648</v>
      </c>
      <c r="AB20" s="21">
        <f t="shared" si="16"/>
        <v>87466667.112040937</v>
      </c>
      <c r="AC20" s="21">
        <f t="shared" si="16"/>
        <v>89431853.835352182</v>
      </c>
      <c r="AD20" s="21">
        <f t="shared" si="16"/>
        <v>91337641.523420751</v>
      </c>
      <c r="AE20" s="159">
        <f t="shared" si="16"/>
        <v>93763346.04855454</v>
      </c>
    </row>
    <row r="21" spans="1:39" s="48" customFormat="1" ht="24.75" customHeight="1" x14ac:dyDescent="0.35">
      <c r="A21" s="44" t="s">
        <v>44</v>
      </c>
      <c r="B21" s="25">
        <v>16960746.09</v>
      </c>
      <c r="C21" s="25">
        <v>17011245.700000003</v>
      </c>
      <c r="D21" s="25">
        <v>18622422.630000003</v>
      </c>
      <c r="E21" s="25">
        <v>20001126.609999999</v>
      </c>
      <c r="F21" s="25">
        <v>21006426.220000003</v>
      </c>
      <c r="G21" s="24">
        <v>26248320.75</v>
      </c>
      <c r="H21" s="24">
        <v>26573366.500489473</v>
      </c>
      <c r="I21" s="24">
        <v>37578329</v>
      </c>
      <c r="J21" s="24">
        <v>39987785</v>
      </c>
      <c r="K21" s="24">
        <v>41671421</v>
      </c>
      <c r="L21" s="24">
        <v>43246462</v>
      </c>
      <c r="M21" s="142">
        <v>44665274</v>
      </c>
      <c r="N21" s="41"/>
      <c r="O21" s="26"/>
      <c r="P21" s="45" t="s">
        <v>45</v>
      </c>
      <c r="Q21" s="46"/>
      <c r="R21" s="46">
        <f t="shared" ref="R21:W21" si="17">IF(R11&lt;=RebaseYear, 0, R20-Q20)</f>
        <v>611574.13000000268</v>
      </c>
      <c r="S21" s="46">
        <f t="shared" si="17"/>
        <v>2002755.4699999988</v>
      </c>
      <c r="T21" s="46">
        <f t="shared" si="17"/>
        <v>1743728.5</v>
      </c>
      <c r="U21" s="46">
        <f t="shared" si="17"/>
        <v>6938181.7700000033</v>
      </c>
      <c r="V21" s="46">
        <f t="shared" si="17"/>
        <v>7424853.9499999955</v>
      </c>
      <c r="W21" s="46">
        <f t="shared" si="17"/>
        <v>0</v>
      </c>
      <c r="X21" s="46">
        <v>3065949.9966059998</v>
      </c>
      <c r="Y21" s="47"/>
      <c r="Z21" s="46">
        <v>16774407.265731648</v>
      </c>
      <c r="AA21" s="47"/>
      <c r="AB21" s="46">
        <f>AB20-Z20</f>
        <v>6601080.4197032899</v>
      </c>
      <c r="AC21" s="46">
        <f>AC20-AB20</f>
        <v>1965186.7233112454</v>
      </c>
      <c r="AD21" s="46">
        <f t="shared" ref="AD21:AE21" si="18">AD20-AC20</f>
        <v>1905787.6880685687</v>
      </c>
      <c r="AE21" s="160">
        <f t="shared" si="18"/>
        <v>2425704.5251337886</v>
      </c>
    </row>
    <row r="22" spans="1:39" s="48" customFormat="1" ht="24.75" customHeight="1" x14ac:dyDescent="0.35">
      <c r="A22" s="49" t="s">
        <v>34</v>
      </c>
      <c r="B22" s="50">
        <f t="shared" ref="B22:M22" si="19">SUM(B19:B21)</f>
        <v>28326416.369999997</v>
      </c>
      <c r="C22" s="50">
        <f t="shared" si="19"/>
        <v>27990617.5</v>
      </c>
      <c r="D22" s="50">
        <f t="shared" si="19"/>
        <v>29211914.25</v>
      </c>
      <c r="E22" s="50">
        <f t="shared" si="19"/>
        <v>31109624.600000001</v>
      </c>
      <c r="F22" s="50">
        <f t="shared" si="19"/>
        <v>33164226.250000004</v>
      </c>
      <c r="G22" s="50">
        <f t="shared" si="19"/>
        <v>41143492.859999999</v>
      </c>
      <c r="H22" s="50">
        <f t="shared" si="19"/>
        <v>40546218.072661445</v>
      </c>
      <c r="I22" s="50">
        <f t="shared" si="19"/>
        <v>52403638.986345336</v>
      </c>
      <c r="J22" s="50">
        <f t="shared" si="19"/>
        <v>56699947.495130137</v>
      </c>
      <c r="K22" s="50">
        <f t="shared" si="19"/>
        <v>57995559.141648501</v>
      </c>
      <c r="L22" s="50">
        <f t="shared" si="19"/>
        <v>59654354.610804513</v>
      </c>
      <c r="M22" s="51">
        <f t="shared" si="19"/>
        <v>61263319.888547599</v>
      </c>
      <c r="N22" s="41"/>
      <c r="O22" s="26"/>
      <c r="P22" s="45" t="s">
        <v>46</v>
      </c>
      <c r="Q22" s="52" t="s">
        <v>123</v>
      </c>
      <c r="R22" s="52">
        <f>R21/Q20</f>
        <v>1.4456603856371826E-2</v>
      </c>
      <c r="S22" s="52">
        <f>S21/R20</f>
        <v>4.666718742701606E-2</v>
      </c>
      <c r="T22" s="52">
        <f>T21/S20</f>
        <v>3.8819859312820004E-2</v>
      </c>
      <c r="U22" s="52">
        <f>U21/T20</f>
        <v>0.14868957540059047</v>
      </c>
      <c r="V22" s="52">
        <f>V21/U20</f>
        <v>0.13852242420895808</v>
      </c>
      <c r="W22" s="52"/>
      <c r="X22" s="52">
        <f>X21/V20</f>
        <v>5.024069594237001E-2</v>
      </c>
      <c r="Y22" s="47"/>
      <c r="Z22" s="52">
        <f>Z21/X20</f>
        <v>0.26172723634990763</v>
      </c>
      <c r="AA22" s="47"/>
      <c r="AB22" s="52">
        <f>AB21/Z20</f>
        <v>8.1630279204154582E-2</v>
      </c>
      <c r="AC22" s="52">
        <f>AC21/AB20</f>
        <v>2.2467835899062302E-2</v>
      </c>
      <c r="AD22" s="52">
        <f>AD21/AC20</f>
        <v>2.130994278143003E-2</v>
      </c>
      <c r="AE22" s="161">
        <f>AE21/AD20</f>
        <v>2.6557555950377707E-2</v>
      </c>
    </row>
    <row r="23" spans="1:39" ht="24.75" customHeight="1" x14ac:dyDescent="0.35">
      <c r="A23" s="29" t="s">
        <v>36</v>
      </c>
      <c r="B23" s="35" t="str">
        <f>IFERROR((B22-#REF!)/#REF!,"")</f>
        <v/>
      </c>
      <c r="C23" s="35">
        <f t="shared" ref="C23:M23" si="20">IFERROR((C22-B22)/B22,"")</f>
        <v>-1.1854618869319308E-2</v>
      </c>
      <c r="D23" s="35">
        <f t="shared" si="20"/>
        <v>4.3632361808380968E-2</v>
      </c>
      <c r="E23" s="35">
        <f t="shared" si="20"/>
        <v>6.4963573895195914E-2</v>
      </c>
      <c r="F23" s="35">
        <f t="shared" si="20"/>
        <v>6.604392294724129E-2</v>
      </c>
      <c r="G23" s="35">
        <f t="shared" si="20"/>
        <v>0.24059860615623424</v>
      </c>
      <c r="H23" s="35">
        <f t="shared" si="20"/>
        <v>-1.4516871218759109E-2</v>
      </c>
      <c r="I23" s="35">
        <f t="shared" si="20"/>
        <v>0.29244209391945325</v>
      </c>
      <c r="J23" s="35">
        <f t="shared" si="20"/>
        <v>8.1984926846478678E-2</v>
      </c>
      <c r="K23" s="35">
        <f t="shared" si="20"/>
        <v>2.2850314749050561E-2</v>
      </c>
      <c r="L23" s="35">
        <f t="shared" si="20"/>
        <v>2.8602111846263361E-2</v>
      </c>
      <c r="M23" s="35">
        <f t="shared" si="20"/>
        <v>2.6971463998567386E-2</v>
      </c>
      <c r="N23" s="41"/>
      <c r="O23" s="26"/>
      <c r="P23" s="27" t="s">
        <v>47</v>
      </c>
      <c r="Q23" s="53"/>
      <c r="R23" s="53"/>
      <c r="S23" s="53"/>
      <c r="T23" s="53"/>
      <c r="U23" s="53"/>
      <c r="V23" s="53"/>
      <c r="W23" s="53"/>
      <c r="X23" s="54"/>
      <c r="Y23" s="55"/>
      <c r="Z23" s="54">
        <f>(Z20-U20)/U20</f>
        <v>0.50867575027550238</v>
      </c>
      <c r="AA23" s="55"/>
      <c r="AB23" s="27"/>
      <c r="AC23" s="53"/>
      <c r="AD23" s="28"/>
      <c r="AE23" s="55"/>
    </row>
    <row r="24" spans="1:39" ht="24.75" customHeight="1" x14ac:dyDescent="0.35">
      <c r="A24" s="29" t="s">
        <v>38</v>
      </c>
      <c r="B24" s="56"/>
      <c r="C24" s="56"/>
      <c r="D24" s="56"/>
      <c r="E24" s="56"/>
      <c r="F24" s="56"/>
      <c r="G24" s="56"/>
      <c r="H24" s="56" t="s">
        <v>123</v>
      </c>
      <c r="I24" s="56" t="s">
        <v>123</v>
      </c>
      <c r="J24" s="56" t="s">
        <v>123</v>
      </c>
      <c r="K24" s="56" t="s">
        <v>123</v>
      </c>
      <c r="L24" s="56" t="s">
        <v>123</v>
      </c>
      <c r="M24" s="40" t="s">
        <v>123</v>
      </c>
      <c r="N24" s="37"/>
      <c r="O24" s="37"/>
      <c r="P24" s="27" t="s">
        <v>48</v>
      </c>
      <c r="Q24" s="53"/>
      <c r="R24" s="53"/>
      <c r="S24" s="53"/>
      <c r="T24" s="53"/>
      <c r="U24" s="53"/>
      <c r="V24" s="53"/>
      <c r="W24" s="53"/>
      <c r="X24" s="54">
        <f>AVERAGE(Q22:X22)</f>
        <v>7.2899391024687746E-2</v>
      </c>
      <c r="Y24" s="57"/>
      <c r="Z24" s="54">
        <f>AVERAGE(Q22:Z22)</f>
        <v>9.9874797499719156E-2</v>
      </c>
      <c r="AA24" s="57"/>
      <c r="AB24" s="27"/>
      <c r="AC24" s="53"/>
      <c r="AD24" s="28"/>
      <c r="AE24" s="57"/>
    </row>
    <row r="25" spans="1:39" ht="24.75" customHeight="1" thickBot="1" x14ac:dyDescent="0.4">
      <c r="A25" s="30" t="s">
        <v>49</v>
      </c>
      <c r="B25" s="31">
        <f>SUM(B22,B16)</f>
        <v>42304135.609999999</v>
      </c>
      <c r="C25" s="31">
        <f>SUM(C22,C16)</f>
        <v>42915709.740000002</v>
      </c>
      <c r="D25" s="31">
        <f>SUM(D22,D16)</f>
        <v>44918465.210000001</v>
      </c>
      <c r="E25" s="31">
        <f t="shared" ref="E25:M25" si="21">SUM(E22,E16)</f>
        <v>46662193.710000001</v>
      </c>
      <c r="F25" s="31">
        <f t="shared" si="21"/>
        <v>53600375.480000004</v>
      </c>
      <c r="G25" s="31">
        <f t="shared" si="21"/>
        <v>61025229.43</v>
      </c>
      <c r="H25" s="31">
        <f t="shared" si="21"/>
        <v>64091179.426605999</v>
      </c>
      <c r="I25" s="31">
        <f>SUM(I22,I16)</f>
        <v>80865586.692337647</v>
      </c>
      <c r="J25" s="31">
        <f t="shared" si="21"/>
        <v>87466667.112040937</v>
      </c>
      <c r="K25" s="31">
        <f t="shared" si="21"/>
        <v>89431853.835352182</v>
      </c>
      <c r="L25" s="31">
        <f t="shared" si="21"/>
        <v>91337641.523420751</v>
      </c>
      <c r="M25" s="32">
        <f t="shared" si="21"/>
        <v>93763346.04855454</v>
      </c>
      <c r="N25" s="33"/>
      <c r="O25" s="33"/>
      <c r="P25" s="61" t="s">
        <v>50</v>
      </c>
      <c r="Q25" s="163"/>
      <c r="R25" s="163"/>
      <c r="S25" s="163"/>
      <c r="T25" s="163"/>
      <c r="U25" s="163"/>
      <c r="V25" s="163"/>
      <c r="W25" s="163"/>
      <c r="X25" s="163"/>
      <c r="Y25" s="162"/>
      <c r="Z25" s="163"/>
      <c r="AA25" s="162">
        <f>((Z20/Q20)^(1/7))-1</f>
        <v>9.6976373048058173E-2</v>
      </c>
      <c r="AB25" s="61"/>
      <c r="AC25" s="163"/>
      <c r="AD25" s="164"/>
      <c r="AE25" s="162"/>
    </row>
    <row r="26" spans="1:39" ht="24.75" customHeight="1" thickBot="1" x14ac:dyDescent="0.4">
      <c r="A26" s="58" t="s">
        <v>36</v>
      </c>
      <c r="B26" s="59" t="str">
        <f>IFERROR((B25-#REF!)/#REF!,"")</f>
        <v/>
      </c>
      <c r="C26" s="59">
        <f t="shared" ref="C26:M26" si="22">IFERROR((C25-B25)/B25,"")</f>
        <v>1.4456603856371826E-2</v>
      </c>
      <c r="D26" s="59">
        <f t="shared" si="22"/>
        <v>4.666718742701606E-2</v>
      </c>
      <c r="E26" s="59">
        <f t="shared" si="22"/>
        <v>3.8819859312820004E-2</v>
      </c>
      <c r="F26" s="59">
        <f t="shared" si="22"/>
        <v>0.14868957540059047</v>
      </c>
      <c r="G26" s="59">
        <f t="shared" si="22"/>
        <v>0.13852242420895808</v>
      </c>
      <c r="H26" s="59">
        <f t="shared" si="22"/>
        <v>5.024069594237001E-2</v>
      </c>
      <c r="I26" s="59">
        <f t="shared" si="22"/>
        <v>0.26172723634990763</v>
      </c>
      <c r="J26" s="59">
        <f t="shared" si="22"/>
        <v>8.1630279204154582E-2</v>
      </c>
      <c r="K26" s="59">
        <f t="shared" si="22"/>
        <v>2.2467835899062302E-2</v>
      </c>
      <c r="L26" s="59">
        <f t="shared" si="22"/>
        <v>2.130994278143003E-2</v>
      </c>
      <c r="M26" s="60">
        <f t="shared" si="22"/>
        <v>2.6557555950377707E-2</v>
      </c>
      <c r="N26" s="37"/>
      <c r="O26" s="37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39" x14ac:dyDescent="0.35">
      <c r="A27" s="62"/>
      <c r="B27" s="63"/>
      <c r="C27" s="63"/>
      <c r="D27" s="63"/>
      <c r="E27" s="63"/>
      <c r="F27" s="64"/>
      <c r="G27" s="64"/>
      <c r="H27" s="63"/>
      <c r="I27" s="63"/>
      <c r="J27" s="63"/>
      <c r="K27" s="63"/>
      <c r="L27" s="63"/>
      <c r="M27" s="63"/>
      <c r="N27" s="65"/>
      <c r="O27" s="65"/>
      <c r="P27" s="65"/>
      <c r="Q27" s="65"/>
      <c r="R27" s="65"/>
      <c r="S27" s="165"/>
      <c r="T27" s="65"/>
      <c r="U27" s="65"/>
      <c r="V27" s="65"/>
      <c r="W27" s="65"/>
      <c r="X27" s="65"/>
      <c r="Y27" s="65"/>
      <c r="Z27" s="65"/>
    </row>
    <row r="28" spans="1:39" ht="15" thickBot="1" x14ac:dyDescent="0.4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5"/>
      <c r="O28" s="65"/>
      <c r="P28" s="65"/>
      <c r="Q28" s="65"/>
      <c r="R28" s="65"/>
      <c r="S28" s="1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</row>
    <row r="29" spans="1:39" ht="26.5" thickBot="1" x14ac:dyDescent="0.4">
      <c r="A29" s="23"/>
      <c r="B29" s="13" t="str">
        <f t="shared" ref="B29:M29" si="23">B12</f>
        <v>2020 Actuals</v>
      </c>
      <c r="C29" s="13" t="str">
        <f t="shared" si="23"/>
        <v>2021 Actuals</v>
      </c>
      <c r="D29" s="13" t="str">
        <f t="shared" si="23"/>
        <v>2022 Actuals</v>
      </c>
      <c r="E29" s="13" t="str">
        <f t="shared" si="23"/>
        <v>2023 Actuals</v>
      </c>
      <c r="F29" s="13" t="str">
        <f t="shared" si="23"/>
        <v>2024 Actuals</v>
      </c>
      <c r="G29" s="13" t="str">
        <f t="shared" si="23"/>
        <v>2025 Actuals</v>
      </c>
      <c r="H29" s="14" t="str">
        <f t="shared" si="23"/>
        <v>2026 Bridge Year</v>
      </c>
      <c r="I29" s="14" t="str">
        <f t="shared" si="23"/>
        <v>2027 Test Year</v>
      </c>
      <c r="J29" s="14" t="str">
        <f t="shared" si="23"/>
        <v>2028 Forecast</v>
      </c>
      <c r="K29" s="14" t="str">
        <f t="shared" si="23"/>
        <v>2029 Forecast</v>
      </c>
      <c r="L29" s="14" t="str">
        <f t="shared" si="23"/>
        <v>2030 Forecast</v>
      </c>
      <c r="M29" s="14" t="str">
        <f t="shared" si="23"/>
        <v>2031 Forecast</v>
      </c>
      <c r="N29" s="65"/>
      <c r="O29" s="65"/>
      <c r="Y29" s="65"/>
    </row>
    <row r="30" spans="1:39" x14ac:dyDescent="0.35">
      <c r="A30" s="29" t="s">
        <v>51</v>
      </c>
      <c r="B30" s="66">
        <f t="shared" ref="B30:M31" si="24">B14</f>
        <v>9748687.0300000031</v>
      </c>
      <c r="C30" s="66">
        <f t="shared" si="24"/>
        <v>10180786.590000002</v>
      </c>
      <c r="D30" s="66">
        <f t="shared" si="24"/>
        <v>11638182.449999999</v>
      </c>
      <c r="E30" s="66">
        <f t="shared" si="24"/>
        <v>11348932.559999999</v>
      </c>
      <c r="F30" s="66">
        <f t="shared" si="24"/>
        <v>12992985.529999999</v>
      </c>
      <c r="G30" s="66">
        <f t="shared" si="24"/>
        <v>12109873.880000001</v>
      </c>
      <c r="H30" s="66">
        <f t="shared" si="24"/>
        <v>17019714.552592028</v>
      </c>
      <c r="I30" s="66">
        <f t="shared" si="24"/>
        <v>21300363.636417922</v>
      </c>
      <c r="J30" s="66">
        <f t="shared" si="24"/>
        <v>22213707.726745728</v>
      </c>
      <c r="K30" s="66">
        <f t="shared" si="24"/>
        <v>22796570.817364153</v>
      </c>
      <c r="L30" s="66">
        <f t="shared" si="24"/>
        <v>22813368.711721502</v>
      </c>
      <c r="M30" s="67">
        <f t="shared" si="24"/>
        <v>23290842.517583612</v>
      </c>
      <c r="N30" s="65"/>
      <c r="O30" s="65"/>
      <c r="Y30" s="65"/>
    </row>
    <row r="31" spans="1:39" x14ac:dyDescent="0.35">
      <c r="A31" s="29" t="s">
        <v>52</v>
      </c>
      <c r="B31" s="66">
        <f t="shared" si="24"/>
        <v>4229032.21</v>
      </c>
      <c r="C31" s="66">
        <f t="shared" si="24"/>
        <v>4744305.6500000004</v>
      </c>
      <c r="D31" s="66">
        <f t="shared" si="24"/>
        <v>4068368.5100000007</v>
      </c>
      <c r="E31" s="66">
        <f t="shared" si="24"/>
        <v>4203636.55</v>
      </c>
      <c r="F31" s="66">
        <f t="shared" si="24"/>
        <v>7443163.7000000002</v>
      </c>
      <c r="G31" s="66">
        <f t="shared" si="24"/>
        <v>7771862.6899999995</v>
      </c>
      <c r="H31" s="66">
        <f t="shared" si="24"/>
        <v>6525246.8013525307</v>
      </c>
      <c r="I31" s="66">
        <f t="shared" si="24"/>
        <v>7161584.0695743887</v>
      </c>
      <c r="J31" s="66">
        <f t="shared" si="24"/>
        <v>8553011.8901650701</v>
      </c>
      <c r="K31" s="66">
        <f t="shared" si="24"/>
        <v>8639723.8763395306</v>
      </c>
      <c r="L31" s="66">
        <f t="shared" si="24"/>
        <v>8869918.2008947302</v>
      </c>
      <c r="M31" s="67">
        <f t="shared" si="24"/>
        <v>9209183.6424233187</v>
      </c>
      <c r="N31" s="65"/>
      <c r="O31" s="65"/>
      <c r="Y31" s="65"/>
    </row>
    <row r="32" spans="1:39" x14ac:dyDescent="0.35">
      <c r="A32" s="29" t="s">
        <v>53</v>
      </c>
      <c r="B32" s="66">
        <f t="shared" ref="B32:M34" si="25">B19</f>
        <v>11355586.779999999</v>
      </c>
      <c r="C32" s="66">
        <f t="shared" si="25"/>
        <v>10770334.309999999</v>
      </c>
      <c r="D32" s="66">
        <f t="shared" si="25"/>
        <v>10017118.899999999</v>
      </c>
      <c r="E32" s="66">
        <f t="shared" si="25"/>
        <v>10583609.41</v>
      </c>
      <c r="F32" s="66">
        <f t="shared" si="25"/>
        <v>11581087.32</v>
      </c>
      <c r="G32" s="66">
        <f t="shared" si="25"/>
        <v>14162785.849999998</v>
      </c>
      <c r="H32" s="66">
        <f t="shared" si="25"/>
        <v>13066207.046844071</v>
      </c>
      <c r="I32" s="66">
        <f t="shared" si="25"/>
        <v>13851521.50658321</v>
      </c>
      <c r="J32" s="66">
        <f t="shared" si="25"/>
        <v>15537808.686378179</v>
      </c>
      <c r="K32" s="66">
        <f t="shared" si="25"/>
        <v>15127459.196973702</v>
      </c>
      <c r="L32" s="66">
        <f t="shared" si="25"/>
        <v>15187400.08723622</v>
      </c>
      <c r="M32" s="67">
        <f t="shared" si="25"/>
        <v>15356493.36948235</v>
      </c>
      <c r="N32" s="65"/>
      <c r="O32" s="65"/>
      <c r="Y32" s="65"/>
    </row>
    <row r="33" spans="1:39" x14ac:dyDescent="0.35">
      <c r="A33" s="29" t="s">
        <v>54</v>
      </c>
      <c r="B33" s="66">
        <f t="shared" si="25"/>
        <v>10083.5</v>
      </c>
      <c r="C33" s="66">
        <f t="shared" si="25"/>
        <v>209037.49</v>
      </c>
      <c r="D33" s="66">
        <f t="shared" si="25"/>
        <v>572372.72</v>
      </c>
      <c r="E33" s="66">
        <f t="shared" si="25"/>
        <v>524888.58000000007</v>
      </c>
      <c r="F33" s="66">
        <f t="shared" si="25"/>
        <v>576712.71000000008</v>
      </c>
      <c r="G33" s="66">
        <f t="shared" si="25"/>
        <v>732386.26000000013</v>
      </c>
      <c r="H33" s="66">
        <f t="shared" si="25"/>
        <v>906644.52532789984</v>
      </c>
      <c r="I33" s="66">
        <f t="shared" si="25"/>
        <v>973788.47976212983</v>
      </c>
      <c r="J33" s="66">
        <f t="shared" si="25"/>
        <v>1174353.8087519598</v>
      </c>
      <c r="K33" s="66">
        <f t="shared" si="25"/>
        <v>1196678.9446747999</v>
      </c>
      <c r="L33" s="66">
        <f t="shared" si="25"/>
        <v>1220492.5235682901</v>
      </c>
      <c r="M33" s="67">
        <f t="shared" si="25"/>
        <v>1241552.5190652502</v>
      </c>
      <c r="N33" s="65"/>
      <c r="O33" s="65"/>
      <c r="Y33" s="65"/>
    </row>
    <row r="34" spans="1:39" x14ac:dyDescent="0.35">
      <c r="A34" s="29" t="s">
        <v>55</v>
      </c>
      <c r="B34" s="66">
        <f t="shared" si="25"/>
        <v>16960746.09</v>
      </c>
      <c r="C34" s="66">
        <f t="shared" si="25"/>
        <v>17011245.700000003</v>
      </c>
      <c r="D34" s="66">
        <f t="shared" si="25"/>
        <v>18622422.630000003</v>
      </c>
      <c r="E34" s="66">
        <f t="shared" si="25"/>
        <v>20001126.609999999</v>
      </c>
      <c r="F34" s="66">
        <f t="shared" si="25"/>
        <v>21006426.220000003</v>
      </c>
      <c r="G34" s="66">
        <f t="shared" si="25"/>
        <v>26248320.75</v>
      </c>
      <c r="H34" s="66">
        <f t="shared" si="25"/>
        <v>26573366.500489473</v>
      </c>
      <c r="I34" s="66">
        <f t="shared" si="25"/>
        <v>37578329</v>
      </c>
      <c r="J34" s="66">
        <f t="shared" si="25"/>
        <v>39987785</v>
      </c>
      <c r="K34" s="66">
        <f t="shared" si="25"/>
        <v>41671421</v>
      </c>
      <c r="L34" s="66">
        <f t="shared" si="25"/>
        <v>43246462</v>
      </c>
      <c r="M34" s="67">
        <f t="shared" si="25"/>
        <v>44665274</v>
      </c>
      <c r="N34" s="65"/>
      <c r="O34" s="65"/>
      <c r="Y34" s="65"/>
    </row>
    <row r="35" spans="1:39" x14ac:dyDescent="0.35">
      <c r="A35" s="30" t="s">
        <v>49</v>
      </c>
      <c r="B35" s="31">
        <f t="shared" ref="B35:M35" si="26">SUM(B30:B34)</f>
        <v>42304135.609999999</v>
      </c>
      <c r="C35" s="31">
        <f t="shared" si="26"/>
        <v>42915709.740000002</v>
      </c>
      <c r="D35" s="31">
        <f t="shared" si="26"/>
        <v>44918465.210000001</v>
      </c>
      <c r="E35" s="31">
        <f t="shared" si="26"/>
        <v>46662193.710000001</v>
      </c>
      <c r="F35" s="31">
        <f t="shared" si="26"/>
        <v>53600375.480000004</v>
      </c>
      <c r="G35" s="31">
        <f t="shared" si="26"/>
        <v>61025229.43</v>
      </c>
      <c r="H35" s="31">
        <f t="shared" si="26"/>
        <v>64091179.426605999</v>
      </c>
      <c r="I35" s="31">
        <f t="shared" si="26"/>
        <v>80865586.692337662</v>
      </c>
      <c r="J35" s="31">
        <f t="shared" si="26"/>
        <v>87466667.112040937</v>
      </c>
      <c r="K35" s="31">
        <f t="shared" si="26"/>
        <v>89431853.835352182</v>
      </c>
      <c r="L35" s="31">
        <f t="shared" si="26"/>
        <v>91337641.523420736</v>
      </c>
      <c r="M35" s="32">
        <f t="shared" si="26"/>
        <v>93763346.04855454</v>
      </c>
      <c r="N35" s="68"/>
      <c r="O35" s="65"/>
      <c r="Y35" s="65"/>
    </row>
    <row r="36" spans="1:39" ht="15" thickBot="1" x14ac:dyDescent="0.4">
      <c r="A36" s="58" t="s">
        <v>36</v>
      </c>
      <c r="B36" s="71" t="str">
        <f>IFERROR((B35-#REF!)/#REF!,"")</f>
        <v/>
      </c>
      <c r="C36" s="70">
        <f t="shared" ref="C36:M36" si="27">IFERROR((C35-B35)/B35,"")</f>
        <v>1.4456603856371826E-2</v>
      </c>
      <c r="D36" s="69">
        <f t="shared" si="27"/>
        <v>4.666718742701606E-2</v>
      </c>
      <c r="E36" s="69">
        <f t="shared" si="27"/>
        <v>3.8819859312820004E-2</v>
      </c>
      <c r="F36" s="70">
        <f t="shared" si="27"/>
        <v>0.14868957540059047</v>
      </c>
      <c r="G36" s="69">
        <f t="shared" si="27"/>
        <v>0.13852242420895808</v>
      </c>
      <c r="H36" s="69">
        <f t="shared" si="27"/>
        <v>5.024069594237001E-2</v>
      </c>
      <c r="I36" s="69">
        <f t="shared" si="27"/>
        <v>0.26172723634990791</v>
      </c>
      <c r="J36" s="69">
        <f t="shared" si="27"/>
        <v>8.1630279204154388E-2</v>
      </c>
      <c r="K36" s="69">
        <f t="shared" si="27"/>
        <v>2.2467835899062302E-2</v>
      </c>
      <c r="L36" s="69">
        <f t="shared" si="27"/>
        <v>2.1309942781429864E-2</v>
      </c>
      <c r="M36" s="60">
        <f t="shared" si="27"/>
        <v>2.6557555950377874E-2</v>
      </c>
      <c r="N36" s="65"/>
      <c r="O36" s="72"/>
      <c r="W36" s="73"/>
      <c r="Y36" s="65"/>
    </row>
    <row r="37" spans="1:39" x14ac:dyDescent="0.3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</row>
    <row r="38" spans="1:39" ht="26" x14ac:dyDescent="0.35">
      <c r="B38" s="74" t="str">
        <f t="shared" ref="B38:M38" si="28">B29</f>
        <v>2020 Actuals</v>
      </c>
      <c r="C38" s="74" t="str">
        <f t="shared" si="28"/>
        <v>2021 Actuals</v>
      </c>
      <c r="D38" s="74" t="str">
        <f t="shared" si="28"/>
        <v>2022 Actuals</v>
      </c>
      <c r="E38" s="74" t="str">
        <f t="shared" si="28"/>
        <v>2023 Actuals</v>
      </c>
      <c r="F38" s="74" t="str">
        <f t="shared" si="28"/>
        <v>2024 Actuals</v>
      </c>
      <c r="G38" s="74" t="str">
        <f t="shared" si="28"/>
        <v>2025 Actuals</v>
      </c>
      <c r="H38" s="74" t="str">
        <f t="shared" si="28"/>
        <v>2026 Bridge Year</v>
      </c>
      <c r="I38" s="74" t="str">
        <f t="shared" si="28"/>
        <v>2027 Test Year</v>
      </c>
      <c r="J38" s="74" t="str">
        <f t="shared" si="28"/>
        <v>2028 Forecast</v>
      </c>
      <c r="K38" s="74" t="str">
        <f t="shared" si="28"/>
        <v>2029 Forecast</v>
      </c>
      <c r="L38" s="74" t="str">
        <f t="shared" si="28"/>
        <v>2030 Forecast</v>
      </c>
      <c r="M38" s="74" t="str">
        <f t="shared" si="28"/>
        <v>2031 Forecast</v>
      </c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</row>
    <row r="39" spans="1:39" x14ac:dyDescent="0.35">
      <c r="A39" s="75" t="s">
        <v>56</v>
      </c>
      <c r="B39" s="153" t="s">
        <v>57</v>
      </c>
      <c r="C39" s="123">
        <f>'App.2-JB OM&amp;A Cost Drivers'!B49</f>
        <v>42915708.359999999</v>
      </c>
      <c r="D39" s="123">
        <f>'App.2-JB OM&amp;A Cost Drivers'!C49</f>
        <v>44918464.31000001</v>
      </c>
      <c r="E39" s="123">
        <f>'App.2-JB OM&amp;A Cost Drivers'!D49</f>
        <v>46662196.330000013</v>
      </c>
      <c r="F39" s="123">
        <f>'App.2-JB OM&amp;A Cost Drivers'!E49</f>
        <v>53600375.600000031</v>
      </c>
      <c r="G39" s="123">
        <f>'App.2-JB OM&amp;A Cost Drivers'!F49</f>
        <v>61025229.940000013</v>
      </c>
      <c r="H39" s="123">
        <f>'App.2-JB OM&amp;A Cost Drivers'!G49</f>
        <v>64091179.007011503</v>
      </c>
      <c r="I39" s="123">
        <f>'App.2-JB OM&amp;A Cost Drivers'!H49</f>
        <v>80865585.624797389</v>
      </c>
      <c r="J39" s="123">
        <f>'App.2-JB OM&amp;A Cost Drivers'!I49</f>
        <v>87466666.428201079</v>
      </c>
      <c r="K39" s="123">
        <f>'App.2-JB OM&amp;A Cost Drivers'!J49</f>
        <v>89431855.175251231</v>
      </c>
      <c r="L39" s="123">
        <f>'App.2-JB OM&amp;A Cost Drivers'!K49</f>
        <v>91337642.187357768</v>
      </c>
      <c r="M39" s="123">
        <f>'App.2-JB OM&amp;A Cost Drivers'!L49</f>
        <v>93763345.70621033</v>
      </c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</row>
    <row r="40" spans="1:39" x14ac:dyDescent="0.35">
      <c r="A40" s="75" t="s">
        <v>58</v>
      </c>
      <c r="B40" s="123">
        <f>'App2.-JC OM&amp;A Programs'!B50</f>
        <v>42304136.459999993</v>
      </c>
      <c r="C40" s="123">
        <f>'App2.-JC OM&amp;A Programs'!C50</f>
        <v>42915708.359999999</v>
      </c>
      <c r="D40" s="123">
        <f>'App2.-JC OM&amp;A Programs'!D50</f>
        <v>44918464.310000002</v>
      </c>
      <c r="E40" s="123">
        <f>'App2.-JC OM&amp;A Programs'!E50</f>
        <v>46662196.330000006</v>
      </c>
      <c r="F40" s="123">
        <f>'App2.-JC OM&amp;A Programs'!F50</f>
        <v>53600375.600000009</v>
      </c>
      <c r="G40" s="123">
        <f>'App2.-JC OM&amp;A Programs'!G50</f>
        <v>61025230.939999998</v>
      </c>
      <c r="H40" s="123">
        <f>'App2.-JC OM&amp;A Programs'!H50</f>
        <v>64091179.007011496</v>
      </c>
      <c r="I40" s="123">
        <f>'App2.-JC OM&amp;A Programs'!I50</f>
        <v>80865585.624797389</v>
      </c>
      <c r="J40" s="123">
        <f>'App2.-JC OM&amp;A Programs'!J50</f>
        <v>87466666.42820102</v>
      </c>
      <c r="K40" s="123">
        <f>'App2.-JC OM&amp;A Programs'!K50</f>
        <v>89431855.175251186</v>
      </c>
      <c r="L40" s="123">
        <f>'App2.-JC OM&amp;A Programs'!L50</f>
        <v>91337642.187357724</v>
      </c>
      <c r="M40" s="123">
        <f>'App2.-JC OM&amp;A Programs'!M50</f>
        <v>93763345.706210285</v>
      </c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</row>
    <row r="41" spans="1:39" x14ac:dyDescent="0.35">
      <c r="A41" s="76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</row>
    <row r="42" spans="1:39" x14ac:dyDescent="0.35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</row>
    <row r="43" spans="1:39" x14ac:dyDescent="0.35">
      <c r="A43" s="78" t="s">
        <v>59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</row>
    <row r="44" spans="1:39" x14ac:dyDescent="0.35">
      <c r="A44" s="78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</row>
    <row r="45" spans="1:39" x14ac:dyDescent="0.35">
      <c r="A45" s="80" t="s">
        <v>60</v>
      </c>
      <c r="B45" s="81"/>
      <c r="C45" s="81"/>
      <c r="D45" s="81"/>
      <c r="E45" s="81"/>
      <c r="F45" s="81"/>
      <c r="G45" s="81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</row>
    <row r="46" spans="1:39" x14ac:dyDescent="0.35">
      <c r="A46" s="80" t="s">
        <v>61</v>
      </c>
      <c r="B46" s="81"/>
      <c r="C46" s="81"/>
      <c r="D46" s="81"/>
      <c r="E46" s="81"/>
      <c r="F46" s="81"/>
      <c r="G46" s="81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</row>
    <row r="47" spans="1:39" x14ac:dyDescent="0.35">
      <c r="A47" s="80" t="s">
        <v>62</v>
      </c>
      <c r="B47" s="81"/>
      <c r="C47" s="81"/>
      <c r="D47" s="81"/>
      <c r="E47" s="81"/>
      <c r="F47" s="81"/>
      <c r="G47" s="81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</row>
    <row r="48" spans="1:39" x14ac:dyDescent="0.35">
      <c r="A48" s="80" t="s">
        <v>63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</row>
    <row r="49" spans="1:39" ht="14.65" customHeight="1" x14ac:dyDescent="0.35">
      <c r="A49" s="188" t="s">
        <v>64</v>
      </c>
      <c r="B49" s="188"/>
      <c r="C49" s="188"/>
      <c r="D49" s="188"/>
      <c r="E49" s="188"/>
      <c r="F49" s="188"/>
      <c r="G49" s="188"/>
      <c r="H49" s="188"/>
      <c r="I49" s="79"/>
      <c r="J49" s="79"/>
      <c r="K49" s="79"/>
      <c r="L49" s="79"/>
      <c r="M49" s="79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</row>
    <row r="50" spans="1:39" ht="22.15" customHeight="1" x14ac:dyDescent="0.35">
      <c r="A50" s="188"/>
      <c r="B50" s="188"/>
      <c r="C50" s="188"/>
      <c r="D50" s="188"/>
      <c r="E50" s="188"/>
      <c r="F50" s="188"/>
      <c r="G50" s="188"/>
      <c r="H50" s="188"/>
      <c r="I50" s="79"/>
      <c r="J50" s="79"/>
      <c r="K50" s="79"/>
      <c r="L50" s="79"/>
      <c r="M50" s="79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</row>
    <row r="51" spans="1:39" x14ac:dyDescent="0.35">
      <c r="A51" s="186" t="s">
        <v>65</v>
      </c>
      <c r="B51" s="186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</row>
    <row r="52" spans="1:39" x14ac:dyDescent="0.35">
      <c r="A52" s="80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</row>
    <row r="53" spans="1:39" x14ac:dyDescent="0.35">
      <c r="A53" s="80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</row>
    <row r="54" spans="1:39" x14ac:dyDescent="0.3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</row>
    <row r="55" spans="1:39" x14ac:dyDescent="0.3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</row>
    <row r="56" spans="1:39" x14ac:dyDescent="0.3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</row>
    <row r="57" spans="1:39" x14ac:dyDescent="0.3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</row>
    <row r="58" spans="1:39" x14ac:dyDescent="0.3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</row>
    <row r="59" spans="1:39" x14ac:dyDescent="0.3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</row>
    <row r="60" spans="1:39" x14ac:dyDescent="0.3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</row>
    <row r="61" spans="1:39" x14ac:dyDescent="0.3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</row>
    <row r="62" spans="1:39" x14ac:dyDescent="0.3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</row>
    <row r="63" spans="1:39" x14ac:dyDescent="0.3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</row>
    <row r="64" spans="1:39" x14ac:dyDescent="0.3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</row>
    <row r="65" spans="1:39" x14ac:dyDescent="0.3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</row>
    <row r="66" spans="1:39" x14ac:dyDescent="0.3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</row>
    <row r="67" spans="1:39" x14ac:dyDescent="0.3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</row>
    <row r="68" spans="1:39" x14ac:dyDescent="0.3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</row>
    <row r="69" spans="1:39" x14ac:dyDescent="0.3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</row>
    <row r="70" spans="1:39" x14ac:dyDescent="0.3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</row>
    <row r="71" spans="1:39" x14ac:dyDescent="0.3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</row>
    <row r="72" spans="1:39" x14ac:dyDescent="0.3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</row>
    <row r="73" spans="1:39" x14ac:dyDescent="0.3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</row>
    <row r="74" spans="1:39" x14ac:dyDescent="0.3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</row>
    <row r="75" spans="1:39" x14ac:dyDescent="0.3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</row>
    <row r="76" spans="1:39" x14ac:dyDescent="0.3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</row>
    <row r="77" spans="1:39" x14ac:dyDescent="0.3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</row>
    <row r="78" spans="1:39" x14ac:dyDescent="0.3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</row>
    <row r="79" spans="1:39" x14ac:dyDescent="0.3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</row>
    <row r="80" spans="1:39" x14ac:dyDescent="0.3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</row>
    <row r="81" spans="1:39" x14ac:dyDescent="0.3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</row>
    <row r="82" spans="1:39" x14ac:dyDescent="0.3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</row>
    <row r="83" spans="1:39" x14ac:dyDescent="0.3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</row>
    <row r="84" spans="1:39" x14ac:dyDescent="0.3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</row>
    <row r="85" spans="1:39" x14ac:dyDescent="0.3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</row>
    <row r="86" spans="1:39" x14ac:dyDescent="0.3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</row>
    <row r="87" spans="1:39" x14ac:dyDescent="0.3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</row>
    <row r="88" spans="1:39" x14ac:dyDescent="0.3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</row>
    <row r="89" spans="1:39" x14ac:dyDescent="0.3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</row>
    <row r="90" spans="1:39" x14ac:dyDescent="0.3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</row>
    <row r="91" spans="1:39" x14ac:dyDescent="0.3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</row>
    <row r="92" spans="1:39" x14ac:dyDescent="0.3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</row>
    <row r="93" spans="1:39" x14ac:dyDescent="0.3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</row>
    <row r="94" spans="1:39" x14ac:dyDescent="0.3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</row>
    <row r="95" spans="1:39" x14ac:dyDescent="0.3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</row>
    <row r="96" spans="1:39" x14ac:dyDescent="0.3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</row>
    <row r="97" spans="1:39" x14ac:dyDescent="0.3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</row>
    <row r="98" spans="1:39" x14ac:dyDescent="0.3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</row>
    <row r="99" spans="1:39" x14ac:dyDescent="0.3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</row>
    <row r="100" spans="1:39" x14ac:dyDescent="0.35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</row>
    <row r="101" spans="1:39" x14ac:dyDescent="0.3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</row>
    <row r="102" spans="1:39" x14ac:dyDescent="0.3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</row>
    <row r="103" spans="1:39" x14ac:dyDescent="0.3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</row>
    <row r="104" spans="1:39" x14ac:dyDescent="0.3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</row>
    <row r="105" spans="1:39" x14ac:dyDescent="0.3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</row>
    <row r="106" spans="1:39" x14ac:dyDescent="0.35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</row>
    <row r="107" spans="1:39" x14ac:dyDescent="0.3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</row>
    <row r="108" spans="1:39" x14ac:dyDescent="0.35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</row>
    <row r="109" spans="1:39" x14ac:dyDescent="0.3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</row>
    <row r="110" spans="1:39" x14ac:dyDescent="0.3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</row>
    <row r="111" spans="1:39" x14ac:dyDescent="0.3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</row>
    <row r="112" spans="1:39" x14ac:dyDescent="0.3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</row>
    <row r="113" spans="1:39" x14ac:dyDescent="0.3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</row>
    <row r="114" spans="1:39" x14ac:dyDescent="0.3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</row>
    <row r="115" spans="1:39" x14ac:dyDescent="0.3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</row>
    <row r="116" spans="1:39" x14ac:dyDescent="0.3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</row>
  </sheetData>
  <mergeCells count="5">
    <mergeCell ref="A51:B51"/>
    <mergeCell ref="A9:G9"/>
    <mergeCell ref="A10:G10"/>
    <mergeCell ref="A49:H50"/>
    <mergeCell ref="N12:O12"/>
  </mergeCells>
  <dataValidations count="3">
    <dataValidation allowBlank="1" showInputMessage="1" showErrorMessage="1" promptTitle="Date Format" prompt="E.g:  &quot;August 1, 2011&quot;" sqref="H7:M7" xr:uid="{013E085B-4A41-4A01-BB2C-3BD234FF16C5}"/>
    <dataValidation type="list" allowBlank="1" showInputMessage="1" showErrorMessage="1" sqref="A6" xr:uid="{072F6AD6-413C-4BD0-98CE-98534B2F8E85}">
      <formula1>"Yes,No"</formula1>
    </dataValidation>
    <dataValidation type="list" allowBlank="1" showInputMessage="1" showErrorMessage="1" sqref="B13:M13" xr:uid="{DCED8F83-8A7F-4B70-9877-8A318389E3B1}">
      <formula1>"CGAAP, MIFRS, USGAAP, ASPE"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0E2CA-A183-497B-AD87-0F47AECDF37B}">
  <dimension ref="A1:V61"/>
  <sheetViews>
    <sheetView topLeftCell="A28" workbookViewId="0">
      <selection activeCell="B59" sqref="B59"/>
    </sheetView>
  </sheetViews>
  <sheetFormatPr defaultColWidth="9.453125" defaultRowHeight="14.5" x14ac:dyDescent="0.35"/>
  <cols>
    <col min="1" max="1" width="32.54296875" style="82" customWidth="1"/>
    <col min="2" max="16" width="17.54296875" style="82" customWidth="1"/>
    <col min="17" max="17" width="17.453125" style="82" customWidth="1"/>
    <col min="18" max="22" width="17.54296875" style="82" customWidth="1"/>
    <col min="23" max="16384" width="9.453125" style="82"/>
  </cols>
  <sheetData>
    <row r="1" spans="1:22" x14ac:dyDescent="0.35">
      <c r="F1" s="83" t="s">
        <v>0</v>
      </c>
      <c r="G1" s="3" t="s">
        <v>1</v>
      </c>
      <c r="P1" s="83" t="s">
        <v>0</v>
      </c>
      <c r="Q1" s="3" t="s">
        <v>1</v>
      </c>
    </row>
    <row r="2" spans="1:22" x14ac:dyDescent="0.35">
      <c r="F2" s="83" t="s">
        <v>4</v>
      </c>
      <c r="G2" s="133"/>
      <c r="P2" s="83" t="s">
        <v>4</v>
      </c>
      <c r="Q2" s="133">
        <v>4</v>
      </c>
    </row>
    <row r="3" spans="1:22" x14ac:dyDescent="0.35">
      <c r="F3" s="83" t="s">
        <v>6</v>
      </c>
      <c r="G3" s="133"/>
      <c r="P3" s="83" t="s">
        <v>6</v>
      </c>
      <c r="Q3" s="133">
        <v>1</v>
      </c>
    </row>
    <row r="4" spans="1:22" x14ac:dyDescent="0.35">
      <c r="F4" s="83" t="s">
        <v>8</v>
      </c>
      <c r="G4" s="133"/>
      <c r="P4" s="83" t="s">
        <v>8</v>
      </c>
      <c r="Q4" s="133">
        <v>1</v>
      </c>
    </row>
    <row r="5" spans="1:22" x14ac:dyDescent="0.35">
      <c r="F5" s="83" t="s">
        <v>11</v>
      </c>
      <c r="G5" s="134"/>
      <c r="P5" s="83" t="s">
        <v>11</v>
      </c>
      <c r="Q5" s="134"/>
    </row>
    <row r="6" spans="1:22" x14ac:dyDescent="0.35">
      <c r="F6" s="83"/>
      <c r="G6" s="84"/>
      <c r="P6" s="83"/>
      <c r="Q6" s="3"/>
    </row>
    <row r="7" spans="1:22" x14ac:dyDescent="0.35">
      <c r="F7" s="83" t="s">
        <v>15</v>
      </c>
      <c r="G7" s="166">
        <v>46150</v>
      </c>
      <c r="P7" s="83" t="s">
        <v>15</v>
      </c>
      <c r="Q7" s="135">
        <v>46150</v>
      </c>
    </row>
    <row r="10" spans="1:22" ht="18" x14ac:dyDescent="0.4">
      <c r="A10" s="190" t="s">
        <v>66</v>
      </c>
      <c r="B10" s="190"/>
      <c r="C10" s="190"/>
      <c r="D10" s="190"/>
      <c r="E10" s="190"/>
      <c r="F10" s="190"/>
      <c r="G10" s="100"/>
      <c r="H10" s="100"/>
      <c r="I10" s="100"/>
      <c r="J10" s="100"/>
      <c r="K10" s="100"/>
      <c r="L10" s="100"/>
      <c r="M10" s="100"/>
      <c r="N10" s="100"/>
      <c r="O10" s="100"/>
      <c r="P10" s="100"/>
    </row>
    <row r="11" spans="1:22" ht="18.5" thickBot="1" x14ac:dyDescent="0.45">
      <c r="A11" s="190" t="str">
        <f>"Recoverable OM&amp;A Cost Driver Table" &amp; CHAR(185)</f>
        <v>Recoverable OM&amp;A Cost Driver Table¹</v>
      </c>
      <c r="B11" s="190"/>
      <c r="C11" s="190"/>
      <c r="D11" s="190"/>
      <c r="E11" s="190"/>
      <c r="F11" s="190"/>
      <c r="G11" s="100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1:22" s="86" customFormat="1" ht="13" hidden="1" thickBot="1" x14ac:dyDescent="0.3">
      <c r="A12" s="85"/>
      <c r="B12" s="85">
        <f t="shared" ref="B12:O12" si="0">C12-1</f>
        <v>2011</v>
      </c>
      <c r="C12" s="85">
        <f t="shared" si="0"/>
        <v>2012</v>
      </c>
      <c r="D12" s="85">
        <f t="shared" si="0"/>
        <v>2013</v>
      </c>
      <c r="E12" s="85">
        <f t="shared" si="0"/>
        <v>2014</v>
      </c>
      <c r="F12" s="85">
        <f t="shared" si="0"/>
        <v>2015</v>
      </c>
      <c r="G12" s="85">
        <f t="shared" si="0"/>
        <v>2016</v>
      </c>
      <c r="H12" s="85">
        <f t="shared" si="0"/>
        <v>2017</v>
      </c>
      <c r="I12" s="85">
        <f t="shared" si="0"/>
        <v>2018</v>
      </c>
      <c r="J12" s="85">
        <f t="shared" si="0"/>
        <v>2019</v>
      </c>
      <c r="K12" s="85">
        <f t="shared" si="0"/>
        <v>2020</v>
      </c>
      <c r="L12" s="85">
        <f t="shared" si="0"/>
        <v>2021</v>
      </c>
      <c r="M12" s="85">
        <f t="shared" si="0"/>
        <v>2022</v>
      </c>
      <c r="N12" s="85">
        <f t="shared" si="0"/>
        <v>2023</v>
      </c>
      <c r="O12" s="85">
        <f t="shared" si="0"/>
        <v>2024</v>
      </c>
      <c r="P12" s="85">
        <f>Q12-1</f>
        <v>2025</v>
      </c>
      <c r="Q12" s="85">
        <f>TestYear</f>
        <v>2026</v>
      </c>
      <c r="R12" s="85">
        <v>2027</v>
      </c>
      <c r="S12" s="85">
        <v>2028</v>
      </c>
      <c r="T12" s="85">
        <v>2029</v>
      </c>
      <c r="U12" s="85">
        <v>2030</v>
      </c>
      <c r="V12" s="85">
        <v>2031</v>
      </c>
    </row>
    <row r="13" spans="1:22" ht="15" thickBot="1" x14ac:dyDescent="0.4">
      <c r="A13" s="87" t="s">
        <v>67</v>
      </c>
      <c r="B13" s="13" t="str">
        <f>BridgeYear -4 &amp; " Actuals"</f>
        <v>2021 Actuals</v>
      </c>
      <c r="C13" s="13" t="str">
        <f>BridgeYear -3 &amp; " Actuals"</f>
        <v>2022 Actuals</v>
      </c>
      <c r="D13" s="13" t="str">
        <f>BridgeYear -2 &amp; " Actuals"</f>
        <v>2023 Actuals</v>
      </c>
      <c r="E13" s="13" t="str">
        <f>BridgeYear -1 &amp; " Actuals"</f>
        <v>2024 Actuals</v>
      </c>
      <c r="F13" s="105" t="s">
        <v>21</v>
      </c>
      <c r="G13" s="13" t="str">
        <f>TestYear &amp; " Bridge Year"</f>
        <v>2026 Bridge Year</v>
      </c>
      <c r="H13" s="13" t="str">
        <f>R12 &amp; " Test Year"</f>
        <v>2027 Test Year</v>
      </c>
      <c r="I13" s="13">
        <f>S12</f>
        <v>2028</v>
      </c>
      <c r="J13" s="13">
        <f>T12</f>
        <v>2029</v>
      </c>
      <c r="K13" s="13">
        <f>U12</f>
        <v>2030</v>
      </c>
      <c r="L13" s="14">
        <f>V12</f>
        <v>2031</v>
      </c>
    </row>
    <row r="14" spans="1:22" ht="15" thickBot="1" x14ac:dyDescent="0.4">
      <c r="A14" s="88" t="s">
        <v>28</v>
      </c>
      <c r="B14" s="143" t="s">
        <v>29</v>
      </c>
      <c r="C14" s="143" t="s">
        <v>29</v>
      </c>
      <c r="D14" s="143" t="s">
        <v>29</v>
      </c>
      <c r="E14" s="143" t="s">
        <v>29</v>
      </c>
      <c r="F14" s="143" t="s">
        <v>29</v>
      </c>
      <c r="G14" s="143" t="s">
        <v>29</v>
      </c>
      <c r="H14" s="143" t="s">
        <v>29</v>
      </c>
      <c r="I14" s="143" t="s">
        <v>29</v>
      </c>
      <c r="J14" s="143" t="s">
        <v>29</v>
      </c>
      <c r="K14" s="143" t="s">
        <v>29</v>
      </c>
      <c r="L14" s="144" t="s">
        <v>29</v>
      </c>
      <c r="M14" s="89"/>
    </row>
    <row r="15" spans="1:22" x14ac:dyDescent="0.35">
      <c r="A15" s="90" t="s">
        <v>68</v>
      </c>
      <c r="B15" s="91">
        <f>'App2.-JC OM&amp;A Programs'!B50</f>
        <v>42304136.459999993</v>
      </c>
      <c r="C15" s="91">
        <f t="shared" ref="C15:G15" si="1">B49</f>
        <v>42915708.359999999</v>
      </c>
      <c r="D15" s="91">
        <f t="shared" si="1"/>
        <v>44918464.31000001</v>
      </c>
      <c r="E15" s="91">
        <f t="shared" si="1"/>
        <v>46662196.330000013</v>
      </c>
      <c r="F15" s="91">
        <f t="shared" si="1"/>
        <v>53600375.600000031</v>
      </c>
      <c r="G15" s="91">
        <f t="shared" si="1"/>
        <v>61025229.940000013</v>
      </c>
      <c r="H15" s="91">
        <f>G49</f>
        <v>64091179.007011503</v>
      </c>
      <c r="I15" s="91">
        <f>H49</f>
        <v>80865585.624797389</v>
      </c>
      <c r="J15" s="91">
        <f>I49</f>
        <v>87466666.428201079</v>
      </c>
      <c r="K15" s="91">
        <f>J49</f>
        <v>89431855.175251231</v>
      </c>
      <c r="L15" s="92">
        <f>K49</f>
        <v>91337642.187357768</v>
      </c>
    </row>
    <row r="16" spans="1:22" x14ac:dyDescent="0.35">
      <c r="A16" s="129" t="s">
        <v>69</v>
      </c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1"/>
    </row>
    <row r="17" spans="1:12" x14ac:dyDescent="0.35">
      <c r="A17" s="128" t="s">
        <v>70</v>
      </c>
      <c r="B17" s="150">
        <f>'App2.-JC OM&amp;A Programs'!C16-'App2.-JC OM&amp;A Programs'!B16</f>
        <v>4882.2924211799982</v>
      </c>
      <c r="C17" s="150">
        <f>'App2.-JC OM&amp;A Programs'!D16-'App2.-JC OM&amp;A Programs'!C16</f>
        <v>105132.83689711004</v>
      </c>
      <c r="D17" s="150">
        <f>'App2.-JC OM&amp;A Programs'!E16-'App2.-JC OM&amp;A Programs'!D16</f>
        <v>-99933.84151199006</v>
      </c>
      <c r="E17" s="150">
        <f>'App2.-JC OM&amp;A Programs'!F16-'App2.-JC OM&amp;A Programs'!E16</f>
        <v>489011.00379320991</v>
      </c>
      <c r="F17" s="150">
        <f>'App2.-JC OM&amp;A Programs'!G16-'App2.-JC OM&amp;A Programs'!F16</f>
        <v>340003.75429391011</v>
      </c>
      <c r="G17" s="150">
        <f>'App2.-JC OM&amp;A Programs'!H16-'App2.-JC OM&amp;A Programs'!G16</f>
        <v>-175197.44552190998</v>
      </c>
      <c r="H17" s="150">
        <f>'App2.-JC OM&amp;A Programs'!I16-'App2.-JC OM&amp;A Programs'!H16</f>
        <v>409065.97921070992</v>
      </c>
      <c r="I17" s="150">
        <f>'App2.-JC OM&amp;A Programs'!J16-'App2.-JC OM&amp;A Programs'!I16</f>
        <v>143617.93527114019</v>
      </c>
      <c r="J17" s="150">
        <f>'App2.-JC OM&amp;A Programs'!K16-'App2.-JC OM&amp;A Programs'!J16</f>
        <v>59649.511649139924</v>
      </c>
      <c r="K17" s="150">
        <f>'App2.-JC OM&amp;A Programs'!L16-'App2.-JC OM&amp;A Programs'!K16</f>
        <v>85077.871899380349</v>
      </c>
      <c r="L17" s="151">
        <f>'App2.-JC OM&amp;A Programs'!M16-'App2.-JC OM&amp;A Programs'!L16</f>
        <v>39086.074743849691</v>
      </c>
    </row>
    <row r="18" spans="1:12" x14ac:dyDescent="0.35">
      <c r="A18" s="128" t="s">
        <v>71</v>
      </c>
      <c r="B18" s="150">
        <f>'App2.-JC OM&amp;A Programs'!C17-'App2.-JC OM&amp;A Programs'!B17</f>
        <v>57440.997578819981</v>
      </c>
      <c r="C18" s="150">
        <f>'App2.-JC OM&amp;A Programs'!D17-'App2.-JC OM&amp;A Programs'!C17</f>
        <v>-129395.07565965015</v>
      </c>
      <c r="D18" s="150">
        <f>'App2.-JC OM&amp;A Programs'!E17-'App2.-JC OM&amp;A Programs'!D17</f>
        <v>-114152.13752243994</v>
      </c>
      <c r="E18" s="150">
        <f>'App2.-JC OM&amp;A Programs'!F17-'App2.-JC OM&amp;A Programs'!E17</f>
        <v>68068.37686869991</v>
      </c>
      <c r="F18" s="150">
        <f>'App2.-JC OM&amp;A Programs'!G17-'App2.-JC OM&amp;A Programs'!F17</f>
        <v>102068.67284115008</v>
      </c>
      <c r="G18" s="150">
        <f>'App2.-JC OM&amp;A Programs'!H17-'App2.-JC OM&amp;A Programs'!G17</f>
        <v>-99225.607994189952</v>
      </c>
      <c r="H18" s="150">
        <f>'App2.-JC OM&amp;A Programs'!I17-'App2.-JC OM&amp;A Programs'!H17</f>
        <v>187127.4974911199</v>
      </c>
      <c r="I18" s="150">
        <f>'App2.-JC OM&amp;A Programs'!J17-'App2.-JC OM&amp;A Programs'!I17</f>
        <v>92881.47592278989</v>
      </c>
      <c r="J18" s="150">
        <f>'App2.-JC OM&amp;A Programs'!K17-'App2.-JC OM&amp;A Programs'!J17</f>
        <v>58635.923201950034</v>
      </c>
      <c r="K18" s="150">
        <f>'App2.-JC OM&amp;A Programs'!L17-'App2.-JC OM&amp;A Programs'!K17</f>
        <v>31836.023922800086</v>
      </c>
      <c r="L18" s="151">
        <f>'App2.-JC OM&amp;A Programs'!M17-'App2.-JC OM&amp;A Programs'!L17</f>
        <v>29117.003954200074</v>
      </c>
    </row>
    <row r="19" spans="1:12" x14ac:dyDescent="0.35">
      <c r="A19" s="129" t="s">
        <v>72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1"/>
    </row>
    <row r="20" spans="1:12" x14ac:dyDescent="0.35">
      <c r="A20" s="128" t="s">
        <v>73</v>
      </c>
      <c r="B20" s="150">
        <f>'App2.-JC OM&amp;A Programs'!C20-'App2.-JC OM&amp;A Programs'!B20</f>
        <v>183554.7241633099</v>
      </c>
      <c r="C20" s="150">
        <f>'App2.-JC OM&amp;A Programs'!D20-'App2.-JC OM&amp;A Programs'!C20</f>
        <v>238777.13456610078</v>
      </c>
      <c r="D20" s="150">
        <f>'App2.-JC OM&amp;A Programs'!E20-'App2.-JC OM&amp;A Programs'!D20</f>
        <v>-207134.59501352045</v>
      </c>
      <c r="E20" s="150">
        <f>'App2.-JC OM&amp;A Programs'!F20-'App2.-JC OM&amp;A Programs'!E20</f>
        <v>413584.29156900966</v>
      </c>
      <c r="F20" s="150">
        <f>'App2.-JC OM&amp;A Programs'!G20-'App2.-JC OM&amp;A Programs'!F20</f>
        <v>366163.72767746029</v>
      </c>
      <c r="G20" s="150">
        <f>'App2.-JC OM&amp;A Programs'!H20-'App2.-JC OM&amp;A Programs'!G20</f>
        <v>2399643</v>
      </c>
      <c r="H20" s="150">
        <f>'App2.-JC OM&amp;A Programs'!I20-'App2.-JC OM&amp;A Programs'!H20</f>
        <v>852185</v>
      </c>
      <c r="I20" s="150">
        <f>'App2.-JC OM&amp;A Programs'!J20-'App2.-JC OM&amp;A Programs'!I20</f>
        <v>-18579</v>
      </c>
      <c r="J20" s="150">
        <f>'App2.-JC OM&amp;A Programs'!K20-'App2.-JC OM&amp;A Programs'!J20</f>
        <v>185385</v>
      </c>
      <c r="K20" s="150">
        <f>'App2.-JC OM&amp;A Programs'!L20-'App2.-JC OM&amp;A Programs'!K20</f>
        <v>-453967</v>
      </c>
      <c r="L20" s="151">
        <f>'App2.-JC OM&amp;A Programs'!M20-'App2.-JC OM&amp;A Programs'!L20</f>
        <v>106055</v>
      </c>
    </row>
    <row r="21" spans="1:12" x14ac:dyDescent="0.35">
      <c r="A21" s="128" t="s">
        <v>74</v>
      </c>
      <c r="B21" s="150">
        <f>'App2.-JC OM&amp;A Programs'!C21-'App2.-JC OM&amp;A Programs'!B21</f>
        <v>396708.99583671847</v>
      </c>
      <c r="C21" s="150">
        <f>'App2.-JC OM&amp;A Programs'!D21-'App2.-JC OM&amp;A Programs'!C21</f>
        <v>5940.0054339007474</v>
      </c>
      <c r="D21" s="150">
        <f>'App2.-JC OM&amp;A Programs'!E21-'App2.-JC OM&amp;A Programs'!D21</f>
        <v>-192064.00023230026</v>
      </c>
      <c r="E21" s="150">
        <f>'App2.-JC OM&amp;A Programs'!F21-'App2.-JC OM&amp;A Programs'!E21</f>
        <v>72023.754799949937</v>
      </c>
      <c r="F21" s="150">
        <f>'App2.-JC OM&amp;A Programs'!G21-'App2.-JC OM&amp;A Programs'!F21</f>
        <v>194085.51119940076</v>
      </c>
      <c r="G21" s="150">
        <f>'App2.-JC OM&amp;A Programs'!H21-'App2.-JC OM&amp;A Programs'!G21</f>
        <v>-27881</v>
      </c>
      <c r="H21" s="150">
        <f>'App2.-JC OM&amp;A Programs'!I21-'App2.-JC OM&amp;A Programs'!H21</f>
        <v>187186</v>
      </c>
      <c r="I21" s="150">
        <f>'App2.-JC OM&amp;A Programs'!J21-'App2.-JC OM&amp;A Programs'!I21</f>
        <v>183484</v>
      </c>
      <c r="J21" s="150">
        <f>'App2.-JC OM&amp;A Programs'!K21-'App2.-JC OM&amp;A Programs'!J21</f>
        <v>79038</v>
      </c>
      <c r="K21" s="150">
        <f>'App2.-JC OM&amp;A Programs'!L21-'App2.-JC OM&amp;A Programs'!K21</f>
        <v>99695</v>
      </c>
      <c r="L21" s="151">
        <f>'App2.-JC OM&amp;A Programs'!M21-'App2.-JC OM&amp;A Programs'!L21</f>
        <v>84916</v>
      </c>
    </row>
    <row r="22" spans="1:12" x14ac:dyDescent="0.35">
      <c r="A22" s="129" t="s">
        <v>75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1"/>
    </row>
    <row r="23" spans="1:12" x14ac:dyDescent="0.35">
      <c r="A23" s="128" t="s">
        <v>76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1"/>
    </row>
    <row r="24" spans="1:12" x14ac:dyDescent="0.35">
      <c r="A24" s="128" t="s">
        <v>77</v>
      </c>
      <c r="B24" s="150">
        <f>'App2.-JC OM&amp;A Programs'!C25-'App2.-JC OM&amp;A Programs'!B25</f>
        <v>-1501872.6000719704</v>
      </c>
      <c r="C24" s="150">
        <f>'App2.-JC OM&amp;A Programs'!D25-'App2.-JC OM&amp;A Programs'!C25</f>
        <v>192905.32962601958</v>
      </c>
      <c r="D24" s="150">
        <f>'App2.-JC OM&amp;A Programs'!E25-'App2.-JC OM&amp;A Programs'!D25</f>
        <v>-277570.52972867014</v>
      </c>
      <c r="E24" s="150">
        <f>'App2.-JC OM&amp;A Programs'!F25-'App2.-JC OM&amp;A Programs'!E25</f>
        <v>564424.94529313082</v>
      </c>
      <c r="F24" s="150">
        <f>'App2.-JC OM&amp;A Programs'!G25-'App2.-JC OM&amp;A Programs'!F25</f>
        <v>1951111.2948095198</v>
      </c>
      <c r="G24" s="150">
        <f>'App2.-JC OM&amp;A Programs'!H25-'App2.-JC OM&amp;A Programs'!G25</f>
        <v>-1370936.3091052407</v>
      </c>
      <c r="H24" s="150">
        <f>'App2.-JC OM&amp;A Programs'!I25-'App2.-JC OM&amp;A Programs'!H25</f>
        <v>593958.24024816044</v>
      </c>
      <c r="I24" s="150">
        <f>'App2.-JC OM&amp;A Programs'!J25-'App2.-JC OM&amp;A Programs'!I25</f>
        <v>954267.65857404098</v>
      </c>
      <c r="J24" s="150">
        <f>'App2.-JC OM&amp;A Programs'!K25-'App2.-JC OM&amp;A Programs'!J25</f>
        <v>-174429.9254754195</v>
      </c>
      <c r="K24" s="150">
        <f>'App2.-JC OM&amp;A Programs'!L25-'App2.-JC OM&amp;A Programs'!K25</f>
        <v>150619.47382712737</v>
      </c>
      <c r="L24" s="151">
        <f>'App2.-JC OM&amp;A Programs'!M25-'App2.-JC OM&amp;A Programs'!L25</f>
        <v>117599.1321324911</v>
      </c>
    </row>
    <row r="25" spans="1:12" x14ac:dyDescent="0.35">
      <c r="A25" s="128" t="s">
        <v>78</v>
      </c>
      <c r="B25" s="150">
        <f>'App2.-JC OM&amp;A Programs'!C26-'App2.-JC OM&amp;A Programs'!B26</f>
        <v>64024.620000000228</v>
      </c>
      <c r="C25" s="150">
        <f>'App2.-JC OM&amp;A Programs'!D26-'App2.-JC OM&amp;A Programs'!C26</f>
        <v>-136221.42359083996</v>
      </c>
      <c r="D25" s="150">
        <f>'App2.-JC OM&amp;A Programs'!E26-'App2.-JC OM&amp;A Programs'!D26</f>
        <v>145336.8518241999</v>
      </c>
      <c r="E25" s="150">
        <f>'App2.-JC OM&amp;A Programs'!F26-'App2.-JC OM&amp;A Programs'!E26</f>
        <v>3439346.4473002194</v>
      </c>
      <c r="F25" s="150">
        <f>'App2.-JC OM&amp;A Programs'!G26-'App2.-JC OM&amp;A Programs'!F26</f>
        <v>-3018963.4855335793</v>
      </c>
      <c r="G25" s="150">
        <f>'App2.-JC OM&amp;A Programs'!H26-'App2.-JC OM&amp;A Programs'!G26</f>
        <v>425124.0396857101</v>
      </c>
      <c r="H25" s="150">
        <f>'App2.-JC OM&amp;A Programs'!I26-'App2.-JC OM&amp;A Programs'!H26</f>
        <v>405606.8325725093</v>
      </c>
      <c r="I25" s="150">
        <f>'App2.-JC OM&amp;A Programs'!J26-'App2.-JC OM&amp;A Programs'!I26</f>
        <v>54188.377268560231</v>
      </c>
      <c r="J25" s="150">
        <f>'App2.-JC OM&amp;A Programs'!K26-'App2.-JC OM&amp;A Programs'!J26</f>
        <v>95161.233525881078</v>
      </c>
      <c r="K25" s="150">
        <f>'App2.-JC OM&amp;A Programs'!L26-'App2.-JC OM&amp;A Programs'!K26</f>
        <v>158795.62858582893</v>
      </c>
      <c r="L25" s="151">
        <f>'App2.-JC OM&amp;A Programs'!M26-'App2.-JC OM&amp;A Programs'!L26</f>
        <v>53839.789625169244</v>
      </c>
    </row>
    <row r="26" spans="1:12" x14ac:dyDescent="0.35">
      <c r="A26" s="128" t="s">
        <v>79</v>
      </c>
      <c r="B26" s="150">
        <f>'App2.-JC OM&amp;A Programs'!C27-'App2.-JC OM&amp;A Programs'!B27</f>
        <v>37418.629999999655</v>
      </c>
      <c r="C26" s="150">
        <f>'App2.-JC OM&amp;A Programs'!D27-'App2.-JC OM&amp;A Programs'!C27</f>
        <v>84145.370000000345</v>
      </c>
      <c r="D26" s="150">
        <f>'App2.-JC OM&amp;A Programs'!E27-'App2.-JC OM&amp;A Programs'!D27</f>
        <v>537956.65999999968</v>
      </c>
      <c r="E26" s="150">
        <f>'App2.-JC OM&amp;A Programs'!F27-'App2.-JC OM&amp;A Programs'!E27</f>
        <v>106507.29370907973</v>
      </c>
      <c r="F26" s="150">
        <f>'App2.-JC OM&amp;A Programs'!G27-'App2.-JC OM&amp;A Programs'!F27</f>
        <v>1320055.1062909202</v>
      </c>
      <c r="G26" s="150">
        <f>'App2.-JC OM&amp;A Programs'!H27-'App2.-JC OM&amp;A Programs'!G27</f>
        <v>-1255305.0660057906</v>
      </c>
      <c r="H26" s="150">
        <f>'App2.-JC OM&amp;A Programs'!I27-'App2.-JC OM&amp;A Programs'!H27</f>
        <v>-162868.39079289977</v>
      </c>
      <c r="I26" s="150">
        <f>'App2.-JC OM&amp;A Programs'!J27-'App2.-JC OM&amp;A Programs'!I27</f>
        <v>89973.092071170453</v>
      </c>
      <c r="J26" s="150">
        <f>'App2.-JC OM&amp;A Programs'!K27-'App2.-JC OM&amp;A Programs'!J27</f>
        <v>54104.936726800632</v>
      </c>
      <c r="K26" s="150">
        <f>'App2.-JC OM&amp;A Programs'!L27-'App2.-JC OM&amp;A Programs'!K27</f>
        <v>63950.188172129914</v>
      </c>
      <c r="L26" s="151">
        <f>'App2.-JC OM&amp;A Programs'!M27-'App2.-JC OM&amp;A Programs'!L27</f>
        <v>58475.085934319068</v>
      </c>
    </row>
    <row r="27" spans="1:12" x14ac:dyDescent="0.35">
      <c r="A27" s="128" t="s">
        <v>80</v>
      </c>
      <c r="B27" s="150">
        <f>'App2.-JC OM&amp;A Programs'!C28-'App2.-JC OM&amp;A Programs'!B28</f>
        <v>285954.25999999954</v>
      </c>
      <c r="C27" s="150">
        <f>'App2.-JC OM&amp;A Programs'!D28-'App2.-JC OM&amp;A Programs'!C28</f>
        <v>-148443.91727263993</v>
      </c>
      <c r="D27" s="150">
        <f>'App2.-JC OM&amp;A Programs'!E28-'App2.-JC OM&amp;A Programs'!D28</f>
        <v>153103.78218472004</v>
      </c>
      <c r="E27" s="150">
        <f>'App2.-JC OM&amp;A Programs'!F28-'App2.-JC OM&amp;A Programs'!E28</f>
        <v>280147.83062153007</v>
      </c>
      <c r="F27" s="150">
        <f>'App2.-JC OM&amp;A Programs'!G28-'App2.-JC OM&amp;A Programs'!F28</f>
        <v>110841.04446639004</v>
      </c>
      <c r="G27" s="150">
        <f>'App2.-JC OM&amp;A Programs'!H28-'App2.-JC OM&amp;A Programs'!G28</f>
        <v>54256.3966327901</v>
      </c>
      <c r="H27" s="150">
        <f>'App2.-JC OM&amp;A Programs'!I28-'App2.-JC OM&amp;A Programs'!H28</f>
        <v>201404.24890343961</v>
      </c>
      <c r="I27" s="150">
        <f>'App2.-JC OM&amp;A Programs'!J28-'App2.-JC OM&amp;A Programs'!I28</f>
        <v>716207.84906366025</v>
      </c>
      <c r="J27" s="150">
        <f>'App2.-JC OM&amp;A Programs'!K28-'App2.-JC OM&amp;A Programs'!J28</f>
        <v>132152.97370706964</v>
      </c>
      <c r="K27" s="150">
        <f>'App2.-JC OM&amp;A Programs'!L28-'App2.-JC OM&amp;A Programs'!K28</f>
        <v>73490.105598660652</v>
      </c>
      <c r="L27" s="151">
        <f>'App2.-JC OM&amp;A Programs'!M28-'App2.-JC OM&amp;A Programs'!L28</f>
        <v>234870.40905296989</v>
      </c>
    </row>
    <row r="28" spans="1:12" x14ac:dyDescent="0.35">
      <c r="A28" s="128" t="s">
        <v>81</v>
      </c>
      <c r="B28" s="150">
        <f>'App2.-JC OM&amp;A Programs'!C29-'App2.-JC OM&amp;A Programs'!B29</f>
        <v>-123816.48999999999</v>
      </c>
      <c r="C28" s="150">
        <f>'App2.-JC OM&amp;A Programs'!D29-'App2.-JC OM&amp;A Programs'!C29</f>
        <v>137466.47999999998</v>
      </c>
      <c r="D28" s="150">
        <f>'App2.-JC OM&amp;A Programs'!E29-'App2.-JC OM&amp;A Programs'!D29</f>
        <v>439203.58000000007</v>
      </c>
      <c r="E28" s="150">
        <f>'App2.-JC OM&amp;A Programs'!F29-'App2.-JC OM&amp;A Programs'!E29</f>
        <v>203174.32000000007</v>
      </c>
      <c r="F28" s="150">
        <f>'App2.-JC OM&amp;A Programs'!G29-'App2.-JC OM&amp;A Programs'!F29</f>
        <v>324839.15999999992</v>
      </c>
      <c r="G28" s="150">
        <f>'App2.-JC OM&amp;A Programs'!H29-'App2.-JC OM&amp;A Programs'!G29</f>
        <v>-116761.04311313992</v>
      </c>
      <c r="H28" s="150">
        <f>'App2.-JC OM&amp;A Programs'!I29-'App2.-JC OM&amp;A Programs'!H29</f>
        <v>82624.591321200132</v>
      </c>
      <c r="I28" s="150">
        <f>'App2.-JC OM&amp;A Programs'!J29-'App2.-JC OM&amp;A Programs'!I29</f>
        <v>42396.932002339978</v>
      </c>
      <c r="J28" s="150">
        <f>'App2.-JC OM&amp;A Programs'!K29-'App2.-JC OM&amp;A Programs'!J29</f>
        <v>218964.08769588033</v>
      </c>
      <c r="K28" s="150">
        <f>'App2.-JC OM&amp;A Programs'!L29-'App2.-JC OM&amp;A Programs'!K29</f>
        <v>48797.018271299545</v>
      </c>
      <c r="L28" s="151">
        <f>'App2.-JC OM&amp;A Programs'!M29-'App2.-JC OM&amp;A Programs'!L29</f>
        <v>47727.328157119919</v>
      </c>
    </row>
    <row r="29" spans="1:12" x14ac:dyDescent="0.35">
      <c r="A29" s="129" t="s">
        <v>82</v>
      </c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1"/>
    </row>
    <row r="30" spans="1:12" x14ac:dyDescent="0.35">
      <c r="A30" s="128" t="s">
        <v>83</v>
      </c>
      <c r="B30" s="150">
        <f>'App2.-JC OM&amp;A Programs'!C32-'App2.-JC OM&amp;A Programs'!B32</f>
        <v>283123.38512904942</v>
      </c>
      <c r="C30" s="150">
        <f>'App2.-JC OM&amp;A Programs'!D32-'App2.-JC OM&amp;A Programs'!C32</f>
        <v>-14809.954193049576</v>
      </c>
      <c r="D30" s="150">
        <f>'App2.-JC OM&amp;A Programs'!E32-'App2.-JC OM&amp;A Programs'!D32</f>
        <v>-425834.70999999996</v>
      </c>
      <c r="E30" s="150">
        <f>'App2.-JC OM&amp;A Programs'!F32-'App2.-JC OM&amp;A Programs'!E32</f>
        <v>340320.40099144028</v>
      </c>
      <c r="F30" s="150">
        <f>'App2.-JC OM&amp;A Programs'!G32-'App2.-JC OM&amp;A Programs'!F32</f>
        <v>94175.939008559566</v>
      </c>
      <c r="G30" s="150">
        <f>'App2.-JC OM&amp;A Programs'!H32-'App2.-JC OM&amp;A Programs'!G32</f>
        <v>250418.0760019701</v>
      </c>
      <c r="H30" s="150">
        <f>'App2.-JC OM&amp;A Programs'!I32-'App2.-JC OM&amp;A Programs'!H32</f>
        <v>284004.92255776003</v>
      </c>
      <c r="I30" s="150">
        <f>'App2.-JC OM&amp;A Programs'!J32-'App2.-JC OM&amp;A Programs'!I32</f>
        <v>55650.077104459982</v>
      </c>
      <c r="J30" s="150">
        <f>'App2.-JC OM&amp;A Programs'!K32-'App2.-JC OM&amp;A Programs'!J32</f>
        <v>17647.635408239905</v>
      </c>
      <c r="K30" s="150">
        <f>'App2.-JC OM&amp;A Programs'!L32-'App2.-JC OM&amp;A Programs'!K32</f>
        <v>-9348.1244605402462</v>
      </c>
      <c r="L30" s="151">
        <f>'App2.-JC OM&amp;A Programs'!M32-'App2.-JC OM&amp;A Programs'!L32</f>
        <v>-10234.782019599807</v>
      </c>
    </row>
    <row r="31" spans="1:12" x14ac:dyDescent="0.35">
      <c r="A31" s="128" t="s">
        <v>84</v>
      </c>
      <c r="B31" s="150">
        <f>'App2.-JC OM&amp;A Programs'!C33-'App2.-JC OM&amp;A Programs'!B33</f>
        <v>173939.3199999989</v>
      </c>
      <c r="C31" s="150">
        <f>'App2.-JC OM&amp;A Programs'!D33-'App2.-JC OM&amp;A Programs'!C33</f>
        <v>570015.37000000151</v>
      </c>
      <c r="D31" s="150">
        <f>'App2.-JC OM&amp;A Programs'!E33-'App2.-JC OM&amp;A Programs'!D33</f>
        <v>679174.91999999899</v>
      </c>
      <c r="E31" s="150">
        <f>'App2.-JC OM&amp;A Programs'!F33-'App2.-JC OM&amp;A Programs'!E33</f>
        <v>377030.92773444112</v>
      </c>
      <c r="F31" s="150">
        <f>'App2.-JC OM&amp;A Programs'!G33-'App2.-JC OM&amp;A Programs'!F33</f>
        <v>-30100.607734440826</v>
      </c>
      <c r="G31" s="150">
        <f>'App2.-JC OM&amp;A Programs'!H33-'App2.-JC OM&amp;A Programs'!G33</f>
        <v>605174.11945769005</v>
      </c>
      <c r="H31" s="150">
        <f>'App2.-JC OM&amp;A Programs'!I33-'App2.-JC OM&amp;A Programs'!H33</f>
        <v>251525.71117927134</v>
      </c>
      <c r="I31" s="150">
        <f>'App2.-JC OM&amp;A Programs'!J33-'App2.-JC OM&amp;A Programs'!I33</f>
        <v>6605.7066736798733</v>
      </c>
      <c r="J31" s="150">
        <f>'App2.-JC OM&amp;A Programs'!K33-'App2.-JC OM&amp;A Programs'!J33</f>
        <v>120498.25736846961</v>
      </c>
      <c r="K31" s="150">
        <f>'App2.-JC OM&amp;A Programs'!L33-'App2.-JC OM&amp;A Programs'!K33</f>
        <v>146533.89909619745</v>
      </c>
      <c r="L31" s="151">
        <f>'App2.-JC OM&amp;A Programs'!M33-'App2.-JC OM&amp;A Programs'!L33</f>
        <v>131440.66604816075</v>
      </c>
    </row>
    <row r="32" spans="1:12" x14ac:dyDescent="0.35">
      <c r="A32" s="128" t="s">
        <v>85</v>
      </c>
      <c r="B32" s="150">
        <f>'App2.-JC OM&amp;A Programs'!C34-'App2.-JC OM&amp;A Programs'!B34</f>
        <v>-1110449.2841930497</v>
      </c>
      <c r="C32" s="150">
        <f>'App2.-JC OM&amp;A Programs'!D34-'App2.-JC OM&amp;A Programs'!C34</f>
        <v>-920446.51580695063</v>
      </c>
      <c r="D32" s="150">
        <f>'App2.-JC OM&amp;A Programs'!E34-'App2.-JC OM&amp;A Programs'!D34</f>
        <v>-35238.739999999525</v>
      </c>
      <c r="E32" s="150">
        <f>'App2.-JC OM&amp;A Programs'!F34-'App2.-JC OM&amp;A Programs'!E34</f>
        <v>515054.70145094977</v>
      </c>
      <c r="F32" s="150">
        <f>'App2.-JC OM&amp;A Programs'!G34-'App2.-JC OM&amp;A Programs'!F34</f>
        <v>2182580.1485490501</v>
      </c>
      <c r="G32" s="150">
        <f>'App2.-JC OM&amp;A Programs'!H34-'App2.-JC OM&amp;A Programs'!G34</f>
        <v>-1541428.20291421</v>
      </c>
      <c r="H32" s="150">
        <f>'App2.-JC OM&amp;A Programs'!I34-'App2.-JC OM&amp;A Programs'!H34</f>
        <v>59065.890908439644</v>
      </c>
      <c r="I32" s="150">
        <f>'App2.-JC OM&amp;A Programs'!J34-'App2.-JC OM&amp;A Programs'!I34</f>
        <v>137572.90919398051</v>
      </c>
      <c r="J32" s="150">
        <f>'App2.-JC OM&amp;A Programs'!K34-'App2.-JC OM&amp;A Programs'!J34</f>
        <v>207596.66739952983</v>
      </c>
      <c r="K32" s="150">
        <f>'App2.-JC OM&amp;A Programs'!L34-'App2.-JC OM&amp;A Programs'!K34</f>
        <v>-55441.71939914953</v>
      </c>
      <c r="L32" s="151">
        <f>'App2.-JC OM&amp;A Programs'!M34-'App2.-JC OM&amp;A Programs'!L34</f>
        <v>76708.175700219814</v>
      </c>
    </row>
    <row r="33" spans="1:12" x14ac:dyDescent="0.35">
      <c r="A33" s="128" t="s">
        <v>86</v>
      </c>
      <c r="B33" s="150">
        <f>'App2.-JC OM&amp;A Programs'!C35-'App2.-JC OM&amp;A Programs'!B35</f>
        <v>-155139.06999999937</v>
      </c>
      <c r="C33" s="150">
        <f>'App2.-JC OM&amp;A Programs'!D35-'App2.-JC OM&amp;A Programs'!C35</f>
        <v>-266010.38999999966</v>
      </c>
      <c r="D33" s="150">
        <f>'App2.-JC OM&amp;A Programs'!E35-'App2.-JC OM&amp;A Programs'!D35</f>
        <v>-86574.600000000559</v>
      </c>
      <c r="E33" s="150">
        <f>'App2.-JC OM&amp;A Programs'!F35-'App2.-JC OM&amp;A Programs'!E35</f>
        <v>105816.02000000002</v>
      </c>
      <c r="F33" s="150">
        <f>'App2.-JC OM&amp;A Programs'!G35-'App2.-JC OM&amp;A Programs'!F35</f>
        <v>191651.16999999993</v>
      </c>
      <c r="G33" s="150">
        <f>'App2.-JC OM&amp;A Programs'!H35-'App2.-JC OM&amp;A Programs'!G35</f>
        <v>195031.9404989602</v>
      </c>
      <c r="H33" s="150">
        <f>'App2.-JC OM&amp;A Programs'!I35-'App2.-JC OM&amp;A Programs'!H35</f>
        <v>197100.92613786925</v>
      </c>
      <c r="I33" s="150">
        <f>'App2.-JC OM&amp;A Programs'!J35-'App2.-JC OM&amp;A Programs'!I35</f>
        <v>1703056.689797611</v>
      </c>
      <c r="J33" s="150">
        <f>'App2.-JC OM&amp;A Programs'!K35-'App2.-JC OM&amp;A Programs'!J35</f>
        <v>-672859.29512835015</v>
      </c>
      <c r="K33" s="150">
        <f>'App2.-JC OM&amp;A Programs'!L35-'App2.-JC OM&amp;A Programs'!K35</f>
        <v>90541.004428229295</v>
      </c>
      <c r="L33" s="151">
        <f>'App2.-JC OM&amp;A Programs'!M35-'App2.-JC OM&amp;A Programs'!L35</f>
        <v>82252.72065848019</v>
      </c>
    </row>
    <row r="34" spans="1:12" x14ac:dyDescent="0.35">
      <c r="A34" s="124" t="s">
        <v>87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6"/>
    </row>
    <row r="35" spans="1:12" x14ac:dyDescent="0.35">
      <c r="A35" s="128" t="s">
        <v>88</v>
      </c>
      <c r="B35" s="150">
        <f>'App2.-JC OM&amp;A Programs'!C38-'App2.-JC OM&amp;A Programs'!B38</f>
        <v>524632.86999999965</v>
      </c>
      <c r="C35" s="150">
        <f>'App2.-JC OM&amp;A Programs'!D38-'App2.-JC OM&amp;A Programs'!C38</f>
        <v>869826.10000000009</v>
      </c>
      <c r="D35" s="150">
        <f>'App2.-JC OM&amp;A Programs'!E38-'App2.-JC OM&amp;A Programs'!D38</f>
        <v>737512.30999999959</v>
      </c>
      <c r="E35" s="150">
        <f>'App2.-JC OM&amp;A Programs'!F38-'App2.-JC OM&amp;A Programs'!E38</f>
        <v>356100.22471415158</v>
      </c>
      <c r="F35" s="150">
        <f>'App2.-JC OM&amp;A Programs'!G38-'App2.-JC OM&amp;A Programs'!F38</f>
        <v>-45439.624714151025</v>
      </c>
      <c r="G35" s="150">
        <f>'App2.-JC OM&amp;A Programs'!H38-'App2.-JC OM&amp;A Programs'!G38</f>
        <v>1575536.2942950502</v>
      </c>
      <c r="H35" s="150">
        <f>'App2.-JC OM&amp;A Programs'!I38-'App2.-JC OM&amp;A Programs'!H38</f>
        <v>5287298.7838965915</v>
      </c>
      <c r="I35" s="150">
        <f>'App2.-JC OM&amp;A Programs'!J38-'App2.-JC OM&amp;A Programs'!I38</f>
        <v>768121.94942199998</v>
      </c>
      <c r="J35" s="150">
        <f>'App2.-JC OM&amp;A Programs'!K38-'App2.-JC OM&amp;A Programs'!J38</f>
        <v>-393566.1505379118</v>
      </c>
      <c r="K35" s="150">
        <f>'App2.-JC OM&amp;A Programs'!L38-'App2.-JC OM&amp;A Programs'!K38</f>
        <v>311946.06224695966</v>
      </c>
      <c r="L35" s="151">
        <f>'App2.-JC OM&amp;A Programs'!M38-'App2.-JC OM&amp;A Programs'!L38</f>
        <v>444436.15982841142</v>
      </c>
    </row>
    <row r="36" spans="1:12" x14ac:dyDescent="0.35">
      <c r="A36" s="128" t="s">
        <v>89</v>
      </c>
      <c r="B36" s="150">
        <f>'App2.-JC OM&amp;A Programs'!C39-'App2.-JC OM&amp;A Programs'!B39</f>
        <v>1008146.3000000005</v>
      </c>
      <c r="C36" s="150">
        <f>'App2.-JC OM&amp;A Programs'!D39-'App2.-JC OM&amp;A Programs'!C39</f>
        <v>-27141.52000000095</v>
      </c>
      <c r="D36" s="150">
        <f>'App2.-JC OM&amp;A Programs'!E39-'App2.-JC OM&amp;A Programs'!D39</f>
        <v>1023498.7499999981</v>
      </c>
      <c r="E36" s="150">
        <f>'App2.-JC OM&amp;A Programs'!F39-'App2.-JC OM&amp;A Programs'!E39</f>
        <v>778624.85329245217</v>
      </c>
      <c r="F36" s="150">
        <f>'App2.-JC OM&amp;A Programs'!G39-'App2.-JC OM&amp;A Programs'!F39</f>
        <v>26090.076707549393</v>
      </c>
      <c r="G36" s="150">
        <f>'App2.-JC OM&amp;A Programs'!H39-'App2.-JC OM&amp;A Programs'!G39</f>
        <v>1243633.9184877826</v>
      </c>
      <c r="H36" s="150">
        <f>'App2.-JC OM&amp;A Programs'!I39-'App2.-JC OM&amp;A Programs'!H39</f>
        <v>713900.17433522642</v>
      </c>
      <c r="I36" s="150">
        <f>'App2.-JC OM&amp;A Programs'!J39-'App2.-JC OM&amp;A Programs'!I39</f>
        <v>277514.18898406066</v>
      </c>
      <c r="J36" s="150">
        <f>'App2.-JC OM&amp;A Programs'!K39-'App2.-JC OM&amp;A Programs'!J39</f>
        <v>213032.60504062939</v>
      </c>
      <c r="K36" s="150">
        <f>'App2.-JC OM&amp;A Programs'!L39-'App2.-JC OM&amp;A Programs'!K39</f>
        <v>200257.76064563915</v>
      </c>
      <c r="L36" s="151">
        <f>'App2.-JC OM&amp;A Programs'!M39-'App2.-JC OM&amp;A Programs'!L39</f>
        <v>168573.40574624389</v>
      </c>
    </row>
    <row r="37" spans="1:12" x14ac:dyDescent="0.35">
      <c r="A37" s="128" t="s">
        <v>90</v>
      </c>
      <c r="B37" s="150">
        <f>'App2.-JC OM&amp;A Programs'!C40-'App2.-JC OM&amp;A Programs'!B40</f>
        <v>242711.71999995224</v>
      </c>
      <c r="C37" s="150">
        <f>'App2.-JC OM&amp;A Programs'!D40-'App2.-JC OM&amp;A Programs'!C40</f>
        <v>250438.74000000767</v>
      </c>
      <c r="D37" s="150">
        <f>'App2.-JC OM&amp;A Programs'!E40-'App2.-JC OM&amp;A Programs'!D40</f>
        <v>-401857.54999999981</v>
      </c>
      <c r="E37" s="150">
        <f>'App2.-JC OM&amp;A Programs'!F40-'App2.-JC OM&amp;A Programs'!E40</f>
        <v>66321.932762845419</v>
      </c>
      <c r="F37" s="150">
        <f>'App2.-JC OM&amp;A Programs'!G40-'App2.-JC OM&amp;A Programs'!F40</f>
        <v>1326693.9172371477</v>
      </c>
      <c r="G37" s="150">
        <f>'App2.-JC OM&amp;A Programs'!H40-'App2.-JC OM&amp;A Programs'!G40</f>
        <v>-223664.12295897305</v>
      </c>
      <c r="H37" s="150">
        <f>'App2.-JC OM&amp;A Programs'!I40-'App2.-JC OM&amp;A Programs'!H40</f>
        <v>556959.20839181915</v>
      </c>
      <c r="I37" s="150">
        <f>'App2.-JC OM&amp;A Programs'!J40-'App2.-JC OM&amp;A Programs'!I40</f>
        <v>288261.85196204856</v>
      </c>
      <c r="J37" s="150">
        <f>'App2.-JC OM&amp;A Programs'!K40-'App2.-JC OM&amp;A Programs'!J40</f>
        <v>437645.83508262411</v>
      </c>
      <c r="K37" s="150">
        <f>'App2.-JC OM&amp;A Programs'!L40-'App2.-JC OM&amp;A Programs'!K40</f>
        <v>357261.78928447887</v>
      </c>
      <c r="L37" s="151">
        <f>'App2.-JC OM&amp;A Programs'!M40-'App2.-JC OM&amp;A Programs'!L40</f>
        <v>144245.05138898268</v>
      </c>
    </row>
    <row r="38" spans="1:12" x14ac:dyDescent="0.35">
      <c r="A38" s="128" t="s">
        <v>91</v>
      </c>
      <c r="B38" s="150">
        <f>'App2.-JC OM&amp;A Programs'!C41-'App2.-JC OM&amp;A Programs'!B41</f>
        <v>-984842.68086399976</v>
      </c>
      <c r="C38" s="150">
        <f>'App2.-JC OM&amp;A Programs'!D41-'App2.-JC OM&amp;A Programs'!C41</f>
        <v>531706.29</v>
      </c>
      <c r="D38" s="150">
        <f>'App2.-JC OM&amp;A Programs'!E41-'App2.-JC OM&amp;A Programs'!D41</f>
        <v>-97800.909999999916</v>
      </c>
      <c r="E38" s="150">
        <f>'App2.-JC OM&amp;A Programs'!F41-'App2.-JC OM&amp;A Programs'!E41</f>
        <v>-48769.651679160073</v>
      </c>
      <c r="F38" s="150">
        <f>'App2.-JC OM&amp;A Programs'!G41-'App2.-JC OM&amp;A Programs'!F41</f>
        <v>363687.63167916005</v>
      </c>
      <c r="G38" s="150">
        <f>'App2.-JC OM&amp;A Programs'!H41-'App2.-JC OM&amp;A Programs'!G41</f>
        <v>-269615.80997677986</v>
      </c>
      <c r="H38" s="150">
        <f>'App2.-JC OM&amp;A Programs'!I41-'App2.-JC OM&amp;A Programs'!H41</f>
        <v>917239.42960199993</v>
      </c>
      <c r="I38" s="150">
        <f>'App2.-JC OM&amp;A Programs'!J41-'App2.-JC OM&amp;A Programs'!I41</f>
        <v>99874.971171270125</v>
      </c>
      <c r="J38" s="150">
        <f>'App2.-JC OM&amp;A Programs'!K41-'App2.-JC OM&amp;A Programs'!J41</f>
        <v>82251.509266109671</v>
      </c>
      <c r="K38" s="150">
        <f>'App2.-JC OM&amp;A Programs'!L41-'App2.-JC OM&amp;A Programs'!K41</f>
        <v>88511.191070360132</v>
      </c>
      <c r="L38" s="151">
        <f>'App2.-JC OM&amp;A Programs'!M41-'App2.-JC OM&amp;A Programs'!L41</f>
        <v>90351.308161930181</v>
      </c>
    </row>
    <row r="39" spans="1:12" x14ac:dyDescent="0.35">
      <c r="A39" s="128" t="s">
        <v>92</v>
      </c>
      <c r="B39" s="150">
        <f>'App2.-JC OM&amp;A Programs'!C42-'App2.-JC OM&amp;A Programs'!B42</f>
        <v>137524.30999999982</v>
      </c>
      <c r="C39" s="150">
        <f>'App2.-JC OM&amp;A Programs'!D42-'App2.-JC OM&amp;A Programs'!C42</f>
        <v>-176626.92999999993</v>
      </c>
      <c r="D39" s="150">
        <f>'App2.-JC OM&amp;A Programs'!E42-'App2.-JC OM&amp;A Programs'!D42</f>
        <v>1675426.1900000002</v>
      </c>
      <c r="E39" s="150">
        <f>'App2.-JC OM&amp;A Programs'!F42-'App2.-JC OM&amp;A Programs'!E42</f>
        <v>-430785.38626039075</v>
      </c>
      <c r="F39" s="150">
        <f>'App2.-JC OM&amp;A Programs'!G42-'App2.-JC OM&amp;A Programs'!F42</f>
        <v>643016.38626039075</v>
      </c>
      <c r="G39" s="150">
        <f>'App2.-JC OM&amp;A Programs'!H42-'App2.-JC OM&amp;A Programs'!G42</f>
        <v>-162284.21807473991</v>
      </c>
      <c r="H39" s="150">
        <f>'App2.-JC OM&amp;A Programs'!I42-'App2.-JC OM&amp;A Programs'!H42</f>
        <v>1789126.2180747399</v>
      </c>
      <c r="I39" s="150">
        <f>'App2.-JC OM&amp;A Programs'!J42-'App2.-JC OM&amp;A Programs'!I42</f>
        <v>283024</v>
      </c>
      <c r="J39" s="150">
        <f>'App2.-JC OM&amp;A Programs'!K42-'App2.-JC OM&amp;A Programs'!J42</f>
        <v>59579</v>
      </c>
      <c r="K39" s="150">
        <f>'App2.-JC OM&amp;A Programs'!L42-'App2.-JC OM&amp;A Programs'!K42</f>
        <v>69677</v>
      </c>
      <c r="L39" s="151">
        <f>'App2.-JC OM&amp;A Programs'!M42-'App2.-JC OM&amp;A Programs'!L42</f>
        <v>64334</v>
      </c>
    </row>
    <row r="40" spans="1:12" x14ac:dyDescent="0.35">
      <c r="A40" s="128" t="s">
        <v>93</v>
      </c>
      <c r="B40" s="150">
        <f>'App2.-JC OM&amp;A Programs'!C43-'App2.-JC OM&amp;A Programs'!B43</f>
        <v>502162.63</v>
      </c>
      <c r="C40" s="150">
        <f>'App2.-JC OM&amp;A Programs'!D43-'App2.-JC OM&amp;A Programs'!C43</f>
        <v>506974.53999999992</v>
      </c>
      <c r="D40" s="150">
        <f>'App2.-JC OM&amp;A Programs'!E43-'App2.-JC OM&amp;A Programs'!D43</f>
        <v>-200467.55000000005</v>
      </c>
      <c r="E40" s="150">
        <f>'App2.-JC OM&amp;A Programs'!F43-'App2.-JC OM&amp;A Programs'!E43</f>
        <v>127906.61746119009</v>
      </c>
      <c r="F40" s="150">
        <f>'App2.-JC OM&amp;A Programs'!G43-'App2.-JC OM&amp;A Programs'!F43</f>
        <v>-18936.467461189954</v>
      </c>
      <c r="G40" s="150">
        <f>'App2.-JC OM&amp;A Programs'!H43-'App2.-JC OM&amp;A Programs'!G43</f>
        <v>189173.25439152983</v>
      </c>
      <c r="H40" s="150">
        <f>'App2.-JC OM&amp;A Programs'!I43-'App2.-JC OM&amp;A Programs'!H43</f>
        <v>197657.8984146202</v>
      </c>
      <c r="I40" s="150">
        <f>'App2.-JC OM&amp;A Programs'!J43-'App2.-JC OM&amp;A Programs'!I43</f>
        <v>227921.8204239998</v>
      </c>
      <c r="J40" s="150">
        <f>'App2.-JC OM&amp;A Programs'!K43-'App2.-JC OM&amp;A Programs'!J43</f>
        <v>245266.0137214798</v>
      </c>
      <c r="K40" s="150">
        <f>'App2.-JC OM&amp;A Programs'!L43-'App2.-JC OM&amp;A Programs'!K43</f>
        <v>54430.276108180173</v>
      </c>
      <c r="L40" s="151">
        <f>'App2.-JC OM&amp;A Programs'!M43-'App2.-JC OM&amp;A Programs'!L43</f>
        <v>50171.252833750099</v>
      </c>
    </row>
    <row r="41" spans="1:12" x14ac:dyDescent="0.35">
      <c r="A41" s="128" t="s">
        <v>94</v>
      </c>
      <c r="B41" s="150">
        <f>'App2.-JC OM&amp;A Programs'!C44-'App2.-JC OM&amp;A Programs'!B44</f>
        <v>475395.39999999944</v>
      </c>
      <c r="C41" s="150">
        <f>'App2.-JC OM&amp;A Programs'!D44-'App2.-JC OM&amp;A Programs'!C44</f>
        <v>394438.87999999989</v>
      </c>
      <c r="D41" s="150">
        <f>'App2.-JC OM&amp;A Programs'!E44-'App2.-JC OM&amp;A Programs'!D44</f>
        <v>152975.30000000028</v>
      </c>
      <c r="E41" s="150">
        <f>'App2.-JC OM&amp;A Programs'!F44-'App2.-JC OM&amp;A Programs'!E44</f>
        <v>-39771.154422740452</v>
      </c>
      <c r="F41" s="150">
        <f>'App2.-JC OM&amp;A Programs'!G44-'App2.-JC OM&amp;A Programs'!F44</f>
        <v>786773.38442274043</v>
      </c>
      <c r="G41" s="150">
        <f>'App2.-JC OM&amp;A Programs'!H44-'App2.-JC OM&amp;A Programs'!G44</f>
        <v>1569700.7932249792</v>
      </c>
      <c r="H41" s="150">
        <f>'App2.-JC OM&amp;A Programs'!I44-'App2.-JC OM&amp;A Programs'!H44</f>
        <v>995209.45533331111</v>
      </c>
      <c r="I41" s="150">
        <f>'App2.-JC OM&amp;A Programs'!J44-'App2.-JC OM&amp;A Programs'!I44</f>
        <v>495038.31849683914</v>
      </c>
      <c r="J41" s="150">
        <f>'App2.-JC OM&amp;A Programs'!K44-'App2.-JC OM&amp;A Programs'!J44</f>
        <v>939434.92839803174</v>
      </c>
      <c r="K41" s="150">
        <f>'App2.-JC OM&amp;A Programs'!L44-'App2.-JC OM&amp;A Programs'!K44</f>
        <v>393123.56280895788</v>
      </c>
      <c r="L41" s="151">
        <f>'App2.-JC OM&amp;A Programs'!M44-'App2.-JC OM&amp;A Programs'!L44</f>
        <v>411739.73690587096</v>
      </c>
    </row>
    <row r="42" spans="1:12" ht="15.5" x14ac:dyDescent="0.35">
      <c r="A42" s="129" t="s">
        <v>95</v>
      </c>
      <c r="B42" s="125"/>
      <c r="C42" s="125"/>
      <c r="D42" s="125"/>
      <c r="E42" s="125"/>
      <c r="F42" s="125"/>
      <c r="G42" s="125"/>
      <c r="H42" s="127"/>
      <c r="I42" s="127"/>
      <c r="J42" s="127"/>
      <c r="K42" s="127"/>
      <c r="L42" s="126"/>
    </row>
    <row r="43" spans="1:12" x14ac:dyDescent="0.35">
      <c r="A43" s="128" t="s">
        <v>96</v>
      </c>
      <c r="B43" s="125">
        <f>'App2.-JC OM&amp;A Programs'!C47-'App2.-JC OM&amp;A Programs'!B47</f>
        <v>0</v>
      </c>
      <c r="C43" s="125">
        <f>'App2.-JC OM&amp;A Programs'!D47-'App2.-JC OM&amp;A Programs'!C47</f>
        <v>0</v>
      </c>
      <c r="D43" s="125">
        <f>'App2.-JC OM&amp;A Programs'!E47-'App2.-JC OM&amp;A Programs'!D47</f>
        <v>-1570875.11</v>
      </c>
      <c r="E43" s="125">
        <f>'App2.-JC OM&amp;A Programs'!F47-'App2.-JC OM&amp;A Programs'!E47</f>
        <v>-316086.73</v>
      </c>
      <c r="F43" s="125">
        <f>'App2.-JC OM&amp;A Programs'!G47-'App2.-JC OM&amp;A Programs'!F47</f>
        <v>-324839.15000000014</v>
      </c>
      <c r="G43" s="125">
        <f>'App2.-JC OM&amp;A Programs'!H47-'App2.-JC OM&amp;A Programs'!G47</f>
        <v>116760.99000000022</v>
      </c>
      <c r="H43" s="125">
        <f>'App2.-JC OM&amp;A Programs'!I47-'App2.-JC OM&amp;A Programs'!H47</f>
        <v>2095040</v>
      </c>
      <c r="I43" s="125">
        <f>'App2.-JC OM&amp;A Programs'!J47-'App2.-JC OM&amp;A Programs'!I47</f>
        <v>0</v>
      </c>
      <c r="J43" s="125">
        <f>'App2.-JC OM&amp;A Programs'!K47-'App2.-JC OM&amp;A Programs'!J47</f>
        <v>0</v>
      </c>
      <c r="K43" s="125">
        <f>'App2.-JC OM&amp;A Programs'!L47-'App2.-JC OM&amp;A Programs'!K47</f>
        <v>0</v>
      </c>
      <c r="L43" s="126">
        <f>'App2.-JC OM&amp;A Programs'!M47-'App2.-JC OM&amp;A Programs'!L47</f>
        <v>0</v>
      </c>
    </row>
    <row r="44" spans="1:12" x14ac:dyDescent="0.35">
      <c r="A44" s="128" t="s">
        <v>97</v>
      </c>
      <c r="B44" s="125">
        <f>'App2.-JC OM&amp;A Programs'!C48-'App2.-JC OM&amp;A Programs'!B48</f>
        <v>110071.57</v>
      </c>
      <c r="C44" s="125">
        <f>'App2.-JC OM&amp;A Programs'!D48-'App2.-JC OM&amp;A Programs'!C48</f>
        <v>-65915.400000000023</v>
      </c>
      <c r="D44" s="125">
        <f>'App2.-JC OM&amp;A Programs'!E48-'App2.-JC OM&amp;A Programs'!D48</f>
        <v>-90952.04999999993</v>
      </c>
      <c r="E44" s="125">
        <f>'App2.-JC OM&amp;A Programs'!F48-'App2.-JC OM&amp;A Programs'!E48</f>
        <v>-529871.75000000012</v>
      </c>
      <c r="F44" s="125">
        <f>'App2.-JC OM&amp;A Programs'!G48-'App2.-JC OM&amp;A Programs'!F48</f>
        <v>539296.75</v>
      </c>
      <c r="G44" s="125">
        <f>'App2.-JC OM&amp;A Programs'!H48-'App2.-JC OM&amp;A Programs'!G48</f>
        <v>-316204.93</v>
      </c>
      <c r="H44" s="125">
        <f>'App2.-JC OM&amp;A Programs'!I48-'App2.-JC OM&amp;A Programs'!H48</f>
        <v>673988</v>
      </c>
      <c r="I44" s="125">
        <f>'App2.-JC OM&amp;A Programs'!J48-'App2.-JC OM&amp;A Programs'!I48</f>
        <v>0</v>
      </c>
      <c r="J44" s="125">
        <f>'App2.-JC OM&amp;A Programs'!K48-'App2.-JC OM&amp;A Programs'!J48</f>
        <v>0</v>
      </c>
      <c r="K44" s="125">
        <f>'App2.-JC OM&amp;A Programs'!L48-'App2.-JC OM&amp;A Programs'!K48</f>
        <v>0</v>
      </c>
      <c r="L44" s="126">
        <f>'App2.-JC OM&amp;A Programs'!M48-'App2.-JC OM&amp;A Programs'!L48</f>
        <v>0</v>
      </c>
    </row>
    <row r="45" spans="1:12" x14ac:dyDescent="0.35">
      <c r="A45" s="128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6"/>
    </row>
    <row r="46" spans="1:12" x14ac:dyDescent="0.35">
      <c r="A46" s="128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6"/>
    </row>
    <row r="47" spans="1:12" x14ac:dyDescent="0.35">
      <c r="A47" s="128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6"/>
    </row>
    <row r="48" spans="1:12" ht="15" thickBot="1" x14ac:dyDescent="0.4">
      <c r="A48" s="130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2"/>
    </row>
    <row r="49" spans="1:17" ht="15.5" thickTop="1" thickBot="1" x14ac:dyDescent="0.4">
      <c r="A49" s="93" t="str">
        <f>"Closing Balance"&amp;CHAR(178)</f>
        <v>Closing Balance²</v>
      </c>
      <c r="B49" s="94">
        <f>SUM(B15:B48)</f>
        <v>42915708.359999999</v>
      </c>
      <c r="C49" s="94">
        <f t="shared" ref="C49:L49" si="2">SUM(C15:C48)</f>
        <v>44918464.31000001</v>
      </c>
      <c r="D49" s="94">
        <f t="shared" si="2"/>
        <v>46662196.330000013</v>
      </c>
      <c r="E49" s="94">
        <f t="shared" si="2"/>
        <v>53600375.600000031</v>
      </c>
      <c r="F49" s="94">
        <f t="shared" si="2"/>
        <v>61025229.940000013</v>
      </c>
      <c r="G49" s="94">
        <f t="shared" si="2"/>
        <v>64091179.007011503</v>
      </c>
      <c r="H49" s="94">
        <f t="shared" si="2"/>
        <v>80865585.624797389</v>
      </c>
      <c r="I49" s="94">
        <f t="shared" si="2"/>
        <v>87466666.428201079</v>
      </c>
      <c r="J49" s="94">
        <f t="shared" si="2"/>
        <v>89431855.175251231</v>
      </c>
      <c r="K49" s="94">
        <f t="shared" si="2"/>
        <v>91337642.187357768</v>
      </c>
      <c r="L49" s="95">
        <f t="shared" si="2"/>
        <v>93763345.70621033</v>
      </c>
    </row>
    <row r="52" spans="1:17" x14ac:dyDescent="0.35">
      <c r="A52" s="119" t="s">
        <v>98</v>
      </c>
    </row>
    <row r="53" spans="1:17" x14ac:dyDescent="0.35">
      <c r="A53" s="96"/>
    </row>
    <row r="54" spans="1:17" ht="14.65" customHeight="1" x14ac:dyDescent="0.35">
      <c r="A54" s="97">
        <v>1</v>
      </c>
      <c r="B54" s="191" t="s">
        <v>99</v>
      </c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67"/>
      <c r="N54" s="167"/>
      <c r="O54" s="167"/>
      <c r="P54" s="167"/>
      <c r="Q54" s="167"/>
    </row>
    <row r="55" spans="1:17" ht="14.65" customHeight="1" x14ac:dyDescent="0.35">
      <c r="A55" s="185">
        <v>2</v>
      </c>
      <c r="B55" s="191" t="s">
        <v>100</v>
      </c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67"/>
      <c r="N55" s="167"/>
      <c r="O55" s="167"/>
      <c r="P55" s="167"/>
      <c r="Q55" s="167"/>
    </row>
    <row r="56" spans="1:17" x14ac:dyDescent="0.35">
      <c r="A56" s="97"/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</row>
    <row r="57" spans="1:17" x14ac:dyDescent="0.35">
      <c r="A57" s="9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</row>
    <row r="58" spans="1:17" x14ac:dyDescent="0.35">
      <c r="A58" s="97"/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</row>
    <row r="59" spans="1:17" x14ac:dyDescent="0.35"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</row>
    <row r="60" spans="1:17" x14ac:dyDescent="0.35"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</row>
    <row r="61" spans="1:17" x14ac:dyDescent="0.35">
      <c r="A61" s="97"/>
      <c r="K61" s="168"/>
    </row>
  </sheetData>
  <mergeCells count="4">
    <mergeCell ref="A10:F10"/>
    <mergeCell ref="A11:F11"/>
    <mergeCell ref="B54:L54"/>
    <mergeCell ref="B55:L55"/>
  </mergeCells>
  <dataValidations count="2">
    <dataValidation allowBlank="1" showInputMessage="1" showErrorMessage="1" promptTitle="Date Format" prompt="E.g:  &quot;August 1, 2011&quot;" sqref="Q7 G7" xr:uid="{C4089372-BAE6-46BB-AD50-947EA06B2DBC}"/>
    <dataValidation type="list" allowBlank="1" showInputMessage="1" showErrorMessage="1" sqref="B14:L14" xr:uid="{77CC7804-7CBC-4DB6-A8C1-D726B73D07BD}">
      <formula1>"CGAAP, MIFRS, USGAAP, ASPE"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446BF-008B-4010-B743-BAED08F1C093}">
  <dimension ref="A1:O61"/>
  <sheetViews>
    <sheetView topLeftCell="A25" workbookViewId="0">
      <selection activeCell="C57" sqref="C57"/>
    </sheetView>
  </sheetViews>
  <sheetFormatPr defaultColWidth="9.453125" defaultRowHeight="14.5" x14ac:dyDescent="0.35"/>
  <cols>
    <col min="1" max="1" width="44" style="107" customWidth="1"/>
    <col min="2" max="3" width="14.453125" style="107" customWidth="1"/>
    <col min="4" max="4" width="13.453125" style="107" customWidth="1"/>
    <col min="5" max="7" width="13.81640625" style="107" bestFit="1" customWidth="1"/>
    <col min="8" max="8" width="13.453125" style="107" customWidth="1"/>
    <col min="9" max="9" width="16.54296875" style="107" customWidth="1"/>
    <col min="10" max="13" width="16.453125" style="107" customWidth="1"/>
    <col min="14" max="15" width="11" style="107" bestFit="1" customWidth="1"/>
    <col min="16" max="16384" width="9.453125" style="107"/>
  </cols>
  <sheetData>
    <row r="1" spans="1:15" s="82" customFormat="1" x14ac:dyDescent="0.35">
      <c r="A1" s="98" t="s">
        <v>101</v>
      </c>
      <c r="H1" s="99" t="s">
        <v>0</v>
      </c>
      <c r="I1" s="3" t="s">
        <v>1</v>
      </c>
    </row>
    <row r="2" spans="1:15" s="82" customFormat="1" x14ac:dyDescent="0.35">
      <c r="H2" s="99" t="s">
        <v>4</v>
      </c>
      <c r="I2" s="133"/>
    </row>
    <row r="3" spans="1:15" s="82" customFormat="1" x14ac:dyDescent="0.35">
      <c r="H3" s="99" t="s">
        <v>6</v>
      </c>
      <c r="I3" s="133"/>
    </row>
    <row r="4" spans="1:15" s="82" customFormat="1" x14ac:dyDescent="0.35">
      <c r="H4" s="99" t="s">
        <v>8</v>
      </c>
      <c r="I4" s="133"/>
    </row>
    <row r="5" spans="1:15" s="82" customFormat="1" x14ac:dyDescent="0.35">
      <c r="H5" s="99" t="s">
        <v>11</v>
      </c>
      <c r="I5" s="134"/>
    </row>
    <row r="6" spans="1:15" s="82" customFormat="1" x14ac:dyDescent="0.35">
      <c r="H6" s="99"/>
      <c r="I6" s="84"/>
    </row>
    <row r="7" spans="1:15" s="82" customFormat="1" x14ac:dyDescent="0.35">
      <c r="H7" s="99" t="s">
        <v>15</v>
      </c>
      <c r="I7" s="166">
        <v>46150</v>
      </c>
    </row>
    <row r="8" spans="1:15" s="82" customFormat="1" x14ac:dyDescent="0.35"/>
    <row r="9" spans="1:15" s="82" customFormat="1" ht="18" x14ac:dyDescent="0.4">
      <c r="A9" s="192" t="s">
        <v>102</v>
      </c>
      <c r="B9" s="192"/>
      <c r="C9" s="192"/>
      <c r="D9" s="192"/>
      <c r="E9" s="192"/>
      <c r="F9" s="192"/>
      <c r="G9" s="192"/>
      <c r="H9" s="192"/>
      <c r="I9" s="148"/>
    </row>
    <row r="10" spans="1:15" s="82" customFormat="1" ht="18" x14ac:dyDescent="0.4">
      <c r="A10" s="192" t="s">
        <v>103</v>
      </c>
      <c r="B10" s="192"/>
      <c r="C10" s="192"/>
      <c r="D10" s="192"/>
      <c r="E10" s="192"/>
      <c r="F10" s="192"/>
      <c r="G10" s="192"/>
      <c r="H10" s="192"/>
      <c r="I10" s="100"/>
    </row>
    <row r="11" spans="1:15" s="82" customFormat="1" ht="15" thickBot="1" x14ac:dyDescent="0.4"/>
    <row r="12" spans="1:15" s="103" customFormat="1" ht="13" thickBot="1" x14ac:dyDescent="0.3">
      <c r="A12" s="101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</row>
    <row r="13" spans="1:15" ht="69" customHeight="1" thickBot="1" x14ac:dyDescent="0.4">
      <c r="A13" s="104" t="s">
        <v>104</v>
      </c>
      <c r="B13" s="105" t="str">
        <f>BridgeYear-5&amp;" Actuals"</f>
        <v>2020 Actuals</v>
      </c>
      <c r="C13" s="105" t="str">
        <f>BridgeYear-4&amp;" Actuals"</f>
        <v>2021 Actuals</v>
      </c>
      <c r="D13" s="105" t="str">
        <f>BridgeYear-3&amp;" Actuals"</f>
        <v>2022 Actuals</v>
      </c>
      <c r="E13" s="105" t="str">
        <f>BridgeYear -2 &amp; " Actuals"</f>
        <v>2023 Actuals</v>
      </c>
      <c r="F13" s="105" t="str">
        <f>BridgeYear -1 &amp; " Actuals"</f>
        <v>2024 Actuals</v>
      </c>
      <c r="G13" s="105" t="s">
        <v>21</v>
      </c>
      <c r="H13" s="105" t="s">
        <v>22</v>
      </c>
      <c r="I13" s="105" t="s">
        <v>23</v>
      </c>
      <c r="J13" s="13">
        <v>2028</v>
      </c>
      <c r="K13" s="13">
        <v>2029</v>
      </c>
      <c r="L13" s="13">
        <v>2030</v>
      </c>
      <c r="M13" s="13">
        <v>2031</v>
      </c>
      <c r="N13" s="106" t="str">
        <f>"Variance 
(Test Year vs. " &amp; F13 &amp;")"</f>
        <v>Variance 
(Test Year vs. 2024 Actuals)</v>
      </c>
      <c r="O13" s="106" t="str">
        <f>"Variance 
(Test Year vs. 2020 Actuals)"</f>
        <v>Variance 
(Test Year vs. 2020 Actuals)</v>
      </c>
    </row>
    <row r="14" spans="1:15" ht="15" thickBot="1" x14ac:dyDescent="0.4">
      <c r="A14" s="108" t="s">
        <v>28</v>
      </c>
      <c r="B14" s="143" t="s">
        <v>29</v>
      </c>
      <c r="C14" s="143" t="s">
        <v>29</v>
      </c>
      <c r="D14" s="143" t="s">
        <v>29</v>
      </c>
      <c r="E14" s="143" t="s">
        <v>29</v>
      </c>
      <c r="F14" s="143" t="s">
        <v>29</v>
      </c>
      <c r="G14" s="143" t="s">
        <v>29</v>
      </c>
      <c r="H14" s="143" t="s">
        <v>29</v>
      </c>
      <c r="I14" s="143" t="s">
        <v>29</v>
      </c>
      <c r="J14" s="143" t="s">
        <v>29</v>
      </c>
      <c r="K14" s="143" t="s">
        <v>29</v>
      </c>
      <c r="L14" s="143" t="s">
        <v>29</v>
      </c>
      <c r="M14" s="143" t="s">
        <v>29</v>
      </c>
      <c r="N14" s="109"/>
      <c r="O14" s="110"/>
    </row>
    <row r="15" spans="1:15" ht="14.25" customHeight="1" x14ac:dyDescent="0.35">
      <c r="A15" s="138" t="s">
        <v>69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1"/>
      <c r="O15" s="111"/>
    </row>
    <row r="16" spans="1:15" x14ac:dyDescent="0.35">
      <c r="A16" s="137" t="s">
        <v>70</v>
      </c>
      <c r="B16" s="139">
        <v>455299.95410658</v>
      </c>
      <c r="C16" s="139">
        <v>460182.24652776</v>
      </c>
      <c r="D16" s="139">
        <v>565315.08342487004</v>
      </c>
      <c r="E16" s="139">
        <v>465381.24191287998</v>
      </c>
      <c r="F16" s="139">
        <v>954392.24570608989</v>
      </c>
      <c r="G16" s="139">
        <v>1294396</v>
      </c>
      <c r="H16" s="139">
        <v>1119198.55447809</v>
      </c>
      <c r="I16" s="139">
        <v>1528264.5336887999</v>
      </c>
      <c r="J16" s="139">
        <v>1671882.4689599401</v>
      </c>
      <c r="K16" s="139">
        <v>1731531.9806090801</v>
      </c>
      <c r="L16" s="139">
        <v>1816609.8525084604</v>
      </c>
      <c r="M16" s="139">
        <v>1855695.9272523101</v>
      </c>
      <c r="N16" s="111">
        <f>I16-F16</f>
        <v>573872.28798271006</v>
      </c>
      <c r="O16" s="111">
        <f>I16-B16</f>
        <v>1072964.5795822199</v>
      </c>
    </row>
    <row r="17" spans="1:15" x14ac:dyDescent="0.35">
      <c r="A17" s="137" t="s">
        <v>71</v>
      </c>
      <c r="B17" s="139">
        <v>1007312.1658934201</v>
      </c>
      <c r="C17" s="139">
        <v>1064753.1634722401</v>
      </c>
      <c r="D17" s="139">
        <v>935358.08781258995</v>
      </c>
      <c r="E17" s="139">
        <v>821205.95029015001</v>
      </c>
      <c r="F17" s="139">
        <v>889274.32715884992</v>
      </c>
      <c r="G17" s="139">
        <v>991343</v>
      </c>
      <c r="H17" s="139">
        <v>892117.39200581005</v>
      </c>
      <c r="I17" s="139">
        <v>1079244.8894969299</v>
      </c>
      <c r="J17" s="139">
        <v>1172126.3654197198</v>
      </c>
      <c r="K17" s="139">
        <v>1230762.2886216699</v>
      </c>
      <c r="L17" s="139">
        <v>1262598.31254447</v>
      </c>
      <c r="M17" s="139">
        <v>1291715.31649867</v>
      </c>
      <c r="N17" s="111">
        <f>I17-F17</f>
        <v>189970.56233808002</v>
      </c>
      <c r="O17" s="111">
        <f>I17-B17</f>
        <v>71932.723603509832</v>
      </c>
    </row>
    <row r="18" spans="1:15" x14ac:dyDescent="0.35">
      <c r="A18" s="114" t="s">
        <v>105</v>
      </c>
      <c r="B18" s="115">
        <f t="shared" ref="B18:M18" si="0">SUM(B16:B17)</f>
        <v>1462612.12</v>
      </c>
      <c r="C18" s="115">
        <f t="shared" si="0"/>
        <v>1524935.4100000001</v>
      </c>
      <c r="D18" s="115">
        <f t="shared" si="0"/>
        <v>1500673.1712374599</v>
      </c>
      <c r="E18" s="115">
        <f t="shared" si="0"/>
        <v>1286587.19220303</v>
      </c>
      <c r="F18" s="115">
        <f t="shared" si="0"/>
        <v>1843666.5728649399</v>
      </c>
      <c r="G18" s="115">
        <f t="shared" si="0"/>
        <v>2285739</v>
      </c>
      <c r="H18" s="115">
        <f t="shared" si="0"/>
        <v>2011315.9464839001</v>
      </c>
      <c r="I18" s="115">
        <f t="shared" si="0"/>
        <v>2607509.4231857299</v>
      </c>
      <c r="J18" s="115">
        <f t="shared" si="0"/>
        <v>2844008.83437966</v>
      </c>
      <c r="K18" s="115">
        <f t="shared" si="0"/>
        <v>2962294.2692307499</v>
      </c>
      <c r="L18" s="115">
        <f t="shared" si="0"/>
        <v>3079208.1650529304</v>
      </c>
      <c r="M18" s="115">
        <f t="shared" si="0"/>
        <v>3147411.2437509801</v>
      </c>
      <c r="N18" s="111">
        <f>I18-F18</f>
        <v>763842.85032078996</v>
      </c>
      <c r="O18" s="111">
        <f>I18-B18</f>
        <v>1144897.3031857298</v>
      </c>
    </row>
    <row r="19" spans="1:15" x14ac:dyDescent="0.35">
      <c r="A19" s="138" t="s">
        <v>72</v>
      </c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1"/>
      <c r="O19" s="111"/>
    </row>
    <row r="20" spans="1:15" x14ac:dyDescent="0.35">
      <c r="A20" s="137" t="s">
        <v>73</v>
      </c>
      <c r="B20" s="139">
        <v>1753640.7170376398</v>
      </c>
      <c r="C20" s="139">
        <v>1937195.4412009497</v>
      </c>
      <c r="D20" s="139">
        <v>2175972.5757670505</v>
      </c>
      <c r="E20" s="139">
        <v>1968837.98075353</v>
      </c>
      <c r="F20" s="139">
        <v>2382422.2723225397</v>
      </c>
      <c r="G20" s="139">
        <v>2748586</v>
      </c>
      <c r="H20" s="139">
        <v>5148229</v>
      </c>
      <c r="I20" s="139">
        <v>6000414</v>
      </c>
      <c r="J20" s="139">
        <v>5981835</v>
      </c>
      <c r="K20" s="139">
        <v>6167220</v>
      </c>
      <c r="L20" s="139">
        <v>5713253</v>
      </c>
      <c r="M20" s="139">
        <v>5819308</v>
      </c>
      <c r="N20" s="111">
        <f>I20-F20</f>
        <v>3617991.7276774603</v>
      </c>
      <c r="O20" s="111">
        <f>I20-B20</f>
        <v>4246773.2829623604</v>
      </c>
    </row>
    <row r="21" spans="1:15" x14ac:dyDescent="0.35">
      <c r="A21" s="137" t="s">
        <v>74</v>
      </c>
      <c r="B21" s="139">
        <v>2761216.7329623303</v>
      </c>
      <c r="C21" s="139">
        <v>3157925.7287990488</v>
      </c>
      <c r="D21" s="139">
        <v>3163865.7342329496</v>
      </c>
      <c r="E21" s="139">
        <v>2971801.7340006493</v>
      </c>
      <c r="F21" s="139">
        <v>3043825.4888005992</v>
      </c>
      <c r="G21" s="139">
        <v>3237911</v>
      </c>
      <c r="H21" s="139">
        <v>3210030</v>
      </c>
      <c r="I21" s="139">
        <v>3397216</v>
      </c>
      <c r="J21" s="139">
        <v>3580700</v>
      </c>
      <c r="K21" s="139">
        <v>3659738</v>
      </c>
      <c r="L21" s="139">
        <v>3759433</v>
      </c>
      <c r="M21" s="139">
        <v>3844349</v>
      </c>
      <c r="N21" s="111">
        <f>I21-F21</f>
        <v>353390.51119940076</v>
      </c>
      <c r="O21" s="111">
        <f>I21-B21</f>
        <v>635999.26703766966</v>
      </c>
    </row>
    <row r="22" spans="1:15" x14ac:dyDescent="0.35">
      <c r="A22" s="114" t="s">
        <v>105</v>
      </c>
      <c r="B22" s="115">
        <f t="shared" ref="B22:M22" si="1">SUM(B20:B21)</f>
        <v>4514857.4499999704</v>
      </c>
      <c r="C22" s="115">
        <f t="shared" si="1"/>
        <v>5095121.1699999981</v>
      </c>
      <c r="D22" s="115">
        <f t="shared" si="1"/>
        <v>5339838.3100000005</v>
      </c>
      <c r="E22" s="115">
        <f t="shared" si="1"/>
        <v>4940639.7147541791</v>
      </c>
      <c r="F22" s="115">
        <f t="shared" si="1"/>
        <v>5426247.7611231394</v>
      </c>
      <c r="G22" s="115">
        <f t="shared" si="1"/>
        <v>5986497</v>
      </c>
      <c r="H22" s="115">
        <f t="shared" si="1"/>
        <v>8358259</v>
      </c>
      <c r="I22" s="115">
        <f t="shared" si="1"/>
        <v>9397630</v>
      </c>
      <c r="J22" s="115">
        <f t="shared" si="1"/>
        <v>9562535</v>
      </c>
      <c r="K22" s="115">
        <f t="shared" si="1"/>
        <v>9826958</v>
      </c>
      <c r="L22" s="115">
        <f t="shared" si="1"/>
        <v>9472686</v>
      </c>
      <c r="M22" s="115">
        <f t="shared" si="1"/>
        <v>9663657</v>
      </c>
      <c r="N22" s="111">
        <f>I22-F22</f>
        <v>3971382.2388768606</v>
      </c>
      <c r="O22" s="111">
        <f>I22-B22</f>
        <v>4882772.5500000296</v>
      </c>
    </row>
    <row r="23" spans="1:15" x14ac:dyDescent="0.35">
      <c r="A23" s="138" t="s">
        <v>75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1"/>
      <c r="O23" s="111"/>
    </row>
    <row r="24" spans="1:15" x14ac:dyDescent="0.35">
      <c r="A24" s="137" t="s">
        <v>76</v>
      </c>
      <c r="B24" s="139">
        <v>4754124.5500719696</v>
      </c>
      <c r="C24" s="139">
        <v>3316276.57</v>
      </c>
      <c r="D24" s="139">
        <v>3372960.4760351796</v>
      </c>
      <c r="E24" s="139">
        <v>3240726.7981307092</v>
      </c>
      <c r="F24" s="139">
        <v>7244498.1907240599</v>
      </c>
      <c r="G24" s="139">
        <v>6176647</v>
      </c>
      <c r="H24" s="139">
        <v>5230833.7305804696</v>
      </c>
      <c r="I24" s="139">
        <v>6230398.8034011386</v>
      </c>
      <c r="J24" s="139">
        <v>7238854.8392437398</v>
      </c>
      <c r="K24" s="139">
        <v>7159586.1472942019</v>
      </c>
      <c r="L24" s="139">
        <v>7469001.2497071587</v>
      </c>
      <c r="M24" s="139">
        <v>7640440.1714648185</v>
      </c>
      <c r="N24" s="111">
        <f>I24-F24</f>
        <v>-1014099.3873229213</v>
      </c>
      <c r="O24" s="111">
        <f t="shared" ref="O24:O29" si="2">I24-B24</f>
        <v>1476274.253329169</v>
      </c>
    </row>
    <row r="25" spans="1:15" x14ac:dyDescent="0.35">
      <c r="A25" s="112" t="s">
        <v>77</v>
      </c>
      <c r="B25" s="113">
        <v>3798293.5600719703</v>
      </c>
      <c r="C25" s="113">
        <v>2296420.96</v>
      </c>
      <c r="D25" s="113">
        <v>2489326.2896260195</v>
      </c>
      <c r="E25" s="113">
        <v>2211755.7598973494</v>
      </c>
      <c r="F25" s="113">
        <v>2776180.7051904802</v>
      </c>
      <c r="G25" s="113">
        <v>4727292</v>
      </c>
      <c r="H25" s="113">
        <v>3356355.6908947593</v>
      </c>
      <c r="I25" s="113">
        <v>3950313.9311429197</v>
      </c>
      <c r="J25" s="113">
        <v>4904581.5897169607</v>
      </c>
      <c r="K25" s="113">
        <v>4730151.6642415412</v>
      </c>
      <c r="L25" s="113">
        <v>4880771.1380686685</v>
      </c>
      <c r="M25" s="113">
        <v>4998370.2702011596</v>
      </c>
      <c r="N25" s="111">
        <f>I25-F25</f>
        <v>1174133.2259524395</v>
      </c>
      <c r="O25" s="111">
        <f t="shared" si="2"/>
        <v>152020.37107094936</v>
      </c>
    </row>
    <row r="26" spans="1:15" x14ac:dyDescent="0.35">
      <c r="A26" s="112" t="s">
        <v>78</v>
      </c>
      <c r="B26" s="113">
        <v>955830.98999999976</v>
      </c>
      <c r="C26" s="113">
        <v>1019855.61</v>
      </c>
      <c r="D26" s="113">
        <v>883634.18640916003</v>
      </c>
      <c r="E26" s="113">
        <v>1028971.0382333599</v>
      </c>
      <c r="F26" s="113">
        <v>4468317.4855335793</v>
      </c>
      <c r="G26" s="113">
        <v>1449354</v>
      </c>
      <c r="H26" s="113">
        <v>1874478.0396857101</v>
      </c>
      <c r="I26" s="113">
        <v>2280084.8722582194</v>
      </c>
      <c r="J26" s="113">
        <v>2334273.2495267796</v>
      </c>
      <c r="K26" s="113">
        <v>2429434.4830526607</v>
      </c>
      <c r="L26" s="113">
        <v>2588230.1116384896</v>
      </c>
      <c r="M26" s="113">
        <v>2642069.9012636589</v>
      </c>
      <c r="N26" s="111">
        <f>I26-F26</f>
        <v>-2188232.6132753599</v>
      </c>
      <c r="O26" s="111">
        <f t="shared" si="2"/>
        <v>1324253.8822582196</v>
      </c>
    </row>
    <row r="27" spans="1:15" x14ac:dyDescent="0.35">
      <c r="A27" s="137" t="s">
        <v>79</v>
      </c>
      <c r="B27" s="139">
        <v>1657866.9400000004</v>
      </c>
      <c r="C27" s="139">
        <v>1695285.57</v>
      </c>
      <c r="D27" s="139">
        <v>1779430.9400000004</v>
      </c>
      <c r="E27" s="139">
        <v>2317387.6</v>
      </c>
      <c r="F27" s="139">
        <v>2423894.8937090798</v>
      </c>
      <c r="G27" s="139">
        <v>3743950</v>
      </c>
      <c r="H27" s="139">
        <v>2488644.9339942094</v>
      </c>
      <c r="I27" s="139">
        <v>2325776.5432013096</v>
      </c>
      <c r="J27" s="139">
        <v>2415749.6352724801</v>
      </c>
      <c r="K27" s="139">
        <v>2469854.5719992807</v>
      </c>
      <c r="L27" s="139">
        <v>2533804.7601714106</v>
      </c>
      <c r="M27" s="139">
        <v>2592279.8461057297</v>
      </c>
      <c r="N27" s="111">
        <f>I27-F27</f>
        <v>-98118.350507770199</v>
      </c>
      <c r="O27" s="111">
        <f t="shared" si="2"/>
        <v>667909.60320130922</v>
      </c>
    </row>
    <row r="28" spans="1:15" x14ac:dyDescent="0.35">
      <c r="A28" s="137" t="s">
        <v>80</v>
      </c>
      <c r="B28" s="139">
        <v>1034940.0000000002</v>
      </c>
      <c r="C28" s="139">
        <v>1320894.2599999998</v>
      </c>
      <c r="D28" s="139">
        <v>1172450.3427273598</v>
      </c>
      <c r="E28" s="139">
        <v>1325554.1249120799</v>
      </c>
      <c r="F28" s="139">
        <v>1605701.95553361</v>
      </c>
      <c r="G28" s="139">
        <v>1716543</v>
      </c>
      <c r="H28" s="139">
        <v>1770799.3966327901</v>
      </c>
      <c r="I28" s="139">
        <v>1972203.6455362297</v>
      </c>
      <c r="J28" s="139">
        <v>2688411.49459989</v>
      </c>
      <c r="K28" s="139">
        <v>2820564.4683069596</v>
      </c>
      <c r="L28" s="139">
        <v>2894054.5739056203</v>
      </c>
      <c r="M28" s="139">
        <v>3128924.9829585901</v>
      </c>
      <c r="N28" s="111">
        <f>I28-F28</f>
        <v>366501.69000261975</v>
      </c>
      <c r="O28" s="111">
        <f t="shared" si="2"/>
        <v>937263.64553622948</v>
      </c>
    </row>
    <row r="29" spans="1:15" x14ac:dyDescent="0.35">
      <c r="A29" s="137" t="s">
        <v>81</v>
      </c>
      <c r="B29" s="139">
        <v>1230933.95</v>
      </c>
      <c r="C29" s="139">
        <v>1107117.46</v>
      </c>
      <c r="D29" s="139">
        <v>1244583.94</v>
      </c>
      <c r="E29" s="139">
        <v>1683787.52</v>
      </c>
      <c r="F29" s="139">
        <v>1886961.84</v>
      </c>
      <c r="G29" s="139">
        <v>2211801</v>
      </c>
      <c r="H29" s="139">
        <v>2095039.9568868601</v>
      </c>
      <c r="I29" s="139">
        <v>2177664.5482080602</v>
      </c>
      <c r="J29" s="139">
        <v>2220061.4802104002</v>
      </c>
      <c r="K29" s="139">
        <v>2439025.5679062805</v>
      </c>
      <c r="L29" s="139">
        <v>2487822.5861775801</v>
      </c>
      <c r="M29" s="139">
        <v>2535549.9143347</v>
      </c>
      <c r="N29" s="111">
        <f t="shared" ref="N29" si="3">I29-F29</f>
        <v>290702.70820806012</v>
      </c>
      <c r="O29" s="111">
        <f t="shared" si="2"/>
        <v>946730.59820806026</v>
      </c>
    </row>
    <row r="30" spans="1:15" x14ac:dyDescent="0.35">
      <c r="A30" s="114" t="s">
        <v>105</v>
      </c>
      <c r="B30" s="115">
        <f>B24+SUM(B27:B29)</f>
        <v>8677865.4400719702</v>
      </c>
      <c r="C30" s="115">
        <f t="shared" ref="C30:N30" si="4">C24+SUM(C27:C29)</f>
        <v>7439573.8599999994</v>
      </c>
      <c r="D30" s="115">
        <f t="shared" si="4"/>
        <v>7569425.6987625398</v>
      </c>
      <c r="E30" s="115">
        <f t="shared" si="4"/>
        <v>8567456.0430427901</v>
      </c>
      <c r="F30" s="115">
        <f t="shared" si="4"/>
        <v>13161056.879966751</v>
      </c>
      <c r="G30" s="115">
        <f t="shared" si="4"/>
        <v>13848941</v>
      </c>
      <c r="H30" s="115">
        <f t="shared" si="4"/>
        <v>11585318.018094329</v>
      </c>
      <c r="I30" s="115">
        <f t="shared" si="4"/>
        <v>12706043.540346738</v>
      </c>
      <c r="J30" s="115">
        <f t="shared" si="4"/>
        <v>14563077.449326511</v>
      </c>
      <c r="K30" s="115">
        <f t="shared" si="4"/>
        <v>14889030.755506724</v>
      </c>
      <c r="L30" s="115">
        <f t="shared" si="4"/>
        <v>15384683.169961769</v>
      </c>
      <c r="M30" s="115">
        <f t="shared" si="4"/>
        <v>15897194.91486384</v>
      </c>
      <c r="N30" s="115">
        <f t="shared" si="4"/>
        <v>-455013.33962001163</v>
      </c>
      <c r="O30" s="149">
        <f t="shared" ref="O30" si="5">I30-B30</f>
        <v>4028178.1002747677</v>
      </c>
    </row>
    <row r="31" spans="1:15" x14ac:dyDescent="0.35">
      <c r="A31" s="138" t="s">
        <v>82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1"/>
      <c r="O31" s="111"/>
    </row>
    <row r="32" spans="1:15" x14ac:dyDescent="0.35">
      <c r="A32" s="137" t="s">
        <v>83</v>
      </c>
      <c r="B32" s="139">
        <v>3185232.9390640003</v>
      </c>
      <c r="C32" s="139">
        <v>3468356.3241930497</v>
      </c>
      <c r="D32" s="139">
        <v>3453546.37</v>
      </c>
      <c r="E32" s="139">
        <v>3027711.66</v>
      </c>
      <c r="F32" s="139">
        <v>3368032.0609914404</v>
      </c>
      <c r="G32" s="139">
        <v>3462208</v>
      </c>
      <c r="H32" s="139">
        <v>3712626.0760019701</v>
      </c>
      <c r="I32" s="140">
        <v>3996630.9985597301</v>
      </c>
      <c r="J32" s="140">
        <v>4052281.0756641901</v>
      </c>
      <c r="K32" s="140">
        <v>4069928.71107243</v>
      </c>
      <c r="L32" s="140">
        <v>4060580.5866118898</v>
      </c>
      <c r="M32" s="140">
        <v>4050345.80459229</v>
      </c>
      <c r="N32" s="111">
        <f>I32-F32</f>
        <v>628598.93756828969</v>
      </c>
      <c r="O32" s="111">
        <f>I32-B32</f>
        <v>811398.05949572986</v>
      </c>
    </row>
    <row r="33" spans="1:15" x14ac:dyDescent="0.35">
      <c r="A33" s="137" t="s">
        <v>84</v>
      </c>
      <c r="B33" s="139">
        <v>2771222.0700000003</v>
      </c>
      <c r="C33" s="139">
        <v>2945161.3899999992</v>
      </c>
      <c r="D33" s="139">
        <v>3515176.7600000007</v>
      </c>
      <c r="E33" s="139">
        <v>4194351.68</v>
      </c>
      <c r="F33" s="139">
        <v>4571382.6077344408</v>
      </c>
      <c r="G33" s="139">
        <v>4541282</v>
      </c>
      <c r="H33" s="139">
        <v>5146456.11945769</v>
      </c>
      <c r="I33" s="140">
        <v>5397981.8306369614</v>
      </c>
      <c r="J33" s="140">
        <v>5404587.5373106413</v>
      </c>
      <c r="K33" s="140">
        <v>5525085.7946791109</v>
      </c>
      <c r="L33" s="140">
        <v>5671619.6937753083</v>
      </c>
      <c r="M33" s="140">
        <v>5803060.3598234691</v>
      </c>
      <c r="N33" s="111">
        <f>I33-F33</f>
        <v>826599.22290252056</v>
      </c>
      <c r="O33" s="111">
        <f>I33-B33</f>
        <v>2626759.7606369611</v>
      </c>
    </row>
    <row r="34" spans="1:15" x14ac:dyDescent="0.35">
      <c r="A34" s="137" t="s">
        <v>85</v>
      </c>
      <c r="B34" s="139">
        <v>4143077.69</v>
      </c>
      <c r="C34" s="139">
        <v>3032628.4058069503</v>
      </c>
      <c r="D34" s="139">
        <v>2112181.8899999997</v>
      </c>
      <c r="E34" s="139">
        <v>2076943.1500000001</v>
      </c>
      <c r="F34" s="139">
        <v>2591997.8514509499</v>
      </c>
      <c r="G34" s="139">
        <v>4774578</v>
      </c>
      <c r="H34" s="139">
        <v>3233149.79708579</v>
      </c>
      <c r="I34" s="140">
        <v>3292215.6879942296</v>
      </c>
      <c r="J34" s="140">
        <v>3429788.5971882101</v>
      </c>
      <c r="K34" s="140">
        <v>3637385.2645877399</v>
      </c>
      <c r="L34" s="140">
        <v>3581943.5451885904</v>
      </c>
      <c r="M34" s="140">
        <v>3658651.7208888102</v>
      </c>
      <c r="N34" s="111">
        <f>I34-F34</f>
        <v>700217.8365432797</v>
      </c>
      <c r="O34" s="111">
        <f>I34-B34</f>
        <v>-850862.00200577034</v>
      </c>
    </row>
    <row r="35" spans="1:15" x14ac:dyDescent="0.35">
      <c r="A35" s="137" t="s">
        <v>86</v>
      </c>
      <c r="B35" s="139">
        <v>3363366.8699999996</v>
      </c>
      <c r="C35" s="139">
        <v>3208227.8000000003</v>
      </c>
      <c r="D35" s="139">
        <v>2942217.4100000006</v>
      </c>
      <c r="E35" s="139">
        <v>2855642.81</v>
      </c>
      <c r="F35" s="139">
        <v>2961458.83</v>
      </c>
      <c r="G35" s="139">
        <v>3153110</v>
      </c>
      <c r="H35" s="139">
        <v>3348141.9404989602</v>
      </c>
      <c r="I35" s="140">
        <v>3545242.8666368295</v>
      </c>
      <c r="J35" s="140">
        <v>5248299.5564344404</v>
      </c>
      <c r="K35" s="140">
        <v>4575440.2613060903</v>
      </c>
      <c r="L35" s="140">
        <v>4665981.2657343196</v>
      </c>
      <c r="M35" s="140">
        <v>4748233.9863927998</v>
      </c>
      <c r="N35" s="111">
        <f>I35-F35</f>
        <v>583784.03663682938</v>
      </c>
      <c r="O35" s="111">
        <f>I35-B35</f>
        <v>181875.9966368298</v>
      </c>
    </row>
    <row r="36" spans="1:15" x14ac:dyDescent="0.35">
      <c r="A36" s="114" t="s">
        <v>105</v>
      </c>
      <c r="B36" s="115">
        <f t="shared" ref="B36:M36" si="6">SUM(B32:B35)</f>
        <v>13462899.569063999</v>
      </c>
      <c r="C36" s="115">
        <f t="shared" si="6"/>
        <v>12654373.92</v>
      </c>
      <c r="D36" s="115">
        <f t="shared" si="6"/>
        <v>12023122.43</v>
      </c>
      <c r="E36" s="115">
        <f t="shared" si="6"/>
        <v>12154649.300000001</v>
      </c>
      <c r="F36" s="115">
        <f t="shared" si="6"/>
        <v>13492871.350176832</v>
      </c>
      <c r="G36" s="115">
        <f t="shared" si="6"/>
        <v>15931178</v>
      </c>
      <c r="H36" s="115">
        <f t="shared" si="6"/>
        <v>15440373.933044411</v>
      </c>
      <c r="I36" s="115">
        <f t="shared" si="6"/>
        <v>16232071.383827752</v>
      </c>
      <c r="J36" s="115">
        <f t="shared" si="6"/>
        <v>18134956.766597483</v>
      </c>
      <c r="K36" s="115">
        <f t="shared" si="6"/>
        <v>17807840.031645373</v>
      </c>
      <c r="L36" s="115">
        <f t="shared" si="6"/>
        <v>17980125.09131011</v>
      </c>
      <c r="M36" s="115">
        <f t="shared" si="6"/>
        <v>18260291.871697366</v>
      </c>
      <c r="N36" s="111">
        <f>I36-F36</f>
        <v>2739200.0336509198</v>
      </c>
      <c r="O36" s="111">
        <f>I36-B36</f>
        <v>2769171.8147637527</v>
      </c>
    </row>
    <row r="37" spans="1:15" x14ac:dyDescent="0.35">
      <c r="A37" s="136" t="s">
        <v>87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</row>
    <row r="38" spans="1:15" x14ac:dyDescent="0.35">
      <c r="A38" s="137" t="s">
        <v>88</v>
      </c>
      <c r="B38" s="139">
        <v>2781693.12</v>
      </c>
      <c r="C38" s="139">
        <v>3306325.9899999998</v>
      </c>
      <c r="D38" s="139">
        <v>4176152.09</v>
      </c>
      <c r="E38" s="139">
        <v>4913664.3999999994</v>
      </c>
      <c r="F38" s="139">
        <v>5269764.624714151</v>
      </c>
      <c r="G38" s="139">
        <v>5224325</v>
      </c>
      <c r="H38" s="139">
        <v>6799861.2942950502</v>
      </c>
      <c r="I38" s="140">
        <v>12087160.078191642</v>
      </c>
      <c r="J38" s="140">
        <v>12855282.027613642</v>
      </c>
      <c r="K38" s="140">
        <v>12461715.87707573</v>
      </c>
      <c r="L38" s="140">
        <v>12773661.93932269</v>
      </c>
      <c r="M38" s="140">
        <v>13218098.099151101</v>
      </c>
      <c r="N38" s="111">
        <f>I38-F38</f>
        <v>6817395.4534774907</v>
      </c>
      <c r="O38" s="111">
        <f>I38-B38</f>
        <v>9305466.9581916407</v>
      </c>
    </row>
    <row r="39" spans="1:15" x14ac:dyDescent="0.35">
      <c r="A39" s="137" t="s">
        <v>89</v>
      </c>
      <c r="B39" s="139">
        <v>2094589.5400000007</v>
      </c>
      <c r="C39" s="139">
        <v>3102735.8400000012</v>
      </c>
      <c r="D39" s="139">
        <v>3075594.3200000003</v>
      </c>
      <c r="E39" s="139">
        <v>4099093.0699999984</v>
      </c>
      <c r="F39" s="139">
        <v>4877717.9232924506</v>
      </c>
      <c r="G39" s="139">
        <v>4903808</v>
      </c>
      <c r="H39" s="139">
        <v>6147441.9184877826</v>
      </c>
      <c r="I39" s="140">
        <v>6861342.092823009</v>
      </c>
      <c r="J39" s="140">
        <v>7138856.2818070697</v>
      </c>
      <c r="K39" s="140">
        <v>7351888.8868476991</v>
      </c>
      <c r="L39" s="140">
        <v>7552146.6474933382</v>
      </c>
      <c r="M39" s="140">
        <v>7720720.0532395821</v>
      </c>
      <c r="N39" s="111">
        <f>I39-F39</f>
        <v>1983624.1695305584</v>
      </c>
      <c r="O39" s="111">
        <f>I39-B39</f>
        <v>4766752.552823008</v>
      </c>
    </row>
    <row r="40" spans="1:15" x14ac:dyDescent="0.35">
      <c r="A40" s="137" t="s">
        <v>90</v>
      </c>
      <c r="B40" s="139">
        <v>3428555.2400000468</v>
      </c>
      <c r="C40" s="139">
        <v>3671266.959999999</v>
      </c>
      <c r="D40" s="139">
        <v>3921705.7000000067</v>
      </c>
      <c r="E40" s="139">
        <v>3519848.1500000069</v>
      </c>
      <c r="F40" s="139">
        <v>3586170.0827628523</v>
      </c>
      <c r="G40" s="139">
        <v>4912864</v>
      </c>
      <c r="H40" s="139">
        <v>4689199.8770410269</v>
      </c>
      <c r="I40" s="140">
        <v>5246159.0854328461</v>
      </c>
      <c r="J40" s="140">
        <v>5534420.9373948947</v>
      </c>
      <c r="K40" s="140">
        <v>5972066.7724775188</v>
      </c>
      <c r="L40" s="140">
        <v>6329328.5617619976</v>
      </c>
      <c r="M40" s="140">
        <v>6473573.6131509803</v>
      </c>
      <c r="N40" s="111">
        <f t="shared" ref="N40:N44" si="7">I40-F40</f>
        <v>1659989.0026699938</v>
      </c>
      <c r="O40" s="111">
        <f t="shared" ref="O40:O45" si="8">I40-B40</f>
        <v>1817603.8454327993</v>
      </c>
    </row>
    <row r="41" spans="1:15" x14ac:dyDescent="0.35">
      <c r="A41" s="137" t="s">
        <v>91</v>
      </c>
      <c r="B41" s="139">
        <v>1765347.3208639997</v>
      </c>
      <c r="C41" s="139">
        <v>780504.6399999999</v>
      </c>
      <c r="D41" s="139">
        <v>1312210.93</v>
      </c>
      <c r="E41" s="139">
        <v>1214410.02</v>
      </c>
      <c r="F41" s="139">
        <v>1165640.3683208399</v>
      </c>
      <c r="G41" s="139">
        <v>1529328</v>
      </c>
      <c r="H41" s="139">
        <v>1259712.1900232201</v>
      </c>
      <c r="I41" s="140">
        <v>2176951.6196252201</v>
      </c>
      <c r="J41" s="140">
        <v>2276826.5907964902</v>
      </c>
      <c r="K41" s="140">
        <v>2359078.1000625999</v>
      </c>
      <c r="L41" s="140">
        <v>2447589.29113296</v>
      </c>
      <c r="M41" s="140">
        <v>2537940.5992948902</v>
      </c>
      <c r="N41" s="111">
        <f>I41-F41</f>
        <v>1011311.2513043801</v>
      </c>
      <c r="O41" s="111">
        <f t="shared" si="8"/>
        <v>411604.29876122042</v>
      </c>
    </row>
    <row r="42" spans="1:15" x14ac:dyDescent="0.35">
      <c r="A42" s="137" t="s">
        <v>92</v>
      </c>
      <c r="B42" s="139">
        <v>1479738.43</v>
      </c>
      <c r="C42" s="139">
        <v>1617262.7399999998</v>
      </c>
      <c r="D42" s="139">
        <v>1440635.8099999998</v>
      </c>
      <c r="E42" s="139">
        <v>3116062</v>
      </c>
      <c r="F42" s="139">
        <v>2685276.6137396093</v>
      </c>
      <c r="G42" s="139">
        <v>3328293</v>
      </c>
      <c r="H42" s="139">
        <v>3166008.7819252601</v>
      </c>
      <c r="I42" s="140">
        <v>4955135</v>
      </c>
      <c r="J42" s="140">
        <v>5238159</v>
      </c>
      <c r="K42" s="140">
        <v>5297738</v>
      </c>
      <c r="L42" s="140">
        <v>5367415</v>
      </c>
      <c r="M42" s="140">
        <v>5431749</v>
      </c>
      <c r="N42" s="111">
        <f>I42-F42</f>
        <v>2269858.3862603907</v>
      </c>
      <c r="O42" s="111">
        <f t="shared" si="8"/>
        <v>3475396.5700000003</v>
      </c>
    </row>
    <row r="43" spans="1:15" x14ac:dyDescent="0.35">
      <c r="A43" s="137" t="s">
        <v>93</v>
      </c>
      <c r="B43" s="139">
        <v>402246.23</v>
      </c>
      <c r="C43" s="139">
        <v>904408.86</v>
      </c>
      <c r="D43" s="139">
        <v>1411383.4</v>
      </c>
      <c r="E43" s="139">
        <v>1210915.8499999999</v>
      </c>
      <c r="F43" s="139">
        <v>1338822.46746119</v>
      </c>
      <c r="G43" s="139">
        <v>1319886</v>
      </c>
      <c r="H43" s="139">
        <v>1509059.2543915298</v>
      </c>
      <c r="I43" s="140">
        <v>1706717.15280615</v>
      </c>
      <c r="J43" s="140">
        <v>1934638.9732301498</v>
      </c>
      <c r="K43" s="140">
        <v>2179904.9869516296</v>
      </c>
      <c r="L43" s="140">
        <v>2234335.2630598098</v>
      </c>
      <c r="M43" s="140">
        <v>2284506.5158935599</v>
      </c>
      <c r="N43" s="111">
        <f t="shared" si="7"/>
        <v>367894.68534496007</v>
      </c>
      <c r="O43" s="111">
        <f t="shared" si="8"/>
        <v>1304470.92280615</v>
      </c>
    </row>
    <row r="44" spans="1:15" x14ac:dyDescent="0.35">
      <c r="A44" s="137" t="s">
        <v>94</v>
      </c>
      <c r="B44" s="139">
        <v>2554144.1900000004</v>
      </c>
      <c r="C44" s="139">
        <v>3029539.59</v>
      </c>
      <c r="D44" s="139">
        <v>3423978.4699999997</v>
      </c>
      <c r="E44" s="139">
        <v>3576953.77</v>
      </c>
      <c r="F44" s="139">
        <v>3537182.6155772596</v>
      </c>
      <c r="G44" s="139">
        <v>4323956</v>
      </c>
      <c r="H44" s="139">
        <v>5893656.7932249792</v>
      </c>
      <c r="I44" s="140">
        <v>6888866.2485582903</v>
      </c>
      <c r="J44" s="140">
        <v>7383904.5670551294</v>
      </c>
      <c r="K44" s="140">
        <v>8323339.4954531612</v>
      </c>
      <c r="L44" s="140">
        <v>8716463.0582621191</v>
      </c>
      <c r="M44" s="140">
        <v>9128202.79516799</v>
      </c>
      <c r="N44" s="111">
        <f t="shared" si="7"/>
        <v>3351683.6329810307</v>
      </c>
      <c r="O44" s="111">
        <f t="shared" si="8"/>
        <v>4334722.0585582899</v>
      </c>
    </row>
    <row r="45" spans="1:15" x14ac:dyDescent="0.35">
      <c r="A45" s="114" t="s">
        <v>105</v>
      </c>
      <c r="B45" s="115">
        <f>SUM(B38:B44)</f>
        <v>14506314.070864048</v>
      </c>
      <c r="C45" s="115">
        <f t="shared" ref="C45:N45" si="9">SUM(C38:C44)</f>
        <v>16412044.619999999</v>
      </c>
      <c r="D45" s="115">
        <f t="shared" si="9"/>
        <v>18761660.720000006</v>
      </c>
      <c r="E45" s="115">
        <f t="shared" si="9"/>
        <v>21650947.260000005</v>
      </c>
      <c r="F45" s="115">
        <f t="shared" si="9"/>
        <v>22460574.695868351</v>
      </c>
      <c r="G45" s="115">
        <f t="shared" si="9"/>
        <v>25542460</v>
      </c>
      <c r="H45" s="115">
        <f t="shared" si="9"/>
        <v>29464940.109388851</v>
      </c>
      <c r="I45" s="115">
        <f t="shared" si="9"/>
        <v>39922331.277437165</v>
      </c>
      <c r="J45" s="115">
        <f t="shared" si="9"/>
        <v>42362088.377897374</v>
      </c>
      <c r="K45" s="115">
        <f t="shared" si="9"/>
        <v>43945732.118868344</v>
      </c>
      <c r="L45" s="115">
        <f t="shared" si="9"/>
        <v>45420939.761032917</v>
      </c>
      <c r="M45" s="115">
        <f t="shared" si="9"/>
        <v>46794790.675898097</v>
      </c>
      <c r="N45" s="115">
        <f t="shared" si="9"/>
        <v>17461756.581568807</v>
      </c>
      <c r="O45" s="149">
        <f t="shared" si="8"/>
        <v>25416017.206573118</v>
      </c>
    </row>
    <row r="46" spans="1:15" ht="14.25" customHeight="1" x14ac:dyDescent="0.35">
      <c r="A46" s="138" t="s">
        <v>106</v>
      </c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1"/>
      <c r="O46" s="111"/>
    </row>
    <row r="47" spans="1:15" ht="14.25" customHeight="1" x14ac:dyDescent="0.35">
      <c r="A47" s="137" t="s">
        <v>96</v>
      </c>
      <c r="B47" s="139">
        <v>0</v>
      </c>
      <c r="C47" s="139">
        <v>0</v>
      </c>
      <c r="D47" s="139">
        <v>0</v>
      </c>
      <c r="E47" s="139">
        <v>-1570875.11</v>
      </c>
      <c r="F47" s="139">
        <v>-1886961.84</v>
      </c>
      <c r="G47" s="139">
        <v>-2211800.9900000002</v>
      </c>
      <c r="H47" s="139">
        <v>-2095040</v>
      </c>
      <c r="I47" s="139">
        <v>0</v>
      </c>
      <c r="J47" s="139">
        <v>0</v>
      </c>
      <c r="K47" s="139">
        <v>0</v>
      </c>
      <c r="L47" s="139">
        <v>0</v>
      </c>
      <c r="M47" s="139">
        <v>0</v>
      </c>
      <c r="N47" s="111">
        <f t="shared" ref="N47:N49" si="10">I47-F47</f>
        <v>1886961.84</v>
      </c>
      <c r="O47" s="111">
        <f t="shared" ref="O47:O49" si="11">I47-B47</f>
        <v>0</v>
      </c>
    </row>
    <row r="48" spans="1:15" ht="14.25" customHeight="1" x14ac:dyDescent="0.35">
      <c r="A48" s="137" t="s">
        <v>97</v>
      </c>
      <c r="B48" s="139">
        <v>-320412.19</v>
      </c>
      <c r="C48" s="139">
        <v>-210340.62</v>
      </c>
      <c r="D48" s="139">
        <v>-276256.02</v>
      </c>
      <c r="E48" s="139">
        <v>-367208.06999999995</v>
      </c>
      <c r="F48" s="139">
        <v>-897079.82000000007</v>
      </c>
      <c r="G48" s="139">
        <v>-357783.07</v>
      </c>
      <c r="H48" s="139">
        <v>-673988</v>
      </c>
      <c r="I48" s="139">
        <v>0</v>
      </c>
      <c r="J48" s="139">
        <v>0</v>
      </c>
      <c r="K48" s="139">
        <v>0</v>
      </c>
      <c r="L48" s="139">
        <v>0</v>
      </c>
      <c r="M48" s="139">
        <v>0</v>
      </c>
      <c r="N48" s="111">
        <f t="shared" si="10"/>
        <v>897079.82000000007</v>
      </c>
      <c r="O48" s="111">
        <f t="shared" si="11"/>
        <v>320412.19</v>
      </c>
    </row>
    <row r="49" spans="1:15" ht="15" thickBot="1" x14ac:dyDescent="0.4">
      <c r="A49" s="114" t="s">
        <v>105</v>
      </c>
      <c r="B49" s="115">
        <f t="shared" ref="B49:M49" si="12">SUM(B47:B48)</f>
        <v>-320412.19</v>
      </c>
      <c r="C49" s="115">
        <f t="shared" si="12"/>
        <v>-210340.62</v>
      </c>
      <c r="D49" s="115">
        <f t="shared" si="12"/>
        <v>-276256.02</v>
      </c>
      <c r="E49" s="115">
        <f t="shared" si="12"/>
        <v>-1938083.1800000002</v>
      </c>
      <c r="F49" s="115">
        <f t="shared" si="12"/>
        <v>-2784041.66</v>
      </c>
      <c r="G49" s="115">
        <f t="shared" si="12"/>
        <v>-2569584.06</v>
      </c>
      <c r="H49" s="115">
        <f t="shared" si="12"/>
        <v>-2769028</v>
      </c>
      <c r="I49" s="115">
        <f t="shared" si="12"/>
        <v>0</v>
      </c>
      <c r="J49" s="115">
        <f t="shared" si="12"/>
        <v>0</v>
      </c>
      <c r="K49" s="115">
        <f t="shared" si="12"/>
        <v>0</v>
      </c>
      <c r="L49" s="115">
        <f t="shared" si="12"/>
        <v>0</v>
      </c>
      <c r="M49" s="115">
        <f t="shared" si="12"/>
        <v>0</v>
      </c>
      <c r="N49" s="111">
        <f t="shared" si="10"/>
        <v>2784041.66</v>
      </c>
      <c r="O49" s="111">
        <f t="shared" si="11"/>
        <v>320412.19</v>
      </c>
    </row>
    <row r="50" spans="1:15" ht="15.5" thickTop="1" thickBot="1" x14ac:dyDescent="0.4">
      <c r="A50" s="117" t="s">
        <v>49</v>
      </c>
      <c r="B50" s="118" cm="1">
        <f t="array" ref="B50">SUMPRODUCT(--($A15:$A49="Sub-Total"), B15:B49)</f>
        <v>42304136.459999993</v>
      </c>
      <c r="C50" s="118" cm="1">
        <f t="array" ref="C50">SUMPRODUCT(--($A15:$A49="Sub-Total"), C15:C49)</f>
        <v>42915708.359999999</v>
      </c>
      <c r="D50" s="118" cm="1">
        <f t="array" ref="D50">SUMPRODUCT(--($A15:$A49="Sub-Total"), D15:D49)</f>
        <v>44918464.310000002</v>
      </c>
      <c r="E50" s="118" cm="1">
        <f t="array" ref="E50">SUMPRODUCT(--($A15:$A49="Sub-Total"), E15:E49)</f>
        <v>46662196.330000006</v>
      </c>
      <c r="F50" s="118" cm="1">
        <f t="array" ref="F50">SUMPRODUCT(--($A15:$A49="Sub-Total"), F15:F49)</f>
        <v>53600375.600000009</v>
      </c>
      <c r="G50" s="118" cm="1">
        <f t="array" ref="G50">SUMPRODUCT(--($A15:$A49="Sub-Total"), G15:G49)</f>
        <v>61025230.939999998</v>
      </c>
      <c r="H50" s="118" cm="1">
        <f t="array" ref="H50">SUMPRODUCT(--($A15:$A49="Sub-Total"), H15:H49)</f>
        <v>64091179.007011496</v>
      </c>
      <c r="I50" s="118" cm="1">
        <f t="array" ref="I50">SUMPRODUCT(--($A15:$A49="Sub-Total"), I15:I49)</f>
        <v>80865585.624797389</v>
      </c>
      <c r="J50" s="118" cm="1">
        <f t="array" ref="J50">SUMPRODUCT(--($A15:$A49="Sub-Total"), J15:J49)</f>
        <v>87466666.42820102</v>
      </c>
      <c r="K50" s="118" cm="1">
        <f t="array" ref="K50">SUMPRODUCT(--($A15:$A49="Sub-Total"), K15:K49)</f>
        <v>89431855.175251186</v>
      </c>
      <c r="L50" s="118" cm="1">
        <f t="array" ref="L50">SUMPRODUCT(--($A15:$A49="Sub-Total"), L15:L49)</f>
        <v>91337642.187357724</v>
      </c>
      <c r="M50" s="118" cm="1">
        <f t="array" ref="M50">SUMPRODUCT(--($A15:$A49="Sub-Total"), M15:M49)</f>
        <v>93763345.706210285</v>
      </c>
      <c r="N50" s="118" cm="1">
        <f t="array" ref="N50">SUMPRODUCT(--($A15:$A49="Sub-Total"), N15:N49)</f>
        <v>27265210.024797365</v>
      </c>
      <c r="O50" s="118" cm="1">
        <f t="array" ref="O50">SUMPRODUCT(--($A15:$A49="Sub-Total"), O$15:O$49)</f>
        <v>38561449.164797395</v>
      </c>
    </row>
    <row r="51" spans="1:15" x14ac:dyDescent="0.35">
      <c r="M51" s="152"/>
    </row>
    <row r="52" spans="1:15" x14ac:dyDescent="0.35">
      <c r="A52" s="119" t="s">
        <v>98</v>
      </c>
    </row>
    <row r="54" spans="1:15" x14ac:dyDescent="0.35">
      <c r="A54" s="193" t="s">
        <v>107</v>
      </c>
      <c r="B54" s="193"/>
      <c r="C54" s="193"/>
      <c r="D54" s="193"/>
      <c r="E54" s="193"/>
      <c r="F54" s="193"/>
      <c r="G54" s="193"/>
      <c r="H54" s="193"/>
      <c r="I54" s="193"/>
      <c r="J54" s="193"/>
    </row>
    <row r="55" spans="1:15" ht="16.5" customHeight="1" x14ac:dyDescent="0.35">
      <c r="A55" s="169"/>
      <c r="B55" s="169"/>
      <c r="C55" s="169"/>
      <c r="D55" s="169"/>
      <c r="E55" s="169"/>
      <c r="F55" s="169"/>
      <c r="G55" s="169"/>
      <c r="H55" s="169"/>
      <c r="I55" s="169"/>
    </row>
    <row r="56" spans="1:15" ht="16.5" customHeight="1" x14ac:dyDescent="0.35">
      <c r="A56" s="169"/>
      <c r="B56" s="169"/>
      <c r="C56" s="169"/>
      <c r="D56" s="169"/>
      <c r="E56" s="169"/>
      <c r="F56" s="169"/>
      <c r="G56" s="169"/>
      <c r="H56" s="169"/>
      <c r="I56" s="169"/>
    </row>
    <row r="58" spans="1:15" ht="15.5" x14ac:dyDescent="0.35">
      <c r="A58" s="120"/>
      <c r="B58" s="121"/>
      <c r="C58" s="121"/>
      <c r="D58" s="121"/>
      <c r="E58" s="121"/>
      <c r="F58" s="121"/>
      <c r="G58" s="121"/>
      <c r="H58" s="121"/>
      <c r="I58" s="121"/>
    </row>
    <row r="59" spans="1:15" x14ac:dyDescent="0.35">
      <c r="A59" s="121"/>
      <c r="B59" s="121"/>
      <c r="C59" s="121"/>
      <c r="D59" s="121"/>
      <c r="E59" s="121"/>
      <c r="F59" s="121"/>
      <c r="G59" s="121"/>
      <c r="H59" s="121"/>
      <c r="I59" s="121"/>
    </row>
    <row r="61" spans="1:15" x14ac:dyDescent="0.35">
      <c r="A61" s="122"/>
    </row>
  </sheetData>
  <mergeCells count="3">
    <mergeCell ref="A9:H9"/>
    <mergeCell ref="A10:H10"/>
    <mergeCell ref="A54:J54"/>
  </mergeCells>
  <dataValidations count="2">
    <dataValidation type="list" allowBlank="1" showInputMessage="1" showErrorMessage="1" sqref="B14:M15" xr:uid="{F2E1B1E2-EA2D-40C3-AEDD-788D6B333DC1}">
      <formula1>"CGAAP, MIFRS, USGAAP, ASPE"</formula1>
    </dataValidation>
    <dataValidation allowBlank="1" showInputMessage="1" showErrorMessage="1" promptTitle="Date Format" prompt="E.g:  &quot;August 1, 2011&quot;" sqref="I7" xr:uid="{05FBB4C5-8CFC-468D-A102-8CC68A16227D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8AA99-121B-450D-84F1-225DE56ADACC}">
  <dimension ref="A1:M24"/>
  <sheetViews>
    <sheetView zoomScale="86" zoomScaleNormal="8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Q11" sqref="Q11"/>
    </sheetView>
  </sheetViews>
  <sheetFormatPr defaultRowHeight="14.5" x14ac:dyDescent="0.35"/>
  <cols>
    <col min="1" max="1" width="43.26953125" customWidth="1"/>
    <col min="2" max="13" width="15.54296875" customWidth="1"/>
  </cols>
  <sheetData>
    <row r="1" spans="1:13" ht="18" x14ac:dyDescent="0.4">
      <c r="A1" s="171" t="s">
        <v>108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</row>
    <row r="2" spans="1:13" ht="18" x14ac:dyDescent="0.4">
      <c r="A2" s="171" t="s">
        <v>109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</row>
    <row r="3" spans="1:13" ht="15" thickBot="1" x14ac:dyDescent="0.4">
      <c r="G3" s="176"/>
      <c r="H3" s="176"/>
      <c r="I3" s="176"/>
      <c r="J3" s="176"/>
      <c r="K3" s="176"/>
      <c r="L3" s="176"/>
      <c r="M3" s="176"/>
    </row>
    <row r="4" spans="1:13" ht="26.5" thickBot="1" x14ac:dyDescent="0.4">
      <c r="A4" s="172"/>
      <c r="B4" s="177" t="s">
        <v>110</v>
      </c>
      <c r="C4" s="177" t="s">
        <v>111</v>
      </c>
      <c r="D4" s="177" t="s">
        <v>112</v>
      </c>
      <c r="E4" s="177" t="s">
        <v>113</v>
      </c>
      <c r="F4" s="177" t="s">
        <v>114</v>
      </c>
      <c r="G4" s="177" t="s">
        <v>21</v>
      </c>
      <c r="H4" s="177" t="s">
        <v>22</v>
      </c>
      <c r="I4" s="177" t="s">
        <v>23</v>
      </c>
      <c r="J4" s="177">
        <v>2028</v>
      </c>
      <c r="K4" s="177">
        <v>2029</v>
      </c>
      <c r="L4" s="177">
        <v>2030</v>
      </c>
      <c r="M4" s="177">
        <v>2031</v>
      </c>
    </row>
    <row r="5" spans="1:13" x14ac:dyDescent="0.35">
      <c r="A5" s="173" t="s">
        <v>115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</row>
    <row r="6" spans="1:13" x14ac:dyDescent="0.35">
      <c r="A6" s="174" t="s">
        <v>116</v>
      </c>
      <c r="B6" s="179">
        <v>29.259999999999998</v>
      </c>
      <c r="C6" s="179">
        <v>29.18</v>
      </c>
      <c r="D6" s="179">
        <v>32.827000000000005</v>
      </c>
      <c r="E6" s="179">
        <v>35.630000000000003</v>
      </c>
      <c r="F6" s="179">
        <v>40.31</v>
      </c>
      <c r="G6" s="184">
        <v>40.24</v>
      </c>
      <c r="H6" s="179">
        <v>39</v>
      </c>
      <c r="I6" s="179">
        <v>41</v>
      </c>
      <c r="J6" s="179">
        <v>41</v>
      </c>
      <c r="K6" s="179">
        <v>41</v>
      </c>
      <c r="L6" s="179">
        <v>41</v>
      </c>
      <c r="M6" s="179">
        <v>41</v>
      </c>
    </row>
    <row r="7" spans="1:13" x14ac:dyDescent="0.35">
      <c r="A7" s="174" t="s">
        <v>117</v>
      </c>
      <c r="B7" s="179">
        <v>217.17999999999998</v>
      </c>
      <c r="C7" s="179">
        <v>216.56</v>
      </c>
      <c r="D7" s="179">
        <v>222.69809999999998</v>
      </c>
      <c r="E7" s="179">
        <v>228.24000000000004</v>
      </c>
      <c r="F7" s="179">
        <v>266.83999999999997</v>
      </c>
      <c r="G7" s="179">
        <v>280.19</v>
      </c>
      <c r="H7" s="179">
        <v>312.43452380952385</v>
      </c>
      <c r="I7" s="179">
        <v>336.60595238095243</v>
      </c>
      <c r="J7" s="179">
        <v>353.60595238095243</v>
      </c>
      <c r="K7" s="179">
        <v>366.60595238095243</v>
      </c>
      <c r="L7" s="179">
        <v>370.60595238095243</v>
      </c>
      <c r="M7" s="179">
        <v>370.60595238095243</v>
      </c>
    </row>
    <row r="8" spans="1:13" x14ac:dyDescent="0.35">
      <c r="A8" s="174" t="s">
        <v>49</v>
      </c>
      <c r="B8" s="180">
        <v>246.43999999999997</v>
      </c>
      <c r="C8" s="180">
        <v>245.74</v>
      </c>
      <c r="D8" s="180">
        <v>255.52509999999998</v>
      </c>
      <c r="E8" s="180">
        <v>263.87000000000006</v>
      </c>
      <c r="F8" s="180">
        <v>307.14999999999998</v>
      </c>
      <c r="G8" s="180">
        <v>320.43</v>
      </c>
      <c r="H8" s="180">
        <v>351.43452380952385</v>
      </c>
      <c r="I8" s="180">
        <v>377.60595238095243</v>
      </c>
      <c r="J8" s="180">
        <v>394.60595238095243</v>
      </c>
      <c r="K8" s="180">
        <v>407.60595238095243</v>
      </c>
      <c r="L8" s="180">
        <v>411.60595238095243</v>
      </c>
      <c r="M8" s="180">
        <v>411.60595238095243</v>
      </c>
    </row>
    <row r="9" spans="1:13" x14ac:dyDescent="0.35">
      <c r="A9" s="175" t="s">
        <v>118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</row>
    <row r="10" spans="1:13" x14ac:dyDescent="0.35">
      <c r="A10" s="174" t="s">
        <v>116</v>
      </c>
      <c r="B10" s="179">
        <v>4991022.0199999996</v>
      </c>
      <c r="C10" s="179">
        <v>6508827.3499999996</v>
      </c>
      <c r="D10" s="179">
        <v>6365258.6500000004</v>
      </c>
      <c r="E10" s="179">
        <v>6920739.75</v>
      </c>
      <c r="F10" s="179">
        <v>7958432.5200000005</v>
      </c>
      <c r="G10" s="179">
        <v>8052824.5099999998</v>
      </c>
      <c r="H10" s="179">
        <v>8510710.8315039985</v>
      </c>
      <c r="I10" s="179">
        <v>9560499.2748159692</v>
      </c>
      <c r="J10" s="179">
        <v>9863034.2342242189</v>
      </c>
      <c r="K10" s="179">
        <v>10171790.127196755</v>
      </c>
      <c r="L10" s="179">
        <v>10476943.831012599</v>
      </c>
      <c r="M10" s="179">
        <v>10749906.352280414</v>
      </c>
    </row>
    <row r="11" spans="1:13" x14ac:dyDescent="0.35">
      <c r="A11" s="174" t="s">
        <v>117</v>
      </c>
      <c r="B11" s="179">
        <v>22398423.690000001</v>
      </c>
      <c r="C11" s="179">
        <v>23614649.399999999</v>
      </c>
      <c r="D11" s="179">
        <v>24688815.759999998</v>
      </c>
      <c r="E11" s="179">
        <v>25723656.459999997</v>
      </c>
      <c r="F11" s="179">
        <v>28808052.82</v>
      </c>
      <c r="G11" s="179">
        <v>34016187.019999996</v>
      </c>
      <c r="H11" s="179">
        <v>35780871.001411796</v>
      </c>
      <c r="I11" s="179">
        <v>40297191.534548655</v>
      </c>
      <c r="J11" s="179">
        <v>43830976.402115844</v>
      </c>
      <c r="K11" s="179">
        <v>46704640.458741285</v>
      </c>
      <c r="L11" s="179">
        <v>48456371.23774045</v>
      </c>
      <c r="M11" s="179">
        <v>49575245.648436606</v>
      </c>
    </row>
    <row r="12" spans="1:13" x14ac:dyDescent="0.35">
      <c r="A12" s="174" t="s">
        <v>49</v>
      </c>
      <c r="B12" s="180">
        <v>27389445.710000001</v>
      </c>
      <c r="C12" s="180">
        <v>30123476.75</v>
      </c>
      <c r="D12" s="180">
        <v>31054074.409999996</v>
      </c>
      <c r="E12" s="180">
        <v>32644396.209999997</v>
      </c>
      <c r="F12" s="180">
        <v>36766485.340000004</v>
      </c>
      <c r="G12" s="180">
        <v>42069011.529999994</v>
      </c>
      <c r="H12" s="182">
        <v>44291581.832915798</v>
      </c>
      <c r="I12" s="182">
        <v>49857690.809364624</v>
      </c>
      <c r="J12" s="182">
        <v>53694010.636340067</v>
      </c>
      <c r="K12" s="182">
        <v>56876430.585938036</v>
      </c>
      <c r="L12" s="182">
        <v>58933315.068753049</v>
      </c>
      <c r="M12" s="182">
        <v>60325152.000717022</v>
      </c>
    </row>
    <row r="13" spans="1:13" x14ac:dyDescent="0.35">
      <c r="A13" s="175" t="s">
        <v>119</v>
      </c>
      <c r="B13" s="181"/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M13" s="181"/>
    </row>
    <row r="14" spans="1:13" x14ac:dyDescent="0.35">
      <c r="A14" s="174" t="s">
        <v>116</v>
      </c>
      <c r="B14" s="179">
        <v>1124390.0554</v>
      </c>
      <c r="C14" s="179">
        <v>1335814.2472999999</v>
      </c>
      <c r="D14" s="179">
        <v>1414575.57684</v>
      </c>
      <c r="E14" s="179">
        <v>1639325.3348000001</v>
      </c>
      <c r="F14" s="179">
        <v>1928124.7121999997</v>
      </c>
      <c r="G14" s="179">
        <v>2068473.8838914726</v>
      </c>
      <c r="H14" s="179">
        <v>2047705.1873863991</v>
      </c>
      <c r="I14" s="179">
        <v>2284949.5931289298</v>
      </c>
      <c r="J14" s="179">
        <v>2344623.7307198639</v>
      </c>
      <c r="K14" s="179">
        <v>2396081.4372684346</v>
      </c>
      <c r="L14" s="179">
        <v>2446830.0982592111</v>
      </c>
      <c r="M14" s="179">
        <v>2495509.9113027751</v>
      </c>
    </row>
    <row r="15" spans="1:13" x14ac:dyDescent="0.35">
      <c r="A15" s="174" t="s">
        <v>117</v>
      </c>
      <c r="B15" s="179">
        <v>4973225.8680999987</v>
      </c>
      <c r="C15" s="179">
        <v>5535887.2325000009</v>
      </c>
      <c r="D15" s="179">
        <v>6008122.9326740019</v>
      </c>
      <c r="E15" s="179">
        <v>6097477.2158000022</v>
      </c>
      <c r="F15" s="179">
        <v>7126342.1347999983</v>
      </c>
      <c r="G15" s="179">
        <v>8361488.7425072771</v>
      </c>
      <c r="H15" s="179">
        <v>9506437.2795061991</v>
      </c>
      <c r="I15" s="179">
        <v>10443310.896935221</v>
      </c>
      <c r="J15" s="179">
        <v>11256681.046303872</v>
      </c>
      <c r="K15" s="179">
        <v>11874833.698308628</v>
      </c>
      <c r="L15" s="179">
        <v>12193796.330334648</v>
      </c>
      <c r="M15" s="179">
        <v>12397424.931066308</v>
      </c>
    </row>
    <row r="16" spans="1:13" x14ac:dyDescent="0.35">
      <c r="A16" s="174" t="s">
        <v>49</v>
      </c>
      <c r="B16" s="180">
        <v>6097615.9234999986</v>
      </c>
      <c r="C16" s="180">
        <v>6871701.4798000008</v>
      </c>
      <c r="D16" s="180">
        <v>7422698.5095140021</v>
      </c>
      <c r="E16" s="180">
        <v>7736802.5506000025</v>
      </c>
      <c r="F16" s="180">
        <v>9054466.8469999973</v>
      </c>
      <c r="G16" s="180">
        <v>10429962.62639875</v>
      </c>
      <c r="H16" s="182">
        <v>11554142.466892598</v>
      </c>
      <c r="I16" s="182">
        <v>12728260.490064152</v>
      </c>
      <c r="J16" s="182">
        <v>13601304.777023736</v>
      </c>
      <c r="K16" s="182">
        <v>14270915.135577062</v>
      </c>
      <c r="L16" s="182">
        <v>14640626.428593859</v>
      </c>
      <c r="M16" s="182">
        <v>14892934.842369083</v>
      </c>
    </row>
    <row r="17" spans="1:13" x14ac:dyDescent="0.35">
      <c r="A17" s="175" t="s">
        <v>120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</row>
    <row r="18" spans="1:13" x14ac:dyDescent="0.35">
      <c r="A18" s="174" t="s">
        <v>116</v>
      </c>
      <c r="B18" s="182">
        <v>6115412.0753999995</v>
      </c>
      <c r="C18" s="182">
        <v>7844641.5972999996</v>
      </c>
      <c r="D18" s="182">
        <v>7779834.2268400006</v>
      </c>
      <c r="E18" s="182">
        <v>8560065.0847999994</v>
      </c>
      <c r="F18" s="182">
        <v>9886557.2322000004</v>
      </c>
      <c r="G18" s="182">
        <v>10121298.393891472</v>
      </c>
      <c r="H18" s="182">
        <v>10558416.018890398</v>
      </c>
      <c r="I18" s="182">
        <v>11845448.8679449</v>
      </c>
      <c r="J18" s="182">
        <v>12207657.964944083</v>
      </c>
      <c r="K18" s="182">
        <v>12567871.564465189</v>
      </c>
      <c r="L18" s="182">
        <v>12923773.92927181</v>
      </c>
      <c r="M18" s="182">
        <v>13245416.263583189</v>
      </c>
    </row>
    <row r="19" spans="1:13" x14ac:dyDescent="0.35">
      <c r="A19" s="174" t="s">
        <v>117</v>
      </c>
      <c r="B19" s="182">
        <v>27371649.5581</v>
      </c>
      <c r="C19" s="182">
        <v>29150536.6325</v>
      </c>
      <c r="D19" s="182">
        <v>30696938.692674</v>
      </c>
      <c r="E19" s="182">
        <v>31821133.675799999</v>
      </c>
      <c r="F19" s="182">
        <v>35934394.954799995</v>
      </c>
      <c r="G19" s="182">
        <v>42377675.762507275</v>
      </c>
      <c r="H19" s="182">
        <v>45287308.280917995</v>
      </c>
      <c r="I19" s="182">
        <v>50740502.43148388</v>
      </c>
      <c r="J19" s="182">
        <v>55087657.44841972</v>
      </c>
      <c r="K19" s="182">
        <v>58579474.157049909</v>
      </c>
      <c r="L19" s="182">
        <v>60650167.568075098</v>
      </c>
      <c r="M19" s="182">
        <v>61972670.57950291</v>
      </c>
    </row>
    <row r="20" spans="1:13" x14ac:dyDescent="0.35">
      <c r="A20" s="174" t="s">
        <v>49</v>
      </c>
      <c r="B20" s="182">
        <v>33487061.633499999</v>
      </c>
      <c r="C20" s="182">
        <v>36995178.229800001</v>
      </c>
      <c r="D20" s="182">
        <v>38476772.919514</v>
      </c>
      <c r="E20" s="182">
        <v>40381198.760600001</v>
      </c>
      <c r="F20" s="182">
        <v>45820952.186999999</v>
      </c>
      <c r="G20" s="182">
        <v>52498974.156398743</v>
      </c>
      <c r="H20" s="182">
        <v>55845724.299808398</v>
      </c>
      <c r="I20" s="182">
        <v>62585951.299428776</v>
      </c>
      <c r="J20" s="182">
        <v>67295315.413363799</v>
      </c>
      <c r="K20" s="182">
        <v>71147345.721515104</v>
      </c>
      <c r="L20" s="182">
        <v>73573941.497346908</v>
      </c>
      <c r="M20" s="182">
        <v>75218086.843086109</v>
      </c>
    </row>
    <row r="21" spans="1:13" x14ac:dyDescent="0.35">
      <c r="A21" s="175" t="s">
        <v>121</v>
      </c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</row>
    <row r="22" spans="1:13" x14ac:dyDescent="0.35">
      <c r="A22" s="174" t="s">
        <v>67</v>
      </c>
      <c r="B22" s="179">
        <v>23925960.035443231</v>
      </c>
      <c r="C22" s="179">
        <v>24799569.471514255</v>
      </c>
      <c r="D22" s="179">
        <v>26228668.507073846</v>
      </c>
      <c r="E22" s="179">
        <v>28288342.245022677</v>
      </c>
      <c r="F22" s="183">
        <v>31449802.505467609</v>
      </c>
      <c r="G22" s="183">
        <v>35207117</v>
      </c>
      <c r="H22" s="183">
        <v>37465196.990133323</v>
      </c>
      <c r="I22" s="183">
        <v>41163109.610398412</v>
      </c>
      <c r="J22" s="183">
        <v>43300669.621244192</v>
      </c>
      <c r="K22" s="183">
        <v>45933953.439909287</v>
      </c>
      <c r="L22" s="183">
        <v>47550735.88272237</v>
      </c>
      <c r="M22" s="183">
        <v>48631596.557282515</v>
      </c>
    </row>
    <row r="23" spans="1:13" x14ac:dyDescent="0.35">
      <c r="A23" s="174" t="s">
        <v>122</v>
      </c>
      <c r="B23" s="179">
        <v>9561101.5980567671</v>
      </c>
      <c r="C23" s="179">
        <v>12195608.758285746</v>
      </c>
      <c r="D23" s="179">
        <v>12248104.412440155</v>
      </c>
      <c r="E23" s="179">
        <v>12092856.515577324</v>
      </c>
      <c r="F23" s="183">
        <v>14371149.68153239</v>
      </c>
      <c r="G23" s="183">
        <v>17291857</v>
      </c>
      <c r="H23" s="183">
        <v>18380527.309675075</v>
      </c>
      <c r="I23" s="183">
        <v>21422841.689030364</v>
      </c>
      <c r="J23" s="183">
        <v>23994645.792119607</v>
      </c>
      <c r="K23" s="183">
        <v>25213392.281605817</v>
      </c>
      <c r="L23" s="183">
        <v>26023205.614624538</v>
      </c>
      <c r="M23" s="183">
        <v>26586490.285803594</v>
      </c>
    </row>
    <row r="24" spans="1:13" x14ac:dyDescent="0.35">
      <c r="A24" s="174" t="s">
        <v>49</v>
      </c>
      <c r="B24" s="182">
        <v>33487061.633499999</v>
      </c>
      <c r="C24" s="182">
        <v>36995178.229800001</v>
      </c>
      <c r="D24" s="182">
        <v>38476772.919514</v>
      </c>
      <c r="E24" s="182">
        <v>40381198.760600001</v>
      </c>
      <c r="F24" s="182">
        <v>45820952.186999999</v>
      </c>
      <c r="G24" s="182">
        <v>52498974.156398743</v>
      </c>
      <c r="H24" s="182">
        <v>55845724.299808398</v>
      </c>
      <c r="I24" s="182">
        <v>62585951.299428776</v>
      </c>
      <c r="J24" s="182">
        <v>67295315.413363799</v>
      </c>
      <c r="K24" s="182">
        <v>71147345.721515104</v>
      </c>
      <c r="L24" s="182">
        <v>73573941.497346908</v>
      </c>
      <c r="M24" s="182">
        <v>75218086.843086109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67192D49BE74B8E487B64E9012969" ma:contentTypeVersion="46" ma:contentTypeDescription="Create a new document." ma:contentTypeScope="" ma:versionID="2ab638d31771d19a9d2060fda2accbc0">
  <xsd:schema xmlns:xsd="http://www.w3.org/2001/XMLSchema" xmlns:xs="http://www.w3.org/2001/XMLSchema" xmlns:p="http://schemas.microsoft.com/office/2006/metadata/properties" xmlns:ns2="6a95137c-d42e-468e-9f88-48056057fa51" targetNamespace="http://schemas.microsoft.com/office/2006/metadata/properties" ma:root="true" ma:fieldsID="cec26060faadc0b2fed06678648fdcf9" ns2:_="">
    <xsd:import namespace="6a95137c-d42e-468e-9f88-48056057fa51"/>
    <xsd:element name="properties">
      <xsd:complexType>
        <xsd:sequence>
          <xsd:element name="documentManagement">
            <xsd:complexType>
              <xsd:all>
                <xsd:element ref="ns2:IRR_x0020_Label" minOccurs="0"/>
                <xsd:element ref="ns2:Status" minOccurs="0"/>
                <xsd:element ref="ns2:Strategic_x003f_" minOccurs="0"/>
                <xsd:element ref="ns2:Witness_x0028_es_x0029_" minOccurs="0"/>
                <xsd:element ref="ns2:FinanceInputs_x002f_Validation" minOccurs="0"/>
                <xsd:element ref="ns2:Confidential" minOccurs="0"/>
                <xsd:element ref="ns2:TorysCounsel" minOccurs="0"/>
                <xsd:element ref="ns2:AnchorIRR" minOccurs="0"/>
                <xsd:element ref="ns2:CrossReference" minOccurs="0"/>
                <xsd:element ref="ns2:HasExcelAttachment" minOccurs="0"/>
                <xsd:element ref="ns2:RegContact" minOccurs="0"/>
                <xsd:element ref="ns2:Round2Topic" minOccurs="0"/>
                <xsd:element ref="ns2:Issue_x002f_The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SME_x0028_s_x0029_" minOccurs="0"/>
                <xsd:element ref="ns2:Intervenor" minOccurs="0"/>
                <xsd:element ref="ns2:S_x002e_SheehyStatus" minOccurs="0"/>
                <xsd:element ref="ns2:UsmanStatus" minOccurs="0"/>
                <xsd:element ref="ns2:SaadStatus" minOccurs="0"/>
                <xsd:element ref="ns2:SamStatus" minOccurs="0"/>
                <xsd:element ref="ns2:MunishStatus" minOccurs="0"/>
                <xsd:element ref="ns2:LincolnStatus" minOccurs="0"/>
                <xsd:element ref="ns2:KristonStatus" minOccurs="0"/>
                <xsd:element ref="ns2:BradStatus" minOccurs="0"/>
                <xsd:element ref="ns2:S_x002e_VetsisStatus" minOccurs="0"/>
                <xsd:element ref="ns2:CynthiaStatus" minOccurs="0"/>
                <xsd:element ref="ns2:ZubairStatus" minOccurs="0"/>
                <xsd:element ref="ns2:ExhibitRef" minOccurs="0"/>
                <xsd:element ref="ns2:Ex_x002e_" minOccurs="0"/>
                <xsd:element ref="ns2:BBA_DRP" minOccurs="0"/>
                <xsd:element ref="ns2:ErinIntervention" minOccurs="0"/>
                <xsd:element ref="ns2:Attachment" minOccurs="0"/>
                <xsd:element ref="ns2:GlenWinn" minOccurs="0"/>
                <xsd:element ref="ns2:StatusNotes" minOccurs="0"/>
                <xsd:element ref="ns2:GeneralNotes" minOccurs="0"/>
                <xsd:element ref="ns2:MediaServiceBillingMetadata" minOccurs="0"/>
                <xsd:element ref="ns2:BBA_Comments" minOccurs="0"/>
                <xsd:element ref="ns2:IRR" minOccurs="0"/>
                <xsd:element ref="ns2:ABlair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137c-d42e-468e-9f88-48056057fa51" elementFormDefault="qualified">
    <xsd:import namespace="http://schemas.microsoft.com/office/2006/documentManagement/types"/>
    <xsd:import namespace="http://schemas.microsoft.com/office/infopath/2007/PartnerControls"/>
    <xsd:element name="IRR_x0020_Label" ma:index="1" nillable="true" ma:displayName="IRR Label" ma:description="Exhibit-Intervenor-#" ma:internalName="IRR_x0020_Label">
      <xsd:simpleType>
        <xsd:restriction base="dms:Text">
          <xsd:maxLength value="255"/>
        </xsd:restriction>
      </xsd:simpleType>
    </xsd:element>
    <xsd:element name="Status" ma:index="2" nillable="true" ma:displayName="Main Status (REG ONLY)" ma:default="Drafting stage" ma:description="Stage of production" ma:format="Dropdown" ma:internalName="Status">
      <xsd:simpleType>
        <xsd:restriction base="dms:Choice">
          <xsd:enumeration value="Drafting stage"/>
          <xsd:enumeration value="Draft - ready for Reg review"/>
          <xsd:enumeration value="Witness signed off"/>
          <xsd:enumeration value="Final - To be redacted"/>
          <xsd:enumeration value="Final - Ready for PDF"/>
          <xsd:enumeration value="Torys review required"/>
          <xsd:enumeration value="Torys review complete"/>
          <xsd:enumeration value="ERIN or Στέφανος to review"/>
          <xsd:enumeration value="Reg review complete - ready for sign off"/>
          <xsd:enumeration value="Deferred to Round 2"/>
        </xsd:restriction>
      </xsd:simpleType>
    </xsd:element>
    <xsd:element name="Strategic_x003f_" ma:index="3" nillable="true" ma:displayName="Strategic?" ma:default="0" ma:description="IRRs that require legal review, tie to broader issues, and/or bear risk due to questions asked" ma:format="Dropdown" ma:internalName="Strategic_x003f_">
      <xsd:simpleType>
        <xsd:restriction base="dms:Boolean"/>
      </xsd:simpleType>
    </xsd:element>
    <xsd:element name="Witness_x0028_es_x0029_" ma:index="4" nillable="true" ma:displayName="Witness(es)" ma:description="All Witnesses responsible for approving responses" ma:format="Dropdown" ma:internalName="Witness_x0028_es_x0029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ynthia"/>
                    <xsd:enumeration value="Zubair"/>
                    <xsd:enumeration value="S. Sheehy"/>
                    <xsd:enumeration value="S. Vetsis"/>
                    <xsd:enumeration value="Sam"/>
                    <xsd:enumeration value="Usman"/>
                    <xsd:enumeration value="Saad"/>
                    <xsd:enumeration value="Munish"/>
                    <xsd:enumeration value="Kriston"/>
                    <xsd:enumeration value="Lincoln"/>
                    <xsd:enumeration value="Brad"/>
                    <xsd:enumeration value="A. Blair"/>
                    <xsd:enumeration value="S. Fenrick (SV)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FinanceInputs_x002f_Validation" ma:index="5" nillable="true" ma:displayName="Finance Inputs/Validation" ma:default="N/A" ma:description="Response requires data from Finance, or Finance review and validation" ma:format="Dropdown" ma:internalName="FinanceInputs_x002f_Validation">
      <xsd:simpleType>
        <xsd:restriction base="dms:Choice">
          <xsd:enumeration value="Finance review or inputs outstanding"/>
          <xsd:enumeration value="Ready for Finance review"/>
          <xsd:enumeration value="Finance review/input complete"/>
          <xsd:enumeration value="N/A"/>
        </xsd:restriction>
      </xsd:simpleType>
    </xsd:element>
    <xsd:element name="Confidential" ma:index="6" nillable="true" ma:displayName="Confidential" ma:default="N/A" ma:description="Stage of confidentiality for those requiring that treatment" ma:format="Dropdown" ma:internalName="Confidential">
      <xsd:simpleType>
        <xsd:restriction base="dms:Choice">
          <xsd:enumeration value="Possibly Confidential - Internal review required"/>
          <xsd:enumeration value="Confidential - Redactions needed"/>
          <xsd:enumeration value="Confidential - Proposed redactions ready"/>
          <xsd:enumeration value="Confidential - Torys review required"/>
          <xsd:enumeration value="Confidential - Elexicon input required"/>
          <xsd:enumeration value="Confidential - Ready - Marked-up version"/>
          <xsd:enumeration value="Confidential - Ready - Public version"/>
          <xsd:enumeration value="N/A"/>
          <xsd:enumeration value="Reviewed - Confirmed not confidential"/>
        </xsd:restriction>
      </xsd:simpleType>
    </xsd:element>
    <xsd:element name="TorysCounsel" ma:index="7" nillable="true" ma:displayName="Torys' Counsel" ma:default="N/A" ma:description="Name of lawyer" ma:format="Dropdown" ma:internalName="TorysCouns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liana"/>
                    <xsd:enumeration value="Daniel"/>
                    <xsd:enumeration value="Meghan"/>
                    <xsd:enumeration value="Arlen"/>
                    <xsd:enumeration value="Jonathan"/>
                    <xsd:enumeration value="N/A"/>
                  </xsd:restriction>
                </xsd:simpleType>
              </xsd:element>
            </xsd:sequence>
          </xsd:extension>
        </xsd:complexContent>
      </xsd:complexType>
    </xsd:element>
    <xsd:element name="AnchorIRR" ma:index="8" nillable="true" ma:displayName="Anchor IRR" ma:default="0" ma:description="Identifies IRRs that address key topics and are cite in other IR responses" ma:format="Dropdown" ma:internalName="AnchorIRR">
      <xsd:simpleType>
        <xsd:restriction base="dms:Boolean"/>
      </xsd:simpleType>
    </xsd:element>
    <xsd:element name="CrossReference" ma:index="9" nillable="true" ma:displayName="Cross Reference" ma:description="Captures duplicative or related IRRs to Anchor responses" ma:format="Dropdown" ma:internalName="CrossReference">
      <xsd:simpleType>
        <xsd:restriction base="dms:Note">
          <xsd:maxLength value="255"/>
        </xsd:restriction>
      </xsd:simpleType>
    </xsd:element>
    <xsd:element name="HasExcelAttachment" ma:index="10" nillable="true" ma:displayName="Has Excel Attachment" ma:default="0" ma:description="Identifies IRRs that have Excel attachments that need to be reviewed by the Witness" ma:format="Dropdown" ma:internalName="HasExcelAttachment">
      <xsd:simpleType>
        <xsd:restriction base="dms:Boolean"/>
      </xsd:simpleType>
    </xsd:element>
    <xsd:element name="RegContact" ma:index="11" nillable="true" ma:displayName="Reg Contact" ma:description="Regulatory team member responsible for project management / review" ma:format="Dropdown" ma:internalName="RegContac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lisle"/>
                    <xsd:enumeration value="Jeff"/>
                    <xsd:enumeration value="Susan"/>
                    <xsd:enumeration value="Erin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Round2Topic" ma:index="12" nillable="true" ma:displayName="Round 2 Topic" ma:default="0" ma:description="IRRs that relate to evidence update items and should be deferred to the second round. " ma:format="Dropdown" ma:internalName="Round2Topic">
      <xsd:simpleType>
        <xsd:restriction base="dms:Boolean"/>
      </xsd:simpleType>
    </xsd:element>
    <xsd:element name="Issue_x002f_Theme" ma:index="13" nillable="true" ma:displayName="Issue/Theme" ma:description="Tag issue/theme to ensure alignment across multiple IRRs" ma:format="Dropdown" ma:internalName="Issue_x002f_Them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ynergies"/>
                        <xsd:enumeration value="Merger"/>
                        <xsd:enumeration value="Productivity and Efficiency"/>
                        <xsd:enumeration value="Modernization and/or Dx NEXT"/>
                        <xsd:enumeration value="Rate Framework and Clearspring"/>
                        <xsd:enumeration value="Stretch Factor"/>
                        <xsd:enumeration value="Inflation"/>
                        <xsd:enumeration value="Benchmarking"/>
                        <xsd:enumeration value="Investment Planning"/>
                        <xsd:enumeration value="Customer Growth"/>
                        <xsd:enumeration value="Stations Investments"/>
                        <xsd:enumeration value="Reactive Captial"/>
                        <xsd:enumeration value="Customer Engagement"/>
                        <xsd:enumeration value="Reliability"/>
                        <xsd:enumeration value="eDSM"/>
                        <xsd:enumeration value="Capacity and Load Forecast"/>
                        <xsd:enumeration value="Asset Condition and ACA"/>
                        <xsd:enumeration value="Execution and Contractors"/>
                        <xsd:enumeration value="NWS and DERs"/>
                        <xsd:enumeration value="DVAs"/>
                        <xsd:enumeration value="New DVAs"/>
                        <xsd:enumeration value="Workforce and Compensation"/>
                        <xsd:enumeration value="Shared Services"/>
                        <xsd:enumeration value="Letters of Comment"/>
                        <xsd:enumeration value="RRWF"/>
                        <xsd:enumeration value="Chapter 2 Appendices"/>
                        <xsd:enumeration value="Application Costs"/>
                        <xsd:enumeration value="Historical ISA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ME_x0028_s_x0029_" ma:index="24" nillable="true" ma:displayName="SME(s)" ma:description="Magda Sulzycki" ma:format="Dropdown" ma:internalName="SME_x0028_s_x0029_">
      <xsd:simpleType>
        <xsd:restriction base="dms:Text">
          <xsd:maxLength value="255"/>
        </xsd:restriction>
      </xsd:simpleType>
    </xsd:element>
    <xsd:element name="Intervenor" ma:index="25" nillable="true" ma:displayName="Intervenor" ma:description="Acronym identifying Intervenor" ma:format="Dropdown" ma:internalName="Intervenor">
      <xsd:simpleType>
        <xsd:restriction base="dms:Choice">
          <xsd:enumeration value="OEB Staff"/>
          <xsd:enumeration value="BOMA"/>
          <xsd:enumeration value="CCMBC"/>
          <xsd:enumeration value="CCC"/>
          <xsd:enumeration value="DRC"/>
          <xsd:enumeration value="Energy Probe"/>
          <xsd:enumeration value="Pollution Probe"/>
          <xsd:enumeration value="PWU"/>
          <xsd:enumeration value="QMA"/>
          <xsd:enumeration value="SEC"/>
          <xsd:enumeration value="VECC"/>
          <xsd:enumeration value="N/A"/>
        </xsd:restriction>
      </xsd:simpleType>
    </xsd:element>
    <xsd:element name="S_x002e_SheehyStatus" ma:index="26" nillable="true" ma:displayName="S. Sheehy Status" ma:default="N/A" ma:format="Dropdown" ma:internalName="S_x002e_Sheehy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UsmanStatus" ma:index="27" nillable="true" ma:displayName="Usman Status" ma:default="N/A" ma:format="Dropdown" ma:internalName="Usma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adStatus" ma:index="28" nillable="true" ma:displayName="Saad Status" ma:default="N/A" ma:format="Dropdown" ma:internalName="Sa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mStatus" ma:index="29" nillable="true" ma:displayName="Sam Status" ma:default="N/A" ma:format="Dropdown" ma:internalName="Sam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MunishStatus" ma:index="30" nillable="true" ma:displayName="Munish Status" ma:default="N/A" ma:format="Dropdown" ma:internalName="Munish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LincolnStatus" ma:index="31" nillable="true" ma:displayName="Lincoln Status" ma:default="N/A" ma:format="Dropdown" ma:internalName="Lincol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KristonStatus" ma:index="32" nillable="true" ma:displayName="Kriston Status" ma:default="N/A" ma:format="Dropdown" ma:internalName="Kristo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BradStatus" ma:index="33" nillable="true" ma:displayName="Brad Status" ma:default="N/A" ma:format="Dropdown" ma:internalName="Br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_x002e_VetsisStatus" ma:index="34" nillable="true" ma:displayName="Στέφανος" ma:default="N/A" ma:format="Dropdown" ma:internalName="S_x002e_Vetsis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CynthiaStatus" ma:index="35" nillable="true" ma:displayName="Cynthia Status" ma:default="N/A" ma:format="Dropdown" ma:internalName="Cynthia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ady for sign-off"/>
          <xsd:enumeration value="Witness signed off"/>
          <xsd:enumeration value="N/A"/>
        </xsd:restriction>
      </xsd:simpleType>
    </xsd:element>
    <xsd:element name="ZubairStatus" ma:index="36" nillable="true" ma:displayName="Zubair Status" ma:default="N/A" ma:format="Dropdown" ma:internalName="Zubair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ExhibitRef" ma:index="37" nillable="true" ma:displayName="Exhibit Ref" ma:format="Dropdown" ma:internalName="ExhibitRef">
      <xsd:simpleType>
        <xsd:restriction base="dms:Text">
          <xsd:maxLength value="255"/>
        </xsd:restriction>
      </xsd:simpleType>
    </xsd:element>
    <xsd:element name="Ex_x002e_" ma:index="38" nillable="true" ma:displayName="Ex." ma:default="Ex 1" ma:format="RadioButtons" ma:internalName="Ex_x002e_">
      <xsd:simpleType>
        <xsd:restriction base="dms:Choice">
          <xsd:enumeration value="Ex 1"/>
          <xsd:enumeration value="Ex 2"/>
          <xsd:enumeration value="Ex 3"/>
          <xsd:enumeration value="Ex 4"/>
          <xsd:enumeration value="Ex 5"/>
          <xsd:enumeration value="Ex 6"/>
          <xsd:enumeration value="Ex 7"/>
          <xsd:enumeration value="Ex 8"/>
          <xsd:enumeration value="Ex 9"/>
          <xsd:enumeration value="Ex 10"/>
        </xsd:restriction>
      </xsd:simpleType>
    </xsd:element>
    <xsd:element name="BBA_DRP" ma:index="39" nillable="true" ma:displayName="BBA_DRP" ma:format="Dropdown" ma:list="UserInfo" ma:SharePointGroup="0" ma:internalName="BBA_DRP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rinIntervention" ma:index="40" nillable="true" ma:displayName="Erin Intervention" ma:default="0" ma:format="Dropdown" ma:internalName="ErinIntervention">
      <xsd:simpleType>
        <xsd:restriction base="dms:Boolean"/>
      </xsd:simpleType>
    </xsd:element>
    <xsd:element name="Attachment" ma:index="41" nillable="true" ma:displayName="Attachment" ma:default="0" ma:format="Dropdown" ma:internalName="Attachment">
      <xsd:simpleType>
        <xsd:restriction base="dms:Boolean"/>
      </xsd:simpleType>
    </xsd:element>
    <xsd:element name="GlenWinn" ma:index="42" nillable="true" ma:displayName="Glen Winn" ma:format="Dropdown" ma:list="UserInfo" ma:SharePointGroup="0" ma:internalName="GlenWin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Notes" ma:index="43" nillable="true" ma:displayName="Status Notes" ma:format="Dropdown" ma:internalName="StatusNotes">
      <xsd:simpleType>
        <xsd:restriction base="dms:Note">
          <xsd:maxLength value="255"/>
        </xsd:restriction>
      </xsd:simpleType>
    </xsd:element>
    <xsd:element name="GeneralNotes" ma:index="44" nillable="true" ma:displayName="General Notes" ma:description="General notes to aid in completion of IRs" ma:format="Dropdown" ma:internalName="GeneralNotes">
      <xsd:simpleType>
        <xsd:restriction base="dms:Note">
          <xsd:maxLength value="255"/>
        </xsd:restriction>
      </xsd:simpleType>
    </xsd:element>
    <xsd:element name="MediaServiceBillingMetadata" ma:index="45" nillable="true" ma:displayName="MediaServiceBillingMetadata" ma:hidden="true" ma:internalName="MediaServiceBillingMetadata" ma:readOnly="true">
      <xsd:simpleType>
        <xsd:restriction base="dms:Note"/>
      </xsd:simpleType>
    </xsd:element>
    <xsd:element name="BBA_Comments" ma:index="46" nillable="true" ma:displayName="BBA_Comments" ma:format="Dropdown" ma:internalName="BBA_Comments">
      <xsd:simpleType>
        <xsd:restriction base="dms:Note">
          <xsd:maxLength value="255"/>
        </xsd:restriction>
      </xsd:simpleType>
    </xsd:element>
    <xsd:element name="IRR" ma:index="47" nillable="true" ma:displayName="Item (not IRR)" ma:default="0" ma:format="Dropdown" ma:internalName="IRR">
      <xsd:simpleType>
        <xsd:restriction base="dms:Boolean"/>
      </xsd:simpleType>
    </xsd:element>
    <xsd:element name="ABlairStatus" ma:index="48" nillable="true" ma:displayName="A Blair Status" ma:default="N/A" ma:format="Dropdown" ma:internalName="ABlairStatus">
      <xsd:simpleType>
        <xsd:restriction base="dms:Choice">
          <xsd:enumeration value="Draft - with DRP"/>
          <xsd:enumeration value="Draft - Ready for Review"/>
          <xsd:enumeration value="DRP/SME input required"/>
          <xsd:enumeration value="Revised draft - with DRP"/>
          <xsd:enumeration value="Revised draft ready for review"/>
          <xsd:enumeration value="Reg done ready for Witness Sign-off"/>
          <xsd:enumeration value="Witness sign-off"/>
          <xsd:enumeration value="AB done - ready for SK"/>
          <xsd:enumeration value="N/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a95137c-d42e-468e-9f88-48056057fa51">Witness signed off</Status>
    <HasExcelAttachment xmlns="6a95137c-d42e-468e-9f88-48056057fa51">false</HasExcelAttachment>
    <MunishStatus xmlns="6a95137c-d42e-468e-9f88-48056057fa51">N/A</MunishStatus>
    <TorysCounsel xmlns="6a95137c-d42e-468e-9f88-48056057fa51">
      <Value>N/A</Value>
    </TorysCounsel>
    <CrossReference xmlns="6a95137c-d42e-468e-9f88-48056057fa51" xsi:nil="true"/>
    <Issue_x002f_Theme xmlns="6a95137c-d42e-468e-9f88-48056057fa51">
      <Value>Chapter 2 Appendices</Value>
    </Issue_x002f_Theme>
    <ZubairStatus xmlns="6a95137c-d42e-468e-9f88-48056057fa51">Witness signed off</ZubairStatus>
    <ExhibitRef xmlns="6a95137c-d42e-468e-9f88-48056057fa51" xsi:nil="true"/>
    <AnchorIRR xmlns="6a95137c-d42e-468e-9f88-48056057fa51">false</AnchorIRR>
    <KristonStatus xmlns="6a95137c-d42e-468e-9f88-48056057fa51">N/A</KristonStatus>
    <CynthiaStatus xmlns="6a95137c-d42e-468e-9f88-48056057fa51">N/A</CynthiaStatus>
    <Round2Topic xmlns="6a95137c-d42e-468e-9f88-48056057fa51">false</Round2Topic>
    <IRR_x0020_Label xmlns="6a95137c-d42e-468e-9f88-48056057fa51" xsi:nil="true"/>
    <Intervenor xmlns="6a95137c-d42e-468e-9f88-48056057fa51">SEC</Intervenor>
    <UsmanStatus xmlns="6a95137c-d42e-468e-9f88-48056057fa51">N/A</UsmanStatus>
    <S_x002e_VetsisStatus xmlns="6a95137c-d42e-468e-9f88-48056057fa51">N/A</S_x002e_VetsisStatus>
    <Strategic_x003f_ xmlns="6a95137c-d42e-468e-9f88-48056057fa51">false</Strategic_x003f_>
    <S_x002e_SheehyStatus xmlns="6a95137c-d42e-468e-9f88-48056057fa51">N/A</S_x002e_SheehyStatus>
    <Ex_x002e_ xmlns="6a95137c-d42e-468e-9f88-48056057fa51">Ex 1</Ex_x002e_>
    <LincolnStatus xmlns="6a95137c-d42e-468e-9f88-48056057fa51">N/A</LincolnStatus>
    <RegContact xmlns="6a95137c-d42e-468e-9f88-48056057fa51">
      <Value>Susan</Value>
    </RegContact>
    <SaadStatus xmlns="6a95137c-d42e-468e-9f88-48056057fa51">N/A</SaadStatus>
    <Witness_x0028_es_x0029_ xmlns="6a95137c-d42e-468e-9f88-48056057fa51">
      <Value>Zubair</Value>
    </Witness_x0028_es_x0029_>
    <FinanceInputs_x002f_Validation xmlns="6a95137c-d42e-468e-9f88-48056057fa51">N/A</FinanceInputs_x002f_Validation>
    <Confidential xmlns="6a95137c-d42e-468e-9f88-48056057fa51">N/A</Confidential>
    <SME_x0028_s_x0029_ xmlns="6a95137c-d42e-468e-9f88-48056057fa51">Jennifer</SME_x0028_s_x0029_>
    <BradStatus xmlns="6a95137c-d42e-468e-9f88-48056057fa51">N/A</BradStatus>
    <SamStatus xmlns="6a95137c-d42e-468e-9f88-48056057fa51">N/A</SamStatus>
    <BBA_DRP xmlns="6a95137c-d42e-468e-9f88-48056057fa51">
      <UserInfo>
        <DisplayName/>
        <AccountId xsi:nil="true"/>
        <AccountType/>
      </UserInfo>
    </BBA_DRP>
    <Attachment xmlns="6a95137c-d42e-468e-9f88-48056057fa51">true</Attachment>
    <GlenWinn xmlns="6a95137c-d42e-468e-9f88-48056057fa51">
      <UserInfo>
        <DisplayName/>
        <AccountId xsi:nil="true"/>
        <AccountType/>
      </UserInfo>
    </GlenWinn>
    <ErinIntervention xmlns="6a95137c-d42e-468e-9f88-48056057fa51">false</ErinIntervention>
    <StatusNotes xmlns="6a95137c-d42e-468e-9f88-48056057fa51" xsi:nil="true"/>
    <GeneralNotes xmlns="6a95137c-d42e-468e-9f88-48056057fa51" xsi:nil="true"/>
    <BBA_Comments xmlns="6a95137c-d42e-468e-9f88-48056057fa51" xsi:nil="true"/>
    <IRR xmlns="6a95137c-d42e-468e-9f88-48056057fa51">true</IRR>
    <ABlairStatus xmlns="6a95137c-d42e-468e-9f88-48056057fa51">N/A</ABlairStatus>
  </documentManagement>
</p:properties>
</file>

<file path=customXml/itemProps1.xml><?xml version="1.0" encoding="utf-8"?>
<ds:datastoreItem xmlns:ds="http://schemas.openxmlformats.org/officeDocument/2006/customXml" ds:itemID="{1318FD52-A877-4803-89B7-B77B617109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95137c-d42e-468e-9f88-48056057f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FAE7DB-5EE7-4427-A64C-4B003D57CE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565576-6FF6-43F3-B33A-D7BE86204553}">
  <ds:schemaRefs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6a95137c-d42e-468e-9f88-48056057fa5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App.2-JA OM&amp;A Summary Analys</vt:lpstr>
      <vt:lpstr>App.2-JB OM&amp;A Cost Drivers</vt:lpstr>
      <vt:lpstr>App2.-JC OM&amp;A Programs</vt:lpstr>
      <vt:lpstr>App2.-K Compensation</vt:lpstr>
    </vt:vector>
  </TitlesOfParts>
  <Manager/>
  <Company>Elexicon Energy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Cowles</dc:creator>
  <cp:keywords/>
  <dc:description/>
  <cp:lastModifiedBy>Carlisle Hannelas</cp:lastModifiedBy>
  <cp:revision/>
  <dcterms:created xsi:type="dcterms:W3CDTF">2025-08-25T17:29:16Z</dcterms:created>
  <dcterms:modified xsi:type="dcterms:W3CDTF">2026-05-08T21:19:44Z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0x01010078167192D49BE74B8E487B64E9012969</vt:lpwstr>
  </property>
  <property fmtid="{D5CDD505-2E9C-101B-9397-08002B2CF9AE}" pid="3" name="MediaServiceImageTags">
    <vt:lpwstr/>
  </property>
  <property fmtid="{D5CDD505-2E9C-101B-9397-08002B2CF9AE}" pid="4" name="Order">
    <vt:r8>18100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LeadPen">
    <vt:lpwstr/>
  </property>
  <property fmtid="{D5CDD505-2E9C-101B-9397-08002B2CF9AE}" pid="12" name="DRP(Elexicon)">
    <vt:lpwstr/>
  </property>
  <property fmtid="{D5CDD505-2E9C-101B-9397-08002B2CF9AE}" pid="13" name="Strategic">
    <vt:bool>false</vt:bool>
  </property>
</Properties>
</file>