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15" documentId="8_{3A4041CF-8511-49E7-BF85-09AD78465C2B}" xr6:coauthVersionLast="47" xr6:coauthVersionMax="47" xr10:uidLastSave="{2E8685C7-9D00-444B-84EA-4C0A27CE37E6}"/>
  <bookViews>
    <workbookView xWindow="-108" yWindow="-108" windowWidth="23256" windowHeight="13896" xr2:uid="{A5EA2FD0-816F-48C5-9636-9458E251AC36}"/>
  </bookViews>
  <sheets>
    <sheet name="Part a) Committed_Non-Committed" sheetId="2" r:id="rId1"/>
    <sheet name="Part b) Billed MW" sheetId="1" r:id="rId2"/>
    <sheet name="Part b) kWh" sheetId="3" r:id="rId3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N3" i="3"/>
  <c r="N8" i="3" s="1"/>
  <c r="M3" i="3"/>
  <c r="M8" i="3" s="1"/>
  <c r="E3" i="3"/>
  <c r="F3" i="3" s="1"/>
  <c r="D2" i="2"/>
  <c r="E2" i="2" s="1"/>
  <c r="F2" i="2" s="1"/>
  <c r="G2" i="2" s="1"/>
  <c r="H2" i="2" s="1"/>
  <c r="I10" i="1"/>
  <c r="I11" i="1"/>
  <c r="J11" i="1"/>
  <c r="D12" i="1"/>
  <c r="D11" i="1"/>
  <c r="D10" i="1"/>
  <c r="D9" i="1"/>
  <c r="G2" i="1"/>
  <c r="H2" i="1" s="1"/>
  <c r="I2" i="1" s="1"/>
  <c r="J2" i="1" s="1"/>
  <c r="F2" i="1"/>
  <c r="F12" i="1"/>
  <c r="E8" i="3" l="1"/>
  <c r="G3" i="3"/>
  <c r="O3" i="3"/>
  <c r="O8" i="3" s="1"/>
  <c r="F8" i="3"/>
  <c r="G9" i="1"/>
  <c r="F9" i="1"/>
  <c r="H12" i="1"/>
  <c r="H16" i="1" s="1"/>
  <c r="H20" i="1" s="1"/>
  <c r="E12" i="1"/>
  <c r="J12" i="1"/>
  <c r="J16" i="1" s="1"/>
  <c r="J20" i="1" s="1"/>
  <c r="I12" i="1"/>
  <c r="I16" i="1" s="1"/>
  <c r="I20" i="1" s="1"/>
  <c r="J10" i="1"/>
  <c r="I7" i="1"/>
  <c r="I27" i="1" s="1"/>
  <c r="J9" i="1"/>
  <c r="I9" i="1"/>
  <c r="F16" i="1"/>
  <c r="F20" i="1" s="1"/>
  <c r="G12" i="1"/>
  <c r="G16" i="1" s="1"/>
  <c r="G20" i="1" s="1"/>
  <c r="J7" i="1"/>
  <c r="J27" i="1" s="1"/>
  <c r="E16" i="1" l="1"/>
  <c r="E20" i="1" s="1"/>
  <c r="H3" i="3"/>
  <c r="P3" i="3"/>
  <c r="P8" i="3" s="1"/>
  <c r="G8" i="3"/>
  <c r="J15" i="1"/>
  <c r="J17" i="1" s="1"/>
  <c r="J13" i="1"/>
  <c r="I13" i="1"/>
  <c r="I15" i="1"/>
  <c r="J19" i="1" l="1"/>
  <c r="J21" i="1" s="1"/>
  <c r="I3" i="3"/>
  <c r="Q3" i="3"/>
  <c r="Q8" i="3" s="1"/>
  <c r="H8" i="3"/>
  <c r="H9" i="1"/>
  <c r="E9" i="1"/>
  <c r="I17" i="1"/>
  <c r="R3" i="3" l="1"/>
  <c r="R8" i="3" s="1"/>
  <c r="I8" i="3"/>
  <c r="C15" i="2" l="1"/>
  <c r="E26" i="1" s="1"/>
  <c r="E15" i="2"/>
  <c r="G26" i="1" s="1"/>
  <c r="G15" i="2"/>
  <c r="I26" i="1" s="1"/>
  <c r="I28" i="1" s="1"/>
  <c r="D15" i="2"/>
  <c r="F26" i="1" s="1"/>
  <c r="F15" i="2"/>
  <c r="H26" i="1" s="1"/>
  <c r="H15" i="2"/>
  <c r="J26" i="1" s="1"/>
  <c r="J28" i="1" s="1"/>
  <c r="H11" i="1" l="1"/>
  <c r="F11" i="1"/>
  <c r="G11" i="1"/>
  <c r="E11" i="1"/>
  <c r="E10" i="1" l="1"/>
  <c r="G10" i="1"/>
  <c r="F10" i="1"/>
  <c r="E15" i="1" l="1"/>
  <c r="E13" i="1"/>
  <c r="E19" i="1"/>
  <c r="H10" i="1"/>
  <c r="H7" i="1"/>
  <c r="H27" i="1" s="1"/>
  <c r="H28" i="1" s="1"/>
  <c r="F7" i="1"/>
  <c r="F27" i="1" s="1"/>
  <c r="F28" i="1" s="1"/>
  <c r="G7" i="1"/>
  <c r="G27" i="1" s="1"/>
  <c r="G28" i="1" s="1"/>
  <c r="E7" i="1"/>
  <c r="E27" i="1" s="1"/>
  <c r="E28" i="1" s="1"/>
  <c r="G13" i="1" l="1"/>
  <c r="G15" i="1"/>
  <c r="F15" i="1"/>
  <c r="F13" i="1"/>
  <c r="H13" i="1"/>
  <c r="H15" i="1"/>
  <c r="I19" i="1" s="1"/>
  <c r="H19" i="1" l="1"/>
  <c r="G19" i="1"/>
  <c r="F19" i="1"/>
  <c r="F21" i="1" s="1"/>
  <c r="F17" i="1"/>
  <c r="G21" i="1"/>
  <c r="G17" i="1"/>
  <c r="H21" i="1"/>
  <c r="E17" i="1"/>
  <c r="E21" i="1"/>
  <c r="H17" i="1"/>
  <c r="I21" i="1"/>
  <c r="I23" i="1" l="1"/>
  <c r="H19" i="3" s="1"/>
  <c r="F23" i="1"/>
  <c r="E19" i="3" s="1"/>
  <c r="H23" i="1"/>
  <c r="G19" i="3" s="1"/>
  <c r="E23" i="1"/>
  <c r="D19" i="3" s="1"/>
  <c r="J23" i="1"/>
  <c r="I19" i="3" s="1"/>
  <c r="G23" i="1"/>
  <c r="F19" i="3" s="1"/>
  <c r="C14" i="2" l="1"/>
  <c r="D14" i="2" l="1"/>
  <c r="E14" i="2"/>
  <c r="F14" i="2"/>
  <c r="G14" i="2"/>
  <c r="H14" i="2"/>
  <c r="M5" i="3" l="1"/>
  <c r="M4" i="3" l="1"/>
  <c r="M6" i="3" s="1"/>
  <c r="D6" i="3"/>
  <c r="M11" i="3"/>
  <c r="N5" i="3"/>
  <c r="M10" i="3"/>
  <c r="Q5" i="3"/>
  <c r="P5" i="3"/>
  <c r="R5" i="3"/>
  <c r="O5" i="3"/>
  <c r="F6" i="3" l="1"/>
  <c r="O4" i="3"/>
  <c r="O6" i="3" s="1"/>
  <c r="M9" i="3"/>
  <c r="M12" i="3" s="1"/>
  <c r="M14" i="3" s="1"/>
  <c r="D12" i="3"/>
  <c r="D14" i="3" s="1"/>
  <c r="D20" i="3" s="1"/>
  <c r="D21" i="3" s="1"/>
  <c r="I6" i="3"/>
  <c r="R4" i="3"/>
  <c r="R6" i="3" s="1"/>
  <c r="Q4" i="3"/>
  <c r="Q6" i="3" s="1"/>
  <c r="H6" i="3"/>
  <c r="G6" i="3"/>
  <c r="P4" i="3"/>
  <c r="P6" i="3" s="1"/>
  <c r="E6" i="3"/>
  <c r="N4" i="3"/>
  <c r="N6" i="3" s="1"/>
  <c r="N11" i="3"/>
  <c r="P11" i="3"/>
  <c r="O11" i="3"/>
  <c r="Q11" i="3"/>
  <c r="R10" i="3"/>
  <c r="N10" i="3"/>
  <c r="Q10" i="3"/>
  <c r="O10" i="3"/>
  <c r="P10" i="3"/>
  <c r="H12" i="3" l="1"/>
  <c r="H14" i="3" s="1"/>
  <c r="H20" i="3" s="1"/>
  <c r="H21" i="3" s="1"/>
  <c r="Q9" i="3"/>
  <c r="Q12" i="3" s="1"/>
  <c r="Q14" i="3" s="1"/>
  <c r="N9" i="3"/>
  <c r="N12" i="3" s="1"/>
  <c r="N14" i="3" s="1"/>
  <c r="E12" i="3"/>
  <c r="E14" i="3" s="1"/>
  <c r="E20" i="3" s="1"/>
  <c r="E21" i="3" s="1"/>
  <c r="G12" i="3"/>
  <c r="G14" i="3" s="1"/>
  <c r="G20" i="3" s="1"/>
  <c r="G21" i="3" s="1"/>
  <c r="P9" i="3"/>
  <c r="P12" i="3" s="1"/>
  <c r="P14" i="3" s="1"/>
  <c r="O9" i="3"/>
  <c r="O12" i="3" s="1"/>
  <c r="O14" i="3" s="1"/>
  <c r="F12" i="3"/>
  <c r="F14" i="3" s="1"/>
  <c r="F20" i="3" s="1"/>
  <c r="F21" i="3" s="1"/>
  <c r="R11" i="3"/>
  <c r="R9" i="3" l="1"/>
  <c r="R12" i="3" s="1"/>
  <c r="R14" i="3" s="1"/>
  <c r="I12" i="3"/>
  <c r="I14" i="3" s="1"/>
  <c r="I20" i="3" s="1"/>
  <c r="I21" i="3" s="1"/>
</calcChain>
</file>

<file path=xl/sharedStrings.xml><?xml version="1.0" encoding="utf-8"?>
<sst xmlns="http://schemas.openxmlformats.org/spreadsheetml/2006/main" count="75" uniqueCount="55">
  <si>
    <t>Part a) i)</t>
  </si>
  <si>
    <t>Committed</t>
  </si>
  <si>
    <t>Existing Customers</t>
  </si>
  <si>
    <t>New Customers</t>
  </si>
  <si>
    <t>Expected MW increase from Existing Customers</t>
  </si>
  <si>
    <t>Expected MW of New Customers</t>
  </si>
  <si>
    <t>Part a) ii)</t>
  </si>
  <si>
    <t>Non-Committed</t>
  </si>
  <si>
    <t>Total Customers</t>
  </si>
  <si>
    <t xml:space="preserve">Total MW </t>
  </si>
  <si>
    <t>Likelihood</t>
  </si>
  <si>
    <t>Formula</t>
  </si>
  <si>
    <t>Anticipated Loads (kW)</t>
  </si>
  <si>
    <t>Not Connected in 2025</t>
  </si>
  <si>
    <t>Connected in 2025</t>
  </si>
  <si>
    <t>*No connection timing adjustment</t>
  </si>
  <si>
    <t>Total</t>
  </si>
  <si>
    <t>E = A + B + C + D</t>
  </si>
  <si>
    <t>Likelihood-Adjustment</t>
  </si>
  <si>
    <t>F = Likelihood * A</t>
  </si>
  <si>
    <t>G = Likelihood * B</t>
  </si>
  <si>
    <t>H = Likelihood * C</t>
  </si>
  <si>
    <t>I = Likelihood * D</t>
  </si>
  <si>
    <t>J = F + G + H + I</t>
  </si>
  <si>
    <t>70% Average-to-Peak Ratio
&amp; x 12 Months</t>
  </si>
  <si>
    <t>Not Connected by 2025</t>
  </si>
  <si>
    <t>K = (F + G + H) x 70% x 12</t>
  </si>
  <si>
    <t>L = I x 70% x 12</t>
  </si>
  <si>
    <t>M = K + L</t>
  </si>
  <si>
    <t>Connection timing adjustment</t>
  </si>
  <si>
    <r>
      <t>N = K</t>
    </r>
    <r>
      <rPr>
        <vertAlign val="subscript"/>
        <sz val="11"/>
        <color theme="1"/>
        <rFont val="Aptos Narrow"/>
        <family val="2"/>
        <scheme val="minor"/>
      </rPr>
      <t>(t-1)</t>
    </r>
    <r>
      <rPr>
        <sz val="11"/>
        <color theme="1"/>
        <rFont val="Aptos Narrow"/>
        <family val="2"/>
        <scheme val="minor"/>
      </rPr>
      <t xml:space="preserve"> x 25% + K x 75%</t>
    </r>
  </si>
  <si>
    <t>O = L</t>
  </si>
  <si>
    <t>P = N + O</t>
  </si>
  <si>
    <t>Half-year adjustment</t>
  </si>
  <si>
    <r>
      <t xml:space="preserve">Q = </t>
    </r>
    <r>
      <rPr>
        <sz val="11"/>
        <color theme="1"/>
        <rFont val="Aptos Narrow"/>
        <family val="2"/>
      </rPr>
      <t>∑</t>
    </r>
    <r>
      <rPr>
        <sz val="11"/>
        <color theme="1"/>
        <rFont val="Aptos Narrow"/>
        <family val="2"/>
        <scheme val="minor"/>
      </rPr>
      <t xml:space="preserve"> P</t>
    </r>
    <r>
      <rPr>
        <vertAlign val="subscript"/>
        <sz val="11"/>
        <color theme="1"/>
        <rFont val="Aptos Narrow"/>
        <family val="2"/>
        <scheme val="minor"/>
      </rPr>
      <t>2026</t>
    </r>
    <r>
      <rPr>
        <sz val="11"/>
        <color theme="1"/>
        <rFont val="Aptos Narrow"/>
        <family val="2"/>
        <scheme val="minor"/>
      </rPr>
      <t>:P</t>
    </r>
    <r>
      <rPr>
        <vertAlign val="subscript"/>
        <sz val="11"/>
        <color theme="1"/>
        <rFont val="Aptos Narrow"/>
        <family val="2"/>
        <scheme val="minor"/>
      </rPr>
      <t>(t-1)</t>
    </r>
    <r>
      <rPr>
        <sz val="11"/>
        <color theme="1"/>
        <rFont val="Aptos Narrow"/>
        <family val="2"/>
        <scheme val="minor"/>
      </rPr>
      <t xml:space="preserve">  + P * 50%</t>
    </r>
  </si>
  <si>
    <t>Reconciliation:</t>
  </si>
  <si>
    <t>Part a) Committed/Non-Committed</t>
  </si>
  <si>
    <t>Part b) Billed MW (above)</t>
  </si>
  <si>
    <t>Billed kW</t>
  </si>
  <si>
    <t>kW/kWh Ratio</t>
  </si>
  <si>
    <t>kWh</t>
  </si>
  <si>
    <t>Whitby</t>
  </si>
  <si>
    <t>GS 50 to 2,999 kW</t>
  </si>
  <si>
    <t>GS 3,000 to 4,999 kW</t>
  </si>
  <si>
    <t>Whitby Sub-Total</t>
  </si>
  <si>
    <t>Veridian</t>
  </si>
  <si>
    <t>Large Use</t>
  </si>
  <si>
    <t>Veridian Sub-Total</t>
  </si>
  <si>
    <t>*Forecast billed MW is divided by the billed kW/kWh ratio from Exhibit 3 load forecast.</t>
  </si>
  <si>
    <t>Part b) Billed MW</t>
  </si>
  <si>
    <t>Part b) kWh (above)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</si>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</sst>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0000_-;\-* #,##0.00000_-;_-* &quot;-&quot;??_-;_-@_-"/>
    <numFmt numFmtId="169" formatCode="_(* #,##0_);_(* \(#,##0\);_(* &quot;-&quot;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2" borderId="7" xfId="0" applyFill="1" applyBorder="1"/>
    <xf numFmtId="0" fontId="0" fillId="2" borderId="15" xfId="0" applyFill="1" applyBorder="1"/>
    <xf numFmtId="164" fontId="0" fillId="2" borderId="13" xfId="0" applyNumberFormat="1" applyFill="1" applyBorder="1"/>
    <xf numFmtId="164" fontId="0" fillId="2" borderId="0" xfId="0" applyNumberFormat="1" applyFill="1"/>
    <xf numFmtId="0" fontId="0" fillId="2" borderId="10" xfId="0" applyFill="1" applyBorder="1" applyAlignment="1">
      <alignment vertical="center"/>
    </xf>
    <xf numFmtId="0" fontId="0" fillId="2" borderId="13" xfId="0" applyFill="1" applyBorder="1"/>
    <xf numFmtId="0" fontId="2" fillId="2" borderId="14" xfId="0" applyFont="1" applyFill="1" applyBorder="1"/>
    <xf numFmtId="0" fontId="0" fillId="2" borderId="5" xfId="0" applyFill="1" applyBorder="1"/>
    <xf numFmtId="164" fontId="2" fillId="2" borderId="14" xfId="0" applyNumberFormat="1" applyFont="1" applyFill="1" applyBorder="1"/>
    <xf numFmtId="164" fontId="2" fillId="2" borderId="5" xfId="0" applyNumberFormat="1" applyFont="1" applyFill="1" applyBorder="1"/>
    <xf numFmtId="0" fontId="0" fillId="2" borderId="11" xfId="0" applyFill="1" applyBorder="1" applyAlignment="1">
      <alignment vertical="center"/>
    </xf>
    <xf numFmtId="164" fontId="0" fillId="2" borderId="15" xfId="1" applyNumberFormat="1" applyFont="1" applyFill="1" applyBorder="1"/>
    <xf numFmtId="164" fontId="0" fillId="2" borderId="2" xfId="1" applyNumberFormat="1" applyFont="1" applyFill="1" applyBorder="1"/>
    <xf numFmtId="0" fontId="0" fillId="2" borderId="9" xfId="0" applyFill="1" applyBorder="1" applyAlignment="1">
      <alignment vertical="center"/>
    </xf>
    <xf numFmtId="164" fontId="0" fillId="2" borderId="13" xfId="1" applyNumberFormat="1" applyFont="1" applyFill="1" applyBorder="1"/>
    <xf numFmtId="164" fontId="0" fillId="2" borderId="0" xfId="1" applyNumberFormat="1" applyFont="1" applyFill="1" applyBorder="1"/>
    <xf numFmtId="0" fontId="0" fillId="2" borderId="2" xfId="0" applyFill="1" applyBorder="1"/>
    <xf numFmtId="164" fontId="0" fillId="2" borderId="0" xfId="1" applyNumberFormat="1" applyFont="1" applyFill="1"/>
    <xf numFmtId="164" fontId="2" fillId="2" borderId="12" xfId="1" applyNumberFormat="1" applyFont="1" applyFill="1" applyBorder="1"/>
    <xf numFmtId="164" fontId="2" fillId="2" borderId="7" xfId="1" applyNumberFormat="1" applyFont="1" applyFill="1" applyBorder="1"/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horizontal="center"/>
    </xf>
    <xf numFmtId="9" fontId="0" fillId="2" borderId="17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9" fontId="0" fillId="2" borderId="19" xfId="2" applyFont="1" applyFill="1" applyBorder="1" applyAlignment="1">
      <alignment horizontal="center"/>
    </xf>
    <xf numFmtId="9" fontId="0" fillId="2" borderId="17" xfId="2" applyFont="1" applyFill="1" applyBorder="1" applyAlignment="1">
      <alignment horizontal="center"/>
    </xf>
    <xf numFmtId="165" fontId="0" fillId="2" borderId="0" xfId="0" applyNumberFormat="1" applyFill="1"/>
    <xf numFmtId="0" fontId="0" fillId="2" borderId="14" xfId="0" applyFill="1" applyBorder="1"/>
    <xf numFmtId="165" fontId="0" fillId="2" borderId="13" xfId="0" applyNumberFormat="1" applyFill="1" applyBorder="1"/>
    <xf numFmtId="0" fontId="0" fillId="2" borderId="22" xfId="0" applyFill="1" applyBorder="1"/>
    <xf numFmtId="0" fontId="0" fillId="2" borderId="23" xfId="0" applyFill="1" applyBorder="1"/>
    <xf numFmtId="0" fontId="2" fillId="2" borderId="0" xfId="0" applyFont="1" applyFill="1"/>
    <xf numFmtId="0" fontId="0" fillId="2" borderId="24" xfId="0" applyFill="1" applyBorder="1" applyAlignment="1">
      <alignment horizontal="left"/>
    </xf>
    <xf numFmtId="164" fontId="0" fillId="2" borderId="24" xfId="1" applyNumberFormat="1" applyFont="1" applyFill="1" applyBorder="1"/>
    <xf numFmtId="164" fontId="2" fillId="2" borderId="24" xfId="0" applyNumberFormat="1" applyFont="1" applyFill="1" applyBorder="1"/>
    <xf numFmtId="164" fontId="0" fillId="2" borderId="24" xfId="0" applyNumberFormat="1" applyFill="1" applyBorder="1"/>
    <xf numFmtId="0" fontId="2" fillId="2" borderId="2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64" fontId="0" fillId="2" borderId="28" xfId="1" applyNumberFormat="1" applyFont="1" applyFill="1" applyBorder="1"/>
    <xf numFmtId="164" fontId="0" fillId="2" borderId="29" xfId="1" applyNumberFormat="1" applyFont="1" applyFill="1" applyBorder="1"/>
    <xf numFmtId="164" fontId="2" fillId="2" borderId="28" xfId="0" applyNumberFormat="1" applyFont="1" applyFill="1" applyBorder="1"/>
    <xf numFmtId="164" fontId="2" fillId="2" borderId="29" xfId="0" applyNumberFormat="1" applyFont="1" applyFill="1" applyBorder="1"/>
    <xf numFmtId="164" fontId="2" fillId="2" borderId="30" xfId="0" applyNumberFormat="1" applyFont="1" applyFill="1" applyBorder="1"/>
    <xf numFmtId="164" fontId="2" fillId="2" borderId="31" xfId="0" applyNumberFormat="1" applyFont="1" applyFill="1" applyBorder="1"/>
    <xf numFmtId="164" fontId="2" fillId="2" borderId="32" xfId="0" applyNumberFormat="1" applyFont="1" applyFill="1" applyBorder="1"/>
    <xf numFmtId="164" fontId="0" fillId="2" borderId="29" xfId="0" applyNumberFormat="1" applyFill="1" applyBorder="1"/>
    <xf numFmtId="0" fontId="0" fillId="3" borderId="7" xfId="0" applyFill="1" applyBorder="1"/>
    <xf numFmtId="0" fontId="2" fillId="3" borderId="12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2" borderId="37" xfId="0" applyFill="1" applyBorder="1"/>
    <xf numFmtId="0" fontId="0" fillId="2" borderId="38" xfId="0" applyFill="1" applyBorder="1" applyAlignment="1">
      <alignment horizontal="center"/>
    </xf>
    <xf numFmtId="0" fontId="0" fillId="2" borderId="38" xfId="0" applyFill="1" applyBorder="1"/>
    <xf numFmtId="0" fontId="0" fillId="2" borderId="39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0" fillId="3" borderId="37" xfId="0" applyFill="1" applyBorder="1"/>
    <xf numFmtId="0" fontId="0" fillId="3" borderId="43" xfId="0" applyFill="1" applyBorder="1" applyAlignment="1">
      <alignment horizontal="center"/>
    </xf>
    <xf numFmtId="166" fontId="0" fillId="2" borderId="36" xfId="1" applyNumberFormat="1" applyFont="1" applyFill="1" applyBorder="1"/>
    <xf numFmtId="0" fontId="2" fillId="2" borderId="46" xfId="0" applyFont="1" applyFill="1" applyBorder="1"/>
    <xf numFmtId="0" fontId="2" fillId="2" borderId="46" xfId="0" applyFont="1" applyFill="1" applyBorder="1" applyAlignment="1">
      <alignment horizontal="center"/>
    </xf>
    <xf numFmtId="166" fontId="0" fillId="2" borderId="47" xfId="1" applyNumberFormat="1" applyFont="1" applyFill="1" applyBorder="1"/>
    <xf numFmtId="0" fontId="2" fillId="3" borderId="48" xfId="0" applyFont="1" applyFill="1" applyBorder="1"/>
    <xf numFmtId="0" fontId="2" fillId="3" borderId="49" xfId="0" applyFont="1" applyFill="1" applyBorder="1"/>
    <xf numFmtId="0" fontId="2" fillId="3" borderId="45" xfId="0" applyFont="1" applyFill="1" applyBorder="1"/>
    <xf numFmtId="0" fontId="0" fillId="2" borderId="40" xfId="0" applyFill="1" applyBorder="1"/>
    <xf numFmtId="0" fontId="0" fillId="2" borderId="51" xfId="0" applyFill="1" applyBorder="1"/>
    <xf numFmtId="0" fontId="0" fillId="2" borderId="42" xfId="0" applyFill="1" applyBorder="1"/>
    <xf numFmtId="165" fontId="0" fillId="2" borderId="52" xfId="0" applyNumberFormat="1" applyFill="1" applyBorder="1"/>
    <xf numFmtId="0" fontId="2" fillId="2" borderId="22" xfId="0" applyFont="1" applyFill="1" applyBorder="1"/>
    <xf numFmtId="165" fontId="2" fillId="2" borderId="22" xfId="0" applyNumberFormat="1" applyFont="1" applyFill="1" applyBorder="1"/>
    <xf numFmtId="165" fontId="2" fillId="2" borderId="23" xfId="0" applyNumberFormat="1" applyFont="1" applyFill="1" applyBorder="1"/>
    <xf numFmtId="165" fontId="2" fillId="2" borderId="42" xfId="0" applyNumberFormat="1" applyFont="1" applyFill="1" applyBorder="1"/>
    <xf numFmtId="4" fontId="0" fillId="2" borderId="10" xfId="0" applyNumberFormat="1" applyFill="1" applyBorder="1" applyAlignment="1">
      <alignment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2" fillId="2" borderId="44" xfId="0" applyFont="1" applyFill="1" applyBorder="1" applyAlignment="1">
      <alignment horizontal="left"/>
    </xf>
    <xf numFmtId="0" fontId="2" fillId="2" borderId="4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9" fontId="0" fillId="2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78BB-7CE4-4070-93A1-6A145E70FAC8}">
  <dimension ref="B2:J26"/>
  <sheetViews>
    <sheetView tabSelected="1" workbookViewId="0">
      <selection activeCell="D20" sqref="D20"/>
    </sheetView>
  </sheetViews>
  <sheetFormatPr defaultColWidth="8.77734375" defaultRowHeight="14.4" x14ac:dyDescent="0.3"/>
  <cols>
    <col min="1" max="1" width="8.77734375" style="2"/>
    <col min="2" max="2" width="39.44140625" style="2" customWidth="1"/>
    <col min="3" max="16384" width="8.77734375" style="2"/>
  </cols>
  <sheetData>
    <row r="2" spans="2:10" ht="15" thickBot="1" x14ac:dyDescent="0.35">
      <c r="B2" s="77"/>
      <c r="C2" s="77">
        <v>2026</v>
      </c>
      <c r="D2" s="78">
        <f>C2+1</f>
        <v>2027</v>
      </c>
      <c r="E2" s="78">
        <f>D2+1</f>
        <v>2028</v>
      </c>
      <c r="F2" s="78">
        <f>E2+1</f>
        <v>2029</v>
      </c>
      <c r="G2" s="78">
        <f>F2+1</f>
        <v>2030</v>
      </c>
      <c r="H2" s="79">
        <f>G2+1</f>
        <v>2031</v>
      </c>
    </row>
    <row r="3" spans="2:10" ht="15" thickBot="1" x14ac:dyDescent="0.35">
      <c r="B3" s="50" t="s">
        <v>0</v>
      </c>
      <c r="C3" s="94" t="s">
        <v>1</v>
      </c>
      <c r="D3" s="95"/>
      <c r="E3" s="95"/>
      <c r="F3" s="95"/>
      <c r="G3" s="95"/>
      <c r="H3" s="96"/>
    </row>
    <row r="4" spans="2:10" x14ac:dyDescent="0.3">
      <c r="B4" s="4" t="s">
        <v>2</v>
      </c>
      <c r="C4" s="4">
        <v>15</v>
      </c>
      <c r="D4" s="19">
        <v>3</v>
      </c>
      <c r="E4" s="19">
        <v>0</v>
      </c>
      <c r="F4" s="19">
        <v>0</v>
      </c>
      <c r="G4" s="19">
        <v>1</v>
      </c>
      <c r="H4" s="80">
        <v>1</v>
      </c>
    </row>
    <row r="5" spans="2:10" x14ac:dyDescent="0.3">
      <c r="B5" s="81" t="s">
        <v>3</v>
      </c>
      <c r="C5" s="32">
        <v>28</v>
      </c>
      <c r="D5" s="33">
        <v>6</v>
      </c>
      <c r="E5" s="33">
        <v>1</v>
      </c>
      <c r="F5" s="33">
        <v>1</v>
      </c>
      <c r="G5" s="33">
        <v>1</v>
      </c>
      <c r="H5" s="82">
        <v>0</v>
      </c>
    </row>
    <row r="6" spans="2:10" x14ac:dyDescent="0.3">
      <c r="B6" s="8" t="s">
        <v>4</v>
      </c>
      <c r="C6" s="31">
        <v>29.926571428571432</v>
      </c>
      <c r="D6" s="29">
        <v>13.478</v>
      </c>
      <c r="E6" s="29">
        <v>8.2829999999999995</v>
      </c>
      <c r="F6" s="29">
        <v>0.628</v>
      </c>
      <c r="G6" s="29">
        <v>3.2</v>
      </c>
      <c r="H6" s="83">
        <v>3</v>
      </c>
    </row>
    <row r="7" spans="2:10" ht="15" thickBot="1" x14ac:dyDescent="0.35">
      <c r="B7" s="30" t="s">
        <v>5</v>
      </c>
      <c r="C7" s="31">
        <v>44.497999999999998</v>
      </c>
      <c r="D7" s="29">
        <v>33.719000000000001</v>
      </c>
      <c r="E7" s="29">
        <v>20.161000000000001</v>
      </c>
      <c r="F7" s="29">
        <v>5.0709999999999997</v>
      </c>
      <c r="G7" s="29">
        <v>2.875</v>
      </c>
      <c r="H7" s="83">
        <v>0.6</v>
      </c>
    </row>
    <row r="8" spans="2:10" ht="15" thickBot="1" x14ac:dyDescent="0.35">
      <c r="B8" s="50" t="s">
        <v>6</v>
      </c>
      <c r="C8" s="95" t="s">
        <v>7</v>
      </c>
      <c r="D8" s="95"/>
      <c r="E8" s="95"/>
      <c r="F8" s="95"/>
      <c r="G8" s="95"/>
      <c r="H8" s="96"/>
    </row>
    <row r="9" spans="2:10" x14ac:dyDescent="0.3">
      <c r="B9" s="8" t="s">
        <v>2</v>
      </c>
      <c r="C9" s="4">
        <v>4</v>
      </c>
      <c r="D9" s="19">
        <v>0</v>
      </c>
      <c r="E9" s="19">
        <v>1</v>
      </c>
      <c r="F9" s="19">
        <v>0</v>
      </c>
      <c r="G9" s="19">
        <v>0</v>
      </c>
      <c r="H9" s="80">
        <v>0</v>
      </c>
    </row>
    <row r="10" spans="2:10" x14ac:dyDescent="0.3">
      <c r="B10" s="81" t="s">
        <v>3</v>
      </c>
      <c r="C10" s="32">
        <v>6</v>
      </c>
      <c r="D10" s="33">
        <v>2</v>
      </c>
      <c r="E10" s="33">
        <v>2</v>
      </c>
      <c r="F10" s="33">
        <v>0</v>
      </c>
      <c r="G10" s="33">
        <v>0</v>
      </c>
      <c r="H10" s="82">
        <v>0</v>
      </c>
    </row>
    <row r="11" spans="2:10" x14ac:dyDescent="0.3">
      <c r="B11" s="8" t="s">
        <v>4</v>
      </c>
      <c r="C11" s="31">
        <v>13.628</v>
      </c>
      <c r="D11" s="29">
        <v>4.1929999999999996</v>
      </c>
      <c r="E11" s="29">
        <v>2</v>
      </c>
      <c r="F11" s="29">
        <v>0</v>
      </c>
      <c r="G11" s="29">
        <v>0</v>
      </c>
      <c r="H11" s="83">
        <v>0</v>
      </c>
    </row>
    <row r="12" spans="2:10" ht="15" thickBot="1" x14ac:dyDescent="0.35">
      <c r="B12" s="30" t="s">
        <v>5</v>
      </c>
      <c r="C12" s="31">
        <v>10.191000000000001</v>
      </c>
      <c r="D12" s="29">
        <v>11.943</v>
      </c>
      <c r="E12" s="29">
        <v>5.2629999999999999</v>
      </c>
      <c r="F12" s="29">
        <v>2.6259999999999999</v>
      </c>
      <c r="G12" s="29">
        <v>0.36399999999999999</v>
      </c>
      <c r="H12" s="83">
        <v>1.008</v>
      </c>
    </row>
    <row r="13" spans="2:10" ht="8.5500000000000007" customHeight="1" x14ac:dyDescent="0.3">
      <c r="B13" s="97"/>
      <c r="C13" s="98"/>
      <c r="D13" s="98"/>
      <c r="E13" s="98"/>
      <c r="F13" s="98"/>
      <c r="G13" s="98"/>
      <c r="H13" s="99"/>
    </row>
    <row r="14" spans="2:10" x14ac:dyDescent="0.3">
      <c r="B14" s="8" t="s">
        <v>8</v>
      </c>
      <c r="C14" s="31">
        <f>C4+C5+C9+C10</f>
        <v>53</v>
      </c>
      <c r="D14" s="29">
        <f t="shared" ref="D14:H14" si="0">D4+D5+D9+D10</f>
        <v>11</v>
      </c>
      <c r="E14" s="29">
        <f t="shared" si="0"/>
        <v>4</v>
      </c>
      <c r="F14" s="29">
        <f t="shared" si="0"/>
        <v>1</v>
      </c>
      <c r="G14" s="29">
        <f t="shared" si="0"/>
        <v>2</v>
      </c>
      <c r="H14" s="83">
        <f t="shared" si="0"/>
        <v>1</v>
      </c>
    </row>
    <row r="15" spans="2:10" x14ac:dyDescent="0.3">
      <c r="B15" s="84" t="s">
        <v>9</v>
      </c>
      <c r="C15" s="85">
        <f>C6+C7+C11+C12</f>
        <v>98.243571428571428</v>
      </c>
      <c r="D15" s="86">
        <f t="shared" ref="D15:H15" si="1">D6+D7+D11+D12</f>
        <v>63.332999999999998</v>
      </c>
      <c r="E15" s="86">
        <f t="shared" si="1"/>
        <v>35.707000000000001</v>
      </c>
      <c r="F15" s="86">
        <f t="shared" si="1"/>
        <v>8.3249999999999993</v>
      </c>
      <c r="G15" s="86">
        <f t="shared" si="1"/>
        <v>6.4390000000000001</v>
      </c>
      <c r="H15" s="87">
        <f t="shared" si="1"/>
        <v>4.6080000000000005</v>
      </c>
      <c r="J15" s="29"/>
    </row>
    <row r="17" spans="3:10" x14ac:dyDescent="0.3">
      <c r="C17" s="20"/>
      <c r="D17" s="20"/>
      <c r="E17" s="20"/>
      <c r="F17" s="20"/>
      <c r="G17" s="20"/>
      <c r="H17" s="20"/>
      <c r="J17" s="29"/>
    </row>
    <row r="18" spans="3:10" x14ac:dyDescent="0.3">
      <c r="C18" s="6"/>
      <c r="D18" s="6"/>
      <c r="E18" s="6"/>
      <c r="F18" s="6"/>
      <c r="G18" s="6"/>
      <c r="H18" s="6"/>
    </row>
    <row r="19" spans="3:10" x14ac:dyDescent="0.3">
      <c r="C19" s="110"/>
      <c r="D19" s="110"/>
      <c r="E19" s="110"/>
      <c r="F19" s="110"/>
      <c r="G19" s="110"/>
      <c r="H19" s="110"/>
    </row>
    <row r="20" spans="3:10" x14ac:dyDescent="0.3">
      <c r="C20" s="6"/>
      <c r="D20" s="6"/>
      <c r="E20" s="6"/>
      <c r="F20" s="6"/>
      <c r="G20" s="6"/>
      <c r="H20" s="6"/>
    </row>
    <row r="21" spans="3:10" x14ac:dyDescent="0.3">
      <c r="C21" s="110"/>
      <c r="D21" s="110"/>
      <c r="E21" s="110"/>
      <c r="F21" s="110"/>
      <c r="G21" s="110"/>
      <c r="H21" s="110"/>
    </row>
    <row r="22" spans="3:10" x14ac:dyDescent="0.3">
      <c r="C22" s="20"/>
      <c r="D22" s="20"/>
      <c r="E22" s="20"/>
      <c r="F22" s="20"/>
      <c r="G22" s="20"/>
      <c r="H22" s="20"/>
    </row>
    <row r="23" spans="3:10" x14ac:dyDescent="0.3">
      <c r="C23" s="20"/>
      <c r="D23" s="20"/>
      <c r="E23" s="20"/>
      <c r="F23" s="20"/>
      <c r="G23" s="20"/>
      <c r="H23" s="20"/>
    </row>
    <row r="24" spans="3:10" x14ac:dyDescent="0.3">
      <c r="C24" s="20"/>
      <c r="D24" s="20"/>
      <c r="E24" s="20"/>
      <c r="F24" s="20"/>
      <c r="G24" s="20"/>
      <c r="H24" s="20"/>
    </row>
    <row r="25" spans="3:10" x14ac:dyDescent="0.3">
      <c r="C25" s="20"/>
      <c r="D25" s="20"/>
      <c r="E25" s="20"/>
      <c r="F25" s="20"/>
      <c r="G25" s="20"/>
      <c r="H25" s="20"/>
    </row>
    <row r="26" spans="3:10" x14ac:dyDescent="0.3">
      <c r="C26" s="20"/>
      <c r="D26" s="20"/>
      <c r="E26" s="20"/>
      <c r="F26" s="20"/>
      <c r="G26" s="20"/>
      <c r="H26" s="20"/>
    </row>
  </sheetData>
  <mergeCells count="3">
    <mergeCell ref="C3:H3"/>
    <mergeCell ref="C8:H8"/>
    <mergeCell ref="B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9661-24AC-4256-9E45-60FC48FC52DE}">
  <dimension ref="B1:L30"/>
  <sheetViews>
    <sheetView topLeftCell="A6" workbookViewId="0">
      <selection activeCell="E35" sqref="E35"/>
    </sheetView>
  </sheetViews>
  <sheetFormatPr defaultColWidth="8.77734375" defaultRowHeight="14.4" x14ac:dyDescent="0.3"/>
  <cols>
    <col min="1" max="1" width="5.77734375" style="2" customWidth="1"/>
    <col min="2" max="2" width="20.44140625" style="1" customWidth="1"/>
    <col min="3" max="3" width="21.5546875" style="2" customWidth="1"/>
    <col min="4" max="4" width="10.77734375" style="2" customWidth="1"/>
    <col min="5" max="5" width="9.44140625" style="2" bestFit="1" customWidth="1"/>
    <col min="6" max="6" width="8.77734375" style="2"/>
    <col min="7" max="7" width="11.44140625" style="2" customWidth="1"/>
    <col min="8" max="10" width="10.44140625" style="2" bestFit="1" customWidth="1"/>
    <col min="11" max="11" width="22.44140625" style="2" bestFit="1" customWidth="1"/>
    <col min="12" max="12" width="18.21875" style="2" customWidth="1"/>
    <col min="13" max="16384" width="8.77734375" style="2"/>
  </cols>
  <sheetData>
    <row r="1" spans="2:12" ht="15" thickBot="1" x14ac:dyDescent="0.35"/>
    <row r="2" spans="2:12" ht="15" thickBot="1" x14ac:dyDescent="0.35">
      <c r="B2" s="53"/>
      <c r="C2" s="49"/>
      <c r="D2" s="54" t="s">
        <v>10</v>
      </c>
      <c r="E2" s="51">
        <v>2026</v>
      </c>
      <c r="F2" s="52">
        <f>E2+1</f>
        <v>2027</v>
      </c>
      <c r="G2" s="52">
        <f t="shared" ref="G2:J2" si="0">F2+1</f>
        <v>2028</v>
      </c>
      <c r="H2" s="52">
        <f t="shared" si="0"/>
        <v>2029</v>
      </c>
      <c r="I2" s="52">
        <f t="shared" si="0"/>
        <v>2030</v>
      </c>
      <c r="J2" s="52">
        <f t="shared" si="0"/>
        <v>2031</v>
      </c>
      <c r="K2" s="55" t="s">
        <v>11</v>
      </c>
    </row>
    <row r="3" spans="2:12" ht="14.55" customHeight="1" x14ac:dyDescent="0.3">
      <c r="B3" s="92" t="s">
        <v>12</v>
      </c>
      <c r="C3" s="4" t="s">
        <v>13</v>
      </c>
      <c r="D3" s="25">
        <v>0.5</v>
      </c>
      <c r="E3" s="5">
        <v>28485</v>
      </c>
      <c r="F3" s="6">
        <v>43636</v>
      </c>
      <c r="G3" s="6">
        <v>22263</v>
      </c>
      <c r="H3" s="6">
        <v>3126</v>
      </c>
      <c r="I3" s="6">
        <v>864</v>
      </c>
      <c r="J3" s="6">
        <v>1508</v>
      </c>
      <c r="K3" s="88" t="s">
        <v>51</v>
      </c>
    </row>
    <row r="4" spans="2:12" x14ac:dyDescent="0.3">
      <c r="B4" s="92"/>
      <c r="C4" s="8" t="s">
        <v>13</v>
      </c>
      <c r="D4" s="25">
        <v>0.8</v>
      </c>
      <c r="E4" s="5">
        <v>36920</v>
      </c>
      <c r="F4" s="6">
        <v>8850</v>
      </c>
      <c r="G4" s="6">
        <v>1900</v>
      </c>
      <c r="H4" s="6">
        <v>2443</v>
      </c>
      <c r="I4" s="6">
        <v>4400</v>
      </c>
      <c r="J4" s="6">
        <v>3100</v>
      </c>
      <c r="K4" s="88" t="s">
        <v>52</v>
      </c>
    </row>
    <row r="5" spans="2:12" x14ac:dyDescent="0.3">
      <c r="B5" s="92"/>
      <c r="C5" s="8" t="s">
        <v>13</v>
      </c>
      <c r="D5" s="25">
        <v>1</v>
      </c>
      <c r="E5" s="5">
        <v>13273</v>
      </c>
      <c r="F5" s="6">
        <v>4429</v>
      </c>
      <c r="G5" s="6">
        <v>3374</v>
      </c>
      <c r="H5" s="6">
        <v>1279</v>
      </c>
      <c r="I5" s="6">
        <v>1175</v>
      </c>
      <c r="J5" s="6">
        <v>0</v>
      </c>
      <c r="K5" s="7" t="s">
        <v>53</v>
      </c>
    </row>
    <row r="6" spans="2:12" x14ac:dyDescent="0.3">
      <c r="B6" s="92"/>
      <c r="C6" s="8" t="s">
        <v>14</v>
      </c>
      <c r="D6" s="25">
        <v>1</v>
      </c>
      <c r="E6" s="5">
        <v>19565.571428570998</v>
      </c>
      <c r="F6" s="6">
        <v>6418</v>
      </c>
      <c r="G6" s="6">
        <v>8170</v>
      </c>
      <c r="H6" s="6">
        <v>1477</v>
      </c>
      <c r="I6" s="6">
        <v>0</v>
      </c>
      <c r="J6" s="6">
        <v>0</v>
      </c>
      <c r="K6" s="7" t="s">
        <v>54</v>
      </c>
      <c r="L6" s="2" t="s">
        <v>15</v>
      </c>
    </row>
    <row r="7" spans="2:12" ht="15" thickBot="1" x14ac:dyDescent="0.35">
      <c r="B7" s="93"/>
      <c r="C7" s="9" t="s">
        <v>16</v>
      </c>
      <c r="D7" s="26"/>
      <c r="E7" s="11">
        <f>SUM(E3:E6)</f>
        <v>98243.571428570998</v>
      </c>
      <c r="F7" s="12">
        <f t="shared" ref="F7:J7" si="1">SUM(F3:F6)</f>
        <v>63333</v>
      </c>
      <c r="G7" s="12">
        <f t="shared" si="1"/>
        <v>35707</v>
      </c>
      <c r="H7" s="12">
        <f t="shared" si="1"/>
        <v>8325</v>
      </c>
      <c r="I7" s="12">
        <f t="shared" si="1"/>
        <v>6439</v>
      </c>
      <c r="J7" s="12">
        <f t="shared" si="1"/>
        <v>4608</v>
      </c>
      <c r="K7" s="13" t="s">
        <v>17</v>
      </c>
    </row>
    <row r="8" spans="2:12" ht="7.95" customHeight="1" thickBot="1" x14ac:dyDescent="0.35">
      <c r="D8" s="24"/>
    </row>
    <row r="9" spans="2:12" ht="14.55" customHeight="1" x14ac:dyDescent="0.3">
      <c r="B9" s="91" t="s">
        <v>18</v>
      </c>
      <c r="C9" s="4" t="s">
        <v>13</v>
      </c>
      <c r="D9" s="27">
        <f>D3</f>
        <v>0.5</v>
      </c>
      <c r="E9" s="14">
        <f t="shared" ref="E9:J12" si="2">E3*$D9</f>
        <v>14242.5</v>
      </c>
      <c r="F9" s="15">
        <f t="shared" si="2"/>
        <v>21818</v>
      </c>
      <c r="G9" s="15">
        <f t="shared" si="2"/>
        <v>11131.5</v>
      </c>
      <c r="H9" s="15">
        <f t="shared" si="2"/>
        <v>1563</v>
      </c>
      <c r="I9" s="15">
        <f t="shared" si="2"/>
        <v>432</v>
      </c>
      <c r="J9" s="15">
        <f t="shared" si="2"/>
        <v>754</v>
      </c>
      <c r="K9" s="16" t="s">
        <v>19</v>
      </c>
    </row>
    <row r="10" spans="2:12" x14ac:dyDescent="0.3">
      <c r="B10" s="92"/>
      <c r="C10" s="8" t="s">
        <v>13</v>
      </c>
      <c r="D10" s="28">
        <f>D4</f>
        <v>0.8</v>
      </c>
      <c r="E10" s="17">
        <f t="shared" si="2"/>
        <v>29536</v>
      </c>
      <c r="F10" s="18">
        <f t="shared" si="2"/>
        <v>7080</v>
      </c>
      <c r="G10" s="18">
        <f t="shared" si="2"/>
        <v>1520</v>
      </c>
      <c r="H10" s="18">
        <f t="shared" si="2"/>
        <v>1954.4</v>
      </c>
      <c r="I10" s="18">
        <f t="shared" si="2"/>
        <v>3520</v>
      </c>
      <c r="J10" s="18">
        <f t="shared" si="2"/>
        <v>2480</v>
      </c>
      <c r="K10" s="7" t="s">
        <v>20</v>
      </c>
    </row>
    <row r="11" spans="2:12" x14ac:dyDescent="0.3">
      <c r="B11" s="92"/>
      <c r="C11" s="8" t="s">
        <v>13</v>
      </c>
      <c r="D11" s="28">
        <f>D5</f>
        <v>1</v>
      </c>
      <c r="E11" s="17">
        <f t="shared" si="2"/>
        <v>13273</v>
      </c>
      <c r="F11" s="18">
        <f t="shared" si="2"/>
        <v>4429</v>
      </c>
      <c r="G11" s="18">
        <f t="shared" si="2"/>
        <v>3374</v>
      </c>
      <c r="H11" s="18">
        <f t="shared" si="2"/>
        <v>1279</v>
      </c>
      <c r="I11" s="18">
        <f t="shared" si="2"/>
        <v>1175</v>
      </c>
      <c r="J11" s="18">
        <f t="shared" si="2"/>
        <v>0</v>
      </c>
      <c r="K11" s="7" t="s">
        <v>21</v>
      </c>
    </row>
    <row r="12" spans="2:12" x14ac:dyDescent="0.3">
      <c r="B12" s="92"/>
      <c r="C12" s="8" t="s">
        <v>14</v>
      </c>
      <c r="D12" s="28">
        <f>D6</f>
        <v>1</v>
      </c>
      <c r="E12" s="17">
        <f t="shared" si="2"/>
        <v>19565.571428570998</v>
      </c>
      <c r="F12" s="18">
        <f t="shared" si="2"/>
        <v>6418</v>
      </c>
      <c r="G12" s="18">
        <f t="shared" si="2"/>
        <v>8170</v>
      </c>
      <c r="H12" s="18">
        <f t="shared" si="2"/>
        <v>1477</v>
      </c>
      <c r="I12" s="18">
        <f t="shared" si="2"/>
        <v>0</v>
      </c>
      <c r="J12" s="18">
        <f t="shared" si="2"/>
        <v>0</v>
      </c>
      <c r="K12" s="7" t="s">
        <v>22</v>
      </c>
    </row>
    <row r="13" spans="2:12" ht="15" thickBot="1" x14ac:dyDescent="0.35">
      <c r="B13" s="93"/>
      <c r="C13" s="9" t="s">
        <v>16</v>
      </c>
      <c r="D13" s="26"/>
      <c r="E13" s="11">
        <f>SUM(E9:E12)</f>
        <v>76617.071428570998</v>
      </c>
      <c r="F13" s="12">
        <f t="shared" ref="F13:J13" si="3">SUM(F9:F12)</f>
        <v>39745</v>
      </c>
      <c r="G13" s="12">
        <f t="shared" si="3"/>
        <v>24195.5</v>
      </c>
      <c r="H13" s="12">
        <f t="shared" si="3"/>
        <v>6273.4</v>
      </c>
      <c r="I13" s="12">
        <f t="shared" si="3"/>
        <v>5127</v>
      </c>
      <c r="J13" s="12">
        <f t="shared" si="3"/>
        <v>3234</v>
      </c>
      <c r="K13" s="13" t="s">
        <v>23</v>
      </c>
    </row>
    <row r="14" spans="2:12" ht="7.95" customHeight="1" thickBot="1" x14ac:dyDescent="0.35">
      <c r="D14" s="24"/>
    </row>
    <row r="15" spans="2:12" x14ac:dyDescent="0.3">
      <c r="B15" s="91" t="s">
        <v>24</v>
      </c>
      <c r="C15" s="4" t="s">
        <v>25</v>
      </c>
      <c r="D15" s="19"/>
      <c r="E15" s="14">
        <f>SUM(E9:E11)*0.7*12</f>
        <v>479232.6</v>
      </c>
      <c r="F15" s="15">
        <f t="shared" ref="F15:J15" si="4">SUM(F9:F11)*0.7*12</f>
        <v>279946.8</v>
      </c>
      <c r="G15" s="15">
        <f t="shared" si="4"/>
        <v>134614.19999999998</v>
      </c>
      <c r="H15" s="15">
        <f t="shared" si="4"/>
        <v>40289.759999999995</v>
      </c>
      <c r="I15" s="15">
        <f t="shared" si="4"/>
        <v>43066.799999999996</v>
      </c>
      <c r="J15" s="15">
        <f t="shared" si="4"/>
        <v>27165.599999999999</v>
      </c>
      <c r="K15" s="16" t="s">
        <v>26</v>
      </c>
    </row>
    <row r="16" spans="2:12" x14ac:dyDescent="0.3">
      <c r="B16" s="92"/>
      <c r="C16" s="8" t="s">
        <v>14</v>
      </c>
      <c r="E16" s="17">
        <f>E12*0.7*12</f>
        <v>164350.79999999638</v>
      </c>
      <c r="F16" s="18">
        <f t="shared" ref="F16:J16" si="5">F12*0.7*12</f>
        <v>53911.199999999997</v>
      </c>
      <c r="G16" s="18">
        <f t="shared" si="5"/>
        <v>68628</v>
      </c>
      <c r="H16" s="18">
        <f t="shared" si="5"/>
        <v>12406.8</v>
      </c>
      <c r="I16" s="18">
        <f t="shared" si="5"/>
        <v>0</v>
      </c>
      <c r="J16" s="18">
        <f t="shared" si="5"/>
        <v>0</v>
      </c>
      <c r="K16" s="7" t="s">
        <v>27</v>
      </c>
    </row>
    <row r="17" spans="2:11" ht="15" thickBot="1" x14ac:dyDescent="0.35">
      <c r="B17" s="93"/>
      <c r="C17" s="9" t="s">
        <v>16</v>
      </c>
      <c r="D17" s="10"/>
      <c r="E17" s="11">
        <f>E15+E16</f>
        <v>643583.39999999641</v>
      </c>
      <c r="F17" s="12">
        <f t="shared" ref="F17:J17" si="6">F15+F16</f>
        <v>333858</v>
      </c>
      <c r="G17" s="12">
        <f t="shared" si="6"/>
        <v>203242.19999999998</v>
      </c>
      <c r="H17" s="12">
        <f t="shared" si="6"/>
        <v>52696.56</v>
      </c>
      <c r="I17" s="12">
        <f t="shared" si="6"/>
        <v>43066.799999999996</v>
      </c>
      <c r="J17" s="12">
        <f t="shared" si="6"/>
        <v>27165.599999999999</v>
      </c>
      <c r="K17" s="13" t="s">
        <v>28</v>
      </c>
    </row>
    <row r="18" spans="2:11" ht="8.5500000000000007" customHeight="1" thickBot="1" x14ac:dyDescent="0.35">
      <c r="E18" s="20"/>
      <c r="F18" s="20"/>
      <c r="G18" s="20"/>
      <c r="H18" s="20"/>
      <c r="I18" s="20"/>
      <c r="J18" s="20"/>
    </row>
    <row r="19" spans="2:11" ht="15.6" x14ac:dyDescent="0.3">
      <c r="B19" s="91" t="s">
        <v>29</v>
      </c>
      <c r="C19" s="4" t="s">
        <v>25</v>
      </c>
      <c r="D19" s="19"/>
      <c r="E19" s="14">
        <f t="shared" ref="E19:J19" si="7">D15*(1-0.75)+E15*0.75</f>
        <v>359424.44999999995</v>
      </c>
      <c r="F19" s="15">
        <f t="shared" si="7"/>
        <v>329768.25</v>
      </c>
      <c r="G19" s="15">
        <f t="shared" si="7"/>
        <v>170947.34999999998</v>
      </c>
      <c r="H19" s="15">
        <f t="shared" si="7"/>
        <v>63870.869999999995</v>
      </c>
      <c r="I19" s="15">
        <f t="shared" si="7"/>
        <v>42372.539999999994</v>
      </c>
      <c r="J19" s="15">
        <f t="shared" si="7"/>
        <v>31140.899999999994</v>
      </c>
      <c r="K19" s="16" t="s">
        <v>30</v>
      </c>
    </row>
    <row r="20" spans="2:11" x14ac:dyDescent="0.3">
      <c r="B20" s="92"/>
      <c r="C20" s="8" t="s">
        <v>14</v>
      </c>
      <c r="E20" s="17">
        <f t="shared" ref="E20:J20" si="8">E16</f>
        <v>164350.79999999638</v>
      </c>
      <c r="F20" s="18">
        <f t="shared" si="8"/>
        <v>53911.199999999997</v>
      </c>
      <c r="G20" s="18">
        <f t="shared" si="8"/>
        <v>68628</v>
      </c>
      <c r="H20" s="18">
        <f t="shared" si="8"/>
        <v>12406.8</v>
      </c>
      <c r="I20" s="18">
        <f t="shared" si="8"/>
        <v>0</v>
      </c>
      <c r="J20" s="18">
        <f t="shared" si="8"/>
        <v>0</v>
      </c>
      <c r="K20" s="7" t="s">
        <v>31</v>
      </c>
    </row>
    <row r="21" spans="2:11" ht="15" thickBot="1" x14ac:dyDescent="0.35">
      <c r="B21" s="93"/>
      <c r="C21" s="9" t="s">
        <v>16</v>
      </c>
      <c r="D21" s="10"/>
      <c r="E21" s="11">
        <f t="shared" ref="E21:J21" si="9">E19+E20</f>
        <v>523775.24999999633</v>
      </c>
      <c r="F21" s="12">
        <f t="shared" si="9"/>
        <v>383679.45</v>
      </c>
      <c r="G21" s="12">
        <f t="shared" si="9"/>
        <v>239575.34999999998</v>
      </c>
      <c r="H21" s="12">
        <f t="shared" si="9"/>
        <v>76277.67</v>
      </c>
      <c r="I21" s="12">
        <f t="shared" si="9"/>
        <v>42372.539999999994</v>
      </c>
      <c r="J21" s="12">
        <f t="shared" si="9"/>
        <v>31140.899999999994</v>
      </c>
      <c r="K21" s="13" t="s">
        <v>32</v>
      </c>
    </row>
    <row r="22" spans="2:11" ht="9.6" customHeight="1" thickBot="1" x14ac:dyDescent="0.35"/>
    <row r="23" spans="2:11" ht="16.2" thickBot="1" x14ac:dyDescent="0.35">
      <c r="B23" s="89" t="s">
        <v>33</v>
      </c>
      <c r="C23" s="90"/>
      <c r="D23" s="3"/>
      <c r="E23" s="21">
        <f>E21/2</f>
        <v>261887.62499999817</v>
      </c>
      <c r="F23" s="22">
        <f>SUM(E21:$E$21)+F21/2</f>
        <v>715614.97499999637</v>
      </c>
      <c r="G23" s="22">
        <f>SUM($E21:F$21)+G21/2</f>
        <v>1027242.3749999963</v>
      </c>
      <c r="H23" s="22">
        <f>SUM($E21:G$21)+H21/2</f>
        <v>1185168.8849999963</v>
      </c>
      <c r="I23" s="22">
        <f>SUM($E21:H$21)+I21/2</f>
        <v>1244493.9899999963</v>
      </c>
      <c r="J23" s="22">
        <f>SUM($E21:I$21)+J21/2</f>
        <v>1281250.7099999962</v>
      </c>
      <c r="K23" s="23" t="s">
        <v>34</v>
      </c>
    </row>
    <row r="25" spans="2:11" x14ac:dyDescent="0.3">
      <c r="C25" s="34" t="s">
        <v>35</v>
      </c>
    </row>
    <row r="26" spans="2:11" x14ac:dyDescent="0.3">
      <c r="C26" s="2" t="s">
        <v>36</v>
      </c>
      <c r="D26" s="20"/>
      <c r="E26" s="20">
        <f>'Part a) Committed_Non-Committed'!C15*1000</f>
        <v>98243.571428571435</v>
      </c>
      <c r="F26" s="20">
        <f>'Part a) Committed_Non-Committed'!D15*1000</f>
        <v>63333</v>
      </c>
      <c r="G26" s="20">
        <f>'Part a) Committed_Non-Committed'!E15*1000</f>
        <v>35707</v>
      </c>
      <c r="H26" s="20">
        <f>'Part a) Committed_Non-Committed'!F15*1000</f>
        <v>8325</v>
      </c>
      <c r="I26" s="20">
        <f>'Part a) Committed_Non-Committed'!G15*1000</f>
        <v>6439</v>
      </c>
      <c r="J26" s="20">
        <f>'Part a) Committed_Non-Committed'!H15*1000</f>
        <v>4608.0000000000009</v>
      </c>
    </row>
    <row r="27" spans="2:11" x14ac:dyDescent="0.3">
      <c r="C27" s="2" t="s">
        <v>37</v>
      </c>
      <c r="D27" s="6"/>
      <c r="E27" s="6">
        <f>E7</f>
        <v>98243.571428570998</v>
      </c>
      <c r="F27" s="6">
        <f t="shared" ref="F27:J27" si="10">F7</f>
        <v>63333</v>
      </c>
      <c r="G27" s="6">
        <f t="shared" si="10"/>
        <v>35707</v>
      </c>
      <c r="H27" s="6">
        <f t="shared" si="10"/>
        <v>8325</v>
      </c>
      <c r="I27" s="6">
        <f t="shared" si="10"/>
        <v>6439</v>
      </c>
      <c r="J27" s="6">
        <f t="shared" si="10"/>
        <v>4608</v>
      </c>
    </row>
    <row r="28" spans="2:11" x14ac:dyDescent="0.3">
      <c r="D28" s="6"/>
      <c r="E28" s="6">
        <f>E26-E27</f>
        <v>4.3655745685100555E-10</v>
      </c>
      <c r="F28" s="6">
        <f t="shared" ref="F28:J28" si="11">F26-F27</f>
        <v>0</v>
      </c>
      <c r="G28" s="6">
        <f t="shared" si="11"/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</row>
    <row r="30" spans="2:11" x14ac:dyDescent="0.3">
      <c r="E30" s="6"/>
      <c r="F30" s="6"/>
      <c r="G30" s="6"/>
      <c r="H30" s="6"/>
      <c r="I30" s="6"/>
      <c r="J30" s="6"/>
    </row>
  </sheetData>
  <mergeCells count="5">
    <mergeCell ref="B23:C23"/>
    <mergeCell ref="B19:B21"/>
    <mergeCell ref="B9:B13"/>
    <mergeCell ref="B3:B7"/>
    <mergeCell ref="B15:B1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B33A-238D-409A-A732-C778D7392C02}">
  <dimension ref="B1:R23"/>
  <sheetViews>
    <sheetView workbookViewId="0">
      <selection activeCell="F29" sqref="F29"/>
    </sheetView>
  </sheetViews>
  <sheetFormatPr defaultColWidth="8.77734375" defaultRowHeight="14.4" x14ac:dyDescent="0.3"/>
  <cols>
    <col min="1" max="1" width="3.21875" style="2" customWidth="1"/>
    <col min="2" max="2" width="8.77734375" style="2"/>
    <col min="3" max="3" width="18.5546875" style="2" customWidth="1"/>
    <col min="4" max="6" width="11.44140625" style="2" bestFit="1" customWidth="1"/>
    <col min="7" max="9" width="13.21875" style="2" bestFit="1" customWidth="1"/>
    <col min="10" max="10" width="2.77734375" style="2" customWidth="1"/>
    <col min="11" max="11" width="10.44140625" style="2" customWidth="1"/>
    <col min="12" max="12" width="3" style="2" customWidth="1"/>
    <col min="13" max="18" width="12.44140625" style="2" bestFit="1" customWidth="1"/>
    <col min="19" max="16384" width="8.77734375" style="2"/>
  </cols>
  <sheetData>
    <row r="1" spans="2:18" ht="15" thickBot="1" x14ac:dyDescent="0.35"/>
    <row r="2" spans="2:18" s="59" customFormat="1" x14ac:dyDescent="0.3">
      <c r="B2" s="67"/>
      <c r="C2" s="68"/>
      <c r="D2" s="103" t="s">
        <v>38</v>
      </c>
      <c r="E2" s="103"/>
      <c r="F2" s="103"/>
      <c r="G2" s="103"/>
      <c r="H2" s="103"/>
      <c r="I2" s="104"/>
      <c r="K2" s="105" t="s">
        <v>39</v>
      </c>
      <c r="M2" s="102" t="s">
        <v>40</v>
      </c>
      <c r="N2" s="103"/>
      <c r="O2" s="103"/>
      <c r="P2" s="103"/>
      <c r="Q2" s="103"/>
      <c r="R2" s="104"/>
    </row>
    <row r="3" spans="2:18" s="59" customFormat="1" x14ac:dyDescent="0.3">
      <c r="B3" s="69"/>
      <c r="C3" s="70"/>
      <c r="D3" s="61">
        <v>2026</v>
      </c>
      <c r="E3" s="61">
        <f>D3+1</f>
        <v>2027</v>
      </c>
      <c r="F3" s="61">
        <f t="shared" ref="F3:I3" si="0">E3+1</f>
        <v>2028</v>
      </c>
      <c r="G3" s="61">
        <f t="shared" si="0"/>
        <v>2029</v>
      </c>
      <c r="H3" s="61">
        <f t="shared" si="0"/>
        <v>2030</v>
      </c>
      <c r="I3" s="62">
        <f t="shared" si="0"/>
        <v>2031</v>
      </c>
      <c r="K3" s="106"/>
      <c r="M3" s="60">
        <f>D3</f>
        <v>2026</v>
      </c>
      <c r="N3" s="61">
        <f t="shared" ref="N3:R3" si="1">E3</f>
        <v>2027</v>
      </c>
      <c r="O3" s="61">
        <f t="shared" si="1"/>
        <v>2028</v>
      </c>
      <c r="P3" s="61">
        <f t="shared" si="1"/>
        <v>2029</v>
      </c>
      <c r="Q3" s="61">
        <f t="shared" si="1"/>
        <v>2030</v>
      </c>
      <c r="R3" s="62">
        <f t="shared" si="1"/>
        <v>2031</v>
      </c>
    </row>
    <row r="4" spans="2:18" x14ac:dyDescent="0.3">
      <c r="B4" s="107" t="s">
        <v>41</v>
      </c>
      <c r="C4" s="35" t="s">
        <v>42</v>
      </c>
      <c r="D4" s="36">
        <v>48729.074999999997</v>
      </c>
      <c r="E4" s="36">
        <v>125747.25</v>
      </c>
      <c r="F4" s="36">
        <v>165469.27499999999</v>
      </c>
      <c r="G4" s="36">
        <v>190368.97500000001</v>
      </c>
      <c r="H4" s="36">
        <v>212011.57500000001</v>
      </c>
      <c r="I4" s="42">
        <v>224024.1</v>
      </c>
      <c r="K4" s="73">
        <v>2.4592513896818857E-3</v>
      </c>
      <c r="M4" s="41">
        <f>D4/$K4</f>
        <v>19814596.915325239</v>
      </c>
      <c r="N4" s="36">
        <f t="shared" ref="N4:R5" si="2">E4/$K4</f>
        <v>51132328.532003358</v>
      </c>
      <c r="O4" s="36">
        <f t="shared" si="2"/>
        <v>67284408.456267715</v>
      </c>
      <c r="P4" s="36">
        <f t="shared" si="2"/>
        <v>77409318.867814079</v>
      </c>
      <c r="Q4" s="36">
        <f t="shared" si="2"/>
        <v>86209801.848449737</v>
      </c>
      <c r="R4" s="42">
        <f t="shared" si="2"/>
        <v>91094428.548428491</v>
      </c>
    </row>
    <row r="5" spans="2:18" x14ac:dyDescent="0.3">
      <c r="B5" s="108"/>
      <c r="C5" s="35" t="s">
        <v>43</v>
      </c>
      <c r="D5" s="36">
        <v>21483</v>
      </c>
      <c r="E5" s="36">
        <v>52281.599999999999</v>
      </c>
      <c r="F5" s="36">
        <v>65881.2</v>
      </c>
      <c r="G5" s="36">
        <v>75528.600000000006</v>
      </c>
      <c r="H5" s="36">
        <v>88956</v>
      </c>
      <c r="I5" s="42">
        <v>99708</v>
      </c>
      <c r="K5" s="73">
        <v>1.9081053810128888E-3</v>
      </c>
      <c r="M5" s="41">
        <f>D5/$K5</f>
        <v>11258812.125248594</v>
      </c>
      <c r="N5" s="36">
        <f t="shared" si="2"/>
        <v>27399744.542540468</v>
      </c>
      <c r="O5" s="36">
        <f t="shared" si="2"/>
        <v>34527023.850762352</v>
      </c>
      <c r="P5" s="36">
        <f t="shared" si="2"/>
        <v>39583033.909744963</v>
      </c>
      <c r="Q5" s="36">
        <f t="shared" si="2"/>
        <v>46620066.630061626</v>
      </c>
      <c r="R5" s="42">
        <f t="shared" si="2"/>
        <v>52254975.533411853</v>
      </c>
    </row>
    <row r="6" spans="2:18" s="34" customFormat="1" x14ac:dyDescent="0.3">
      <c r="B6" s="109"/>
      <c r="C6" s="39" t="s">
        <v>44</v>
      </c>
      <c r="D6" s="37">
        <f>D4+D5</f>
        <v>70212.074999999997</v>
      </c>
      <c r="E6" s="37">
        <f t="shared" ref="E6:I6" si="3">E4+E5</f>
        <v>178028.85</v>
      </c>
      <c r="F6" s="37">
        <f t="shared" si="3"/>
        <v>231350.47499999998</v>
      </c>
      <c r="G6" s="37">
        <f t="shared" si="3"/>
        <v>265897.57500000001</v>
      </c>
      <c r="H6" s="37">
        <f t="shared" si="3"/>
        <v>300967.57500000001</v>
      </c>
      <c r="I6" s="44">
        <f t="shared" si="3"/>
        <v>323732.09999999998</v>
      </c>
      <c r="K6" s="74"/>
      <c r="L6" s="2"/>
      <c r="M6" s="43">
        <f>M4+M5</f>
        <v>31073409.040573835</v>
      </c>
      <c r="N6" s="37">
        <f t="shared" ref="N6" si="4">N4+N5</f>
        <v>78532073.074543834</v>
      </c>
      <c r="O6" s="37">
        <f t="shared" ref="O6" si="5">O4+O5</f>
        <v>101811432.30703007</v>
      </c>
      <c r="P6" s="37">
        <f t="shared" ref="P6" si="6">P4+P5</f>
        <v>116992352.77755904</v>
      </c>
      <c r="Q6" s="37">
        <f t="shared" ref="Q6" si="7">Q4+Q5</f>
        <v>132829868.47851136</v>
      </c>
      <c r="R6" s="44">
        <f t="shared" ref="R6" si="8">R4+R5</f>
        <v>143349404.08184034</v>
      </c>
    </row>
    <row r="7" spans="2:18" ht="9.6" customHeight="1" x14ac:dyDescent="0.3">
      <c r="B7" s="63"/>
      <c r="C7" s="64"/>
      <c r="D7" s="65"/>
      <c r="E7" s="65"/>
      <c r="F7" s="65"/>
      <c r="G7" s="65"/>
      <c r="H7" s="65"/>
      <c r="I7" s="66"/>
      <c r="J7" s="34"/>
      <c r="K7" s="74"/>
      <c r="M7" s="63"/>
      <c r="N7" s="65"/>
      <c r="O7" s="65"/>
      <c r="P7" s="65"/>
      <c r="Q7" s="65"/>
      <c r="R7" s="66"/>
    </row>
    <row r="8" spans="2:18" x14ac:dyDescent="0.3">
      <c r="B8" s="71"/>
      <c r="C8" s="72"/>
      <c r="D8" s="57">
        <f>D3</f>
        <v>2026</v>
      </c>
      <c r="E8" s="57">
        <f t="shared" ref="E8:R8" si="9">E3</f>
        <v>2027</v>
      </c>
      <c r="F8" s="57">
        <f t="shared" si="9"/>
        <v>2028</v>
      </c>
      <c r="G8" s="57">
        <f t="shared" si="9"/>
        <v>2029</v>
      </c>
      <c r="H8" s="57">
        <f t="shared" si="9"/>
        <v>2030</v>
      </c>
      <c r="I8" s="58">
        <f t="shared" si="9"/>
        <v>2031</v>
      </c>
      <c r="J8" s="40"/>
      <c r="K8" s="75"/>
      <c r="L8" s="40"/>
      <c r="M8" s="56">
        <f t="shared" si="9"/>
        <v>2026</v>
      </c>
      <c r="N8" s="57">
        <f t="shared" si="9"/>
        <v>2027</v>
      </c>
      <c r="O8" s="57">
        <f t="shared" si="9"/>
        <v>2028</v>
      </c>
      <c r="P8" s="57">
        <f t="shared" si="9"/>
        <v>2029</v>
      </c>
      <c r="Q8" s="57">
        <f t="shared" si="9"/>
        <v>2030</v>
      </c>
      <c r="R8" s="58">
        <f t="shared" si="9"/>
        <v>2031</v>
      </c>
    </row>
    <row r="9" spans="2:18" x14ac:dyDescent="0.3">
      <c r="B9" s="107" t="s">
        <v>45</v>
      </c>
      <c r="C9" s="35" t="s">
        <v>42</v>
      </c>
      <c r="D9" s="38">
        <v>103684.27499999999</v>
      </c>
      <c r="E9" s="38">
        <v>249127.57500000001</v>
      </c>
      <c r="F9" s="38">
        <v>308197.95</v>
      </c>
      <c r="G9" s="38">
        <v>331725.51</v>
      </c>
      <c r="H9" s="38">
        <v>338595.24</v>
      </c>
      <c r="I9" s="48">
        <v>339500.76</v>
      </c>
      <c r="J9" s="34"/>
      <c r="K9" s="73">
        <v>2.420777998820229E-3</v>
      </c>
      <c r="M9" s="41">
        <f>D9/$K9</f>
        <v>42830972.129840381</v>
      </c>
      <c r="N9" s="36">
        <f>E9/$K9</f>
        <v>102912193.98119646</v>
      </c>
      <c r="O9" s="36">
        <f t="shared" ref="O9:O11" si="10">F9/$K9</f>
        <v>127313595.11289383</v>
      </c>
      <c r="P9" s="36">
        <f t="shared" ref="P9:P11" si="11">G9/$K9</f>
        <v>137032602.8085463</v>
      </c>
      <c r="Q9" s="36">
        <f t="shared" ref="Q9:Q11" si="12">H9/$K9</f>
        <v>139870421.89123294</v>
      </c>
      <c r="R9" s="42">
        <f t="shared" ref="R9:R11" si="13">I9/$K9</f>
        <v>140244483.45344198</v>
      </c>
    </row>
    <row r="10" spans="2:18" x14ac:dyDescent="0.3">
      <c r="B10" s="108"/>
      <c r="C10" s="35" t="s">
        <v>43</v>
      </c>
      <c r="D10" s="38">
        <v>47894.25</v>
      </c>
      <c r="E10" s="38">
        <v>127135.2</v>
      </c>
      <c r="F10" s="38">
        <v>186622.42499999999</v>
      </c>
      <c r="G10" s="38">
        <v>219980.4</v>
      </c>
      <c r="H10" s="38">
        <v>229490.77499999999</v>
      </c>
      <c r="I10" s="48">
        <v>242577.45</v>
      </c>
      <c r="K10" s="73">
        <v>2.2532427373597183E-3</v>
      </c>
      <c r="M10" s="41">
        <f>D10/$K10</f>
        <v>21255699.266613871</v>
      </c>
      <c r="N10" s="36">
        <f t="shared" ref="N10:N11" si="14">E10/$K10</f>
        <v>56423215.258633509</v>
      </c>
      <c r="O10" s="36">
        <f t="shared" si="10"/>
        <v>82823932.772852734</v>
      </c>
      <c r="P10" s="36">
        <f t="shared" si="11"/>
        <v>97628363.048788235</v>
      </c>
      <c r="Q10" s="36">
        <f t="shared" si="12"/>
        <v>101849113.36668074</v>
      </c>
      <c r="R10" s="42">
        <f t="shared" si="13"/>
        <v>107657042.88222623</v>
      </c>
    </row>
    <row r="11" spans="2:18" ht="15" thickBot="1" x14ac:dyDescent="0.35">
      <c r="B11" s="108"/>
      <c r="C11" s="35" t="s">
        <v>46</v>
      </c>
      <c r="D11" s="38">
        <v>40097.025000000001</v>
      </c>
      <c r="E11" s="38">
        <v>161323.35</v>
      </c>
      <c r="F11" s="38">
        <v>301071.52500000002</v>
      </c>
      <c r="G11" s="38">
        <v>367565.4</v>
      </c>
      <c r="H11" s="38">
        <v>375440.4</v>
      </c>
      <c r="I11" s="48">
        <v>375440.4</v>
      </c>
      <c r="K11" s="76">
        <v>1.695562036892052E-3</v>
      </c>
      <c r="M11" s="41">
        <f>D11/$K11</f>
        <v>23648220.547269057</v>
      </c>
      <c r="N11" s="36">
        <f t="shared" si="14"/>
        <v>95144469.202497646</v>
      </c>
      <c r="O11" s="36">
        <f t="shared" si="10"/>
        <v>177564440.84573931</v>
      </c>
      <c r="P11" s="36">
        <f t="shared" si="11"/>
        <v>216780862.04014313</v>
      </c>
      <c r="Q11" s="36">
        <f t="shared" si="12"/>
        <v>221425339.69926482</v>
      </c>
      <c r="R11" s="42">
        <f t="shared" si="13"/>
        <v>221425339.69926482</v>
      </c>
    </row>
    <row r="12" spans="2:18" s="34" customFormat="1" x14ac:dyDescent="0.3">
      <c r="B12" s="109"/>
      <c r="C12" s="39" t="s">
        <v>47</v>
      </c>
      <c r="D12" s="37">
        <f>D9+D10+D11</f>
        <v>191675.55</v>
      </c>
      <c r="E12" s="37">
        <f t="shared" ref="E12:I12" si="15">E9+E10+E11</f>
        <v>537586.125</v>
      </c>
      <c r="F12" s="37">
        <f t="shared" si="15"/>
        <v>795891.9</v>
      </c>
      <c r="G12" s="37">
        <f t="shared" si="15"/>
        <v>919271.31</v>
      </c>
      <c r="H12" s="37">
        <f t="shared" si="15"/>
        <v>943526.41500000004</v>
      </c>
      <c r="I12" s="44">
        <f t="shared" si="15"/>
        <v>957518.61</v>
      </c>
      <c r="K12" s="2"/>
      <c r="M12" s="43">
        <f>M9+M10+M11</f>
        <v>87734891.943723306</v>
      </c>
      <c r="N12" s="37">
        <f t="shared" ref="N12" si="16">N9+N10+N11</f>
        <v>254479878.44232762</v>
      </c>
      <c r="O12" s="37">
        <f t="shared" ref="O12" si="17">O9+O10+O11</f>
        <v>387701968.73148584</v>
      </c>
      <c r="P12" s="37">
        <f t="shared" ref="P12" si="18">P9+P10+P11</f>
        <v>451441827.89747769</v>
      </c>
      <c r="Q12" s="37">
        <f t="shared" ref="Q12" si="19">Q9+Q10+Q11</f>
        <v>463144874.95717847</v>
      </c>
      <c r="R12" s="44">
        <f t="shared" ref="R12" si="20">R9+R10+R11</f>
        <v>469326866.03493303</v>
      </c>
    </row>
    <row r="13" spans="2:18" ht="9" customHeight="1" x14ac:dyDescent="0.3">
      <c r="B13" s="63"/>
      <c r="C13" s="64"/>
      <c r="D13" s="65"/>
      <c r="E13" s="65"/>
      <c r="F13" s="65"/>
      <c r="G13" s="65"/>
      <c r="H13" s="65"/>
      <c r="I13" s="66"/>
      <c r="M13" s="63"/>
      <c r="N13" s="65"/>
      <c r="O13" s="65"/>
      <c r="P13" s="65"/>
      <c r="Q13" s="65"/>
      <c r="R13" s="66"/>
    </row>
    <row r="14" spans="2:18" s="34" customFormat="1" ht="15" thickBot="1" x14ac:dyDescent="0.35">
      <c r="B14" s="100" t="s">
        <v>16</v>
      </c>
      <c r="C14" s="101"/>
      <c r="D14" s="46">
        <f>D6+D12</f>
        <v>261887.625</v>
      </c>
      <c r="E14" s="46">
        <f t="shared" ref="E14:I14" si="21">E6+E12</f>
        <v>715614.97499999998</v>
      </c>
      <c r="F14" s="46">
        <f t="shared" si="21"/>
        <v>1027242.375</v>
      </c>
      <c r="G14" s="46">
        <f t="shared" si="21"/>
        <v>1185168.885</v>
      </c>
      <c r="H14" s="46">
        <f t="shared" si="21"/>
        <v>1244493.99</v>
      </c>
      <c r="I14" s="47">
        <f t="shared" si="21"/>
        <v>1281250.71</v>
      </c>
      <c r="K14" s="2"/>
      <c r="M14" s="45">
        <f>M6+M12</f>
        <v>118808300.98429714</v>
      </c>
      <c r="N14" s="46">
        <f t="shared" ref="N14:R14" si="22">N6+N12</f>
        <v>333011951.51687145</v>
      </c>
      <c r="O14" s="46">
        <f t="shared" si="22"/>
        <v>489513401.03851593</v>
      </c>
      <c r="P14" s="46">
        <f t="shared" si="22"/>
        <v>568434180.67503667</v>
      </c>
      <c r="Q14" s="46">
        <f t="shared" si="22"/>
        <v>595974743.43568981</v>
      </c>
      <c r="R14" s="47">
        <f t="shared" si="22"/>
        <v>612676270.11677337</v>
      </c>
    </row>
    <row r="16" spans="2:18" x14ac:dyDescent="0.3">
      <c r="K16" s="2" t="s">
        <v>48</v>
      </c>
    </row>
    <row r="18" spans="3:9" x14ac:dyDescent="0.3">
      <c r="C18" s="34" t="s">
        <v>35</v>
      </c>
    </row>
    <row r="19" spans="3:9" x14ac:dyDescent="0.3">
      <c r="C19" s="2" t="s">
        <v>49</v>
      </c>
      <c r="D19" s="20">
        <f>'Part b) Billed MW'!E23</f>
        <v>261887.62499999817</v>
      </c>
      <c r="E19" s="20">
        <f>'Part b) Billed MW'!F23</f>
        <v>715614.97499999637</v>
      </c>
      <c r="F19" s="20">
        <f>'Part b) Billed MW'!G23</f>
        <v>1027242.3749999963</v>
      </c>
      <c r="G19" s="20">
        <f>'Part b) Billed MW'!H23</f>
        <v>1185168.8849999963</v>
      </c>
      <c r="H19" s="20">
        <f>'Part b) Billed MW'!I23</f>
        <v>1244493.9899999963</v>
      </c>
      <c r="I19" s="20">
        <f>'Part b) Billed MW'!J23</f>
        <v>1281250.7099999962</v>
      </c>
    </row>
    <row r="20" spans="3:9" x14ac:dyDescent="0.3">
      <c r="C20" s="2" t="s">
        <v>50</v>
      </c>
      <c r="D20" s="6">
        <f t="shared" ref="D20:I20" si="23">D14</f>
        <v>261887.625</v>
      </c>
      <c r="E20" s="6">
        <f t="shared" si="23"/>
        <v>715614.97499999998</v>
      </c>
      <c r="F20" s="6">
        <f t="shared" si="23"/>
        <v>1027242.375</v>
      </c>
      <c r="G20" s="6">
        <f t="shared" si="23"/>
        <v>1185168.885</v>
      </c>
      <c r="H20" s="6">
        <f t="shared" si="23"/>
        <v>1244493.99</v>
      </c>
      <c r="I20" s="6">
        <f t="shared" si="23"/>
        <v>1281250.71</v>
      </c>
    </row>
    <row r="21" spans="3:9" x14ac:dyDescent="0.3">
      <c r="D21" s="29">
        <f>D19-D20</f>
        <v>-1.8335413187742233E-9</v>
      </c>
      <c r="E21" s="29">
        <f t="shared" ref="E21:I21" si="24">E19-E20</f>
        <v>-3.6088749766349792E-9</v>
      </c>
      <c r="F21" s="29">
        <f t="shared" si="24"/>
        <v>-3.7252902984619141E-9</v>
      </c>
      <c r="G21" s="29">
        <f t="shared" si="24"/>
        <v>-3.7252902984619141E-9</v>
      </c>
      <c r="H21" s="29">
        <f t="shared" si="24"/>
        <v>-3.7252902984619141E-9</v>
      </c>
      <c r="I21" s="29">
        <f t="shared" si="24"/>
        <v>-3.7252902984619141E-9</v>
      </c>
    </row>
    <row r="23" spans="3:9" x14ac:dyDescent="0.3">
      <c r="D23" s="20"/>
      <c r="E23" s="20"/>
      <c r="F23" s="20"/>
      <c r="G23" s="20"/>
      <c r="H23" s="20"/>
      <c r="I23" s="20"/>
    </row>
  </sheetData>
  <mergeCells count="6">
    <mergeCell ref="B14:C14"/>
    <mergeCell ref="M2:R2"/>
    <mergeCell ref="D2:I2"/>
    <mergeCell ref="K2:K3"/>
    <mergeCell ref="B9:B12"/>
    <mergeCell ref="B4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A_DRP xmlns="6a95137c-d42e-468e-9f88-48056057fa51">
      <UserInfo>
        <DisplayName/>
        <AccountId xsi:nil="true"/>
        <AccountType/>
      </UserInfo>
    </BBA_DRP>
    <Witness_x0028_es_x0029_ xmlns="6a95137c-d42e-468e-9f88-48056057fa51">
      <Value xmlns="6a95137c-d42e-468e-9f88-48056057fa51">S. Vetsis</Value>
      <Value xmlns="6a95137c-d42e-468e-9f88-48056057fa51">Saad</Value>
      <Value xmlns="6a95137c-d42e-468e-9f88-48056057fa51">A. Blair</Value>
    </Witness_x0028_es_x0029_>
    <AnchorIRR xmlns="6a95137c-d42e-468e-9f88-48056057fa51">false</AnchorIRR>
    <ExhibitRef xmlns="6a95137c-d42e-468e-9f88-48056057fa51" xsi:nil="true"/>
    <Attachment xmlns="6a95137c-d42e-468e-9f88-48056057fa51">false</Attachment>
    <S_x002e_VetsisStatus xmlns="6a95137c-d42e-468e-9f88-48056057fa51">Witness signed off</S_x002e_VetsisStatus>
    <Round2Topic xmlns="6a95137c-d42e-468e-9f88-48056057fa51">false</Round2Topic>
    <FinanceInputs_x002f_Validation xmlns="6a95137c-d42e-468e-9f88-48056057fa51">N/A</FinanceInputs_x002f_Validation>
    <SaadStatus xmlns="6a95137c-d42e-468e-9f88-48056057fa51">N/A</SaadStatus>
    <HasExcelAttachment xmlns="6a95137c-d42e-468e-9f88-48056057fa51">true</HasExcelAttachment>
    <SME_x0028_s_x0029_ xmlns="6a95137c-d42e-468e-9f88-48056057fa51">Saad</SME_x0028_s_x0029_>
    <CynthiaStatus xmlns="6a95137c-d42e-468e-9f88-48056057fa51">N/A</CynthiaStatus>
    <ZubairStatus xmlns="6a95137c-d42e-468e-9f88-48056057fa51">N/A</ZubairStatus>
    <KristonStatus xmlns="6a95137c-d42e-468e-9f88-48056057fa51">N/A</KristonStatus>
    <GlenWinn xmlns="6a95137c-d42e-468e-9f88-48056057fa51">
      <UserInfo>
        <DisplayName/>
        <AccountId xsi:nil="true"/>
        <AccountType/>
      </UserInfo>
    </GlenWinn>
    <BradStatus xmlns="6a95137c-d42e-468e-9f88-48056057fa51">N/A</BradStatus>
    <Ex_x002e_ xmlns="6a95137c-d42e-468e-9f88-48056057fa51">Ex 3</Ex_x002e_>
    <GeneralNotes xmlns="6a95137c-d42e-468e-9f88-48056057fa51" xsi:nil="true"/>
    <IRR_x0020_Label xmlns="6a95137c-d42e-468e-9f88-48056057fa51" xsi:nil="true"/>
    <TorysCounsel xmlns="6a95137c-d42e-468e-9f88-48056057fa51">
      <Value>N/A</Value>
    </TorysCounsel>
    <LincolnStatus xmlns="6a95137c-d42e-468e-9f88-48056057fa51">N/A</LincolnStatus>
    <S_x002e_SheehyStatus xmlns="6a95137c-d42e-468e-9f88-48056057fa51">N/A</S_x002e_SheehyStatus>
    <Intervenor xmlns="6a95137c-d42e-468e-9f88-48056057fa51">VECC</Intervenor>
    <StatusNotes xmlns="6a95137c-d42e-468e-9f88-48056057fa51" xsi:nil="true"/>
    <IRR xmlns="6a95137c-d42e-468e-9f88-48056057fa51">true</IRR>
    <Confidential xmlns="6a95137c-d42e-468e-9f88-48056057fa51">N/A</Confidential>
    <SamStatus xmlns="6a95137c-d42e-468e-9f88-48056057fa51">N/A</SamStatus>
    <MunishStatus xmlns="6a95137c-d42e-468e-9f88-48056057fa51">N/A</MunishStatus>
    <UsmanStatus xmlns="6a95137c-d42e-468e-9f88-48056057fa51">N/A</UsmanStatus>
    <Status xmlns="6a95137c-d42e-468e-9f88-48056057fa51">Witness signed off</Status>
    <BBA_Comments xmlns="6a95137c-d42e-468e-9f88-48056057fa51" xsi:nil="true"/>
    <CrossReference xmlns="6a95137c-d42e-468e-9f88-48056057fa51" xsi:nil="true"/>
    <RegContact xmlns="6a95137c-d42e-468e-9f88-48056057fa51">
      <Value>Susan</Value>
    </RegContact>
    <Issue_x002f_Theme xmlns="6a95137c-d42e-468e-9f88-48056057fa51" xsi:nil="true"/>
    <Strategic_x003f_ xmlns="6a95137c-d42e-468e-9f88-48056057fa51">false</Strategic_x003f_>
    <ErinIntervention xmlns="6a95137c-d42e-468e-9f88-48056057fa51">false</ErinIntervention>
    <ABlairStatus xmlns="6a95137c-d42e-468e-9f88-48056057fa51">Witness sign-off</ABlairStatus>
  </documentManagement>
</p:properties>
</file>

<file path=customXml/itemProps1.xml><?xml version="1.0" encoding="utf-8"?>
<ds:datastoreItem xmlns:ds="http://schemas.openxmlformats.org/officeDocument/2006/customXml" ds:itemID="{E9164FEE-2AD8-499D-BFFE-AD340D6A00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276BB-3304-465D-AF24-AE472FC0258C}"/>
</file>

<file path=customXml/itemProps3.xml><?xml version="1.0" encoding="utf-8"?>
<ds:datastoreItem xmlns:ds="http://schemas.openxmlformats.org/officeDocument/2006/customXml" ds:itemID="{0A20F807-B6B1-4C61-B104-2778A8A5B124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a95137c-d42e-468e-9f88-48056057fa51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a) Committed_Non-Committed</vt:lpstr>
      <vt:lpstr>Part b) Billed MW</vt:lpstr>
      <vt:lpstr>Part b) kWh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Blair</dc:creator>
  <cp:keywords/>
  <dc:description/>
  <cp:lastModifiedBy>Andrew Blair</cp:lastModifiedBy>
  <cp:revision/>
  <dcterms:created xsi:type="dcterms:W3CDTF">2026-04-17T23:53:17Z</dcterms:created>
  <dcterms:modified xsi:type="dcterms:W3CDTF">2026-05-06T13:42:33Z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