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625" documentId="8_{1E607A3F-7677-4EA3-911F-5B2489EF5C1D}" xr6:coauthVersionLast="47" xr6:coauthVersionMax="47" xr10:uidLastSave="{317F8093-EC18-4B52-9A72-923AA10E4AB5}"/>
  <workbookProtection workbookAlgorithmName="SHA-512" workbookHashValue="8o3wY+SZDS+FGTRRH/ajAHWvK5XMWi5obNPXx0d9dU2XTle0xzncFoEsk/i1l/VfOUgHcbtmwCf8/Lg/INIPEQ==" workbookSaltValue="siGs4L8SgLolgov2Ypr5nw==" workbookSpinCount="100000" lockStructure="1"/>
  <bookViews>
    <workbookView xWindow="20544" yWindow="0" windowWidth="20832" windowHeight="16656" activeTab="2" xr2:uid="{DF2D79D9-7E62-4E55-A12E-5243BD0A7FB0}"/>
  </bookViews>
  <sheets>
    <sheet name="Summary" sheetId="4" r:id="rId1"/>
    <sheet name="Customer (Ebilling Savings)" sheetId="1" r:id="rId2"/>
    <sheet name="FTE Savings" sheetId="2" r:id="rId3"/>
    <sheet name="Software Saving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1" i="2" l="1"/>
  <c r="N11" i="2"/>
  <c r="M11" i="2"/>
  <c r="G14" i="2"/>
  <c r="D14" i="2"/>
  <c r="C14" i="2"/>
  <c r="C8" i="2"/>
  <c r="G9" i="2"/>
  <c r="C2" i="4" s="1"/>
  <c r="B53" i="1"/>
  <c r="B52" i="1"/>
  <c r="D8" i="2"/>
  <c r="E8" i="2"/>
  <c r="F8" i="2"/>
  <c r="F14" i="2" s="1"/>
  <c r="G8" i="2"/>
  <c r="P11" i="2"/>
  <c r="P12" i="2"/>
  <c r="C4" i="4" s="1"/>
  <c r="E2" i="1"/>
  <c r="F2" i="1"/>
  <c r="G2" i="1"/>
  <c r="H2" i="1"/>
  <c r="I2" i="1"/>
  <c r="D2" i="1"/>
  <c r="E13" i="1"/>
  <c r="F13" i="1"/>
  <c r="G13" i="1"/>
  <c r="H13" i="1"/>
  <c r="I13" i="1"/>
  <c r="D13" i="1"/>
  <c r="C5" i="4"/>
  <c r="C3" i="4"/>
  <c r="C7" i="2"/>
  <c r="D7" i="2" s="1"/>
  <c r="E7" i="2" s="1"/>
  <c r="F7" i="2" s="1"/>
  <c r="G7" i="2" s="1"/>
  <c r="E14" i="2" l="1"/>
  <c r="G17" i="2" s="1"/>
  <c r="I32" i="1"/>
  <c r="E16" i="3" l="1"/>
  <c r="F15" i="3"/>
  <c r="M15" i="3" s="1"/>
  <c r="F13" i="3"/>
  <c r="M13" i="3" s="1"/>
  <c r="F12" i="3"/>
  <c r="M12" i="3" s="1"/>
  <c r="F11" i="3"/>
  <c r="M11" i="3" s="1"/>
  <c r="F9" i="3"/>
  <c r="G9" i="3" s="1"/>
  <c r="H9" i="3" s="1"/>
  <c r="I9" i="3" s="1"/>
  <c r="F7" i="3"/>
  <c r="G7" i="3" s="1"/>
  <c r="L5" i="3"/>
  <c r="F5" i="3"/>
  <c r="G5" i="3" s="1"/>
  <c r="L4" i="3"/>
  <c r="F4" i="3"/>
  <c r="M4" i="3" s="1"/>
  <c r="L3" i="3"/>
  <c r="F3" i="3"/>
  <c r="M3" i="3" s="1"/>
  <c r="B51" i="1"/>
  <c r="B41" i="1"/>
  <c r="B46" i="1" s="1"/>
  <c r="D23" i="1" s="1"/>
  <c r="E23" i="1" s="1"/>
  <c r="F23" i="1" s="1"/>
  <c r="G23" i="1" s="1"/>
  <c r="H23" i="1" s="1"/>
  <c r="I23" i="1" s="1"/>
  <c r="D22" i="1" l="1"/>
  <c r="E22" i="1" s="1"/>
  <c r="F22" i="1" s="1"/>
  <c r="G22" i="1" s="1"/>
  <c r="H22" i="1" s="1"/>
  <c r="I22" i="1" s="1"/>
  <c r="C6" i="4"/>
  <c r="C7" i="4" s="1"/>
  <c r="G4" i="3"/>
  <c r="N4" i="3" s="1"/>
  <c r="L16" i="3"/>
  <c r="M7" i="3"/>
  <c r="H5" i="3"/>
  <c r="N5" i="3"/>
  <c r="N7" i="3"/>
  <c r="H7" i="3"/>
  <c r="I7" i="3" s="1"/>
  <c r="P7" i="3" s="1"/>
  <c r="M5" i="3"/>
  <c r="G11" i="3"/>
  <c r="G12" i="3"/>
  <c r="G13" i="3"/>
  <c r="G15" i="3"/>
  <c r="F16" i="3"/>
  <c r="G3" i="3"/>
  <c r="M16" i="3" l="1"/>
  <c r="H4" i="3"/>
  <c r="I4" i="3" s="1"/>
  <c r="O7" i="3"/>
  <c r="O5" i="3"/>
  <c r="I5" i="3"/>
  <c r="P5" i="3" s="1"/>
  <c r="N13" i="3"/>
  <c r="H13" i="3"/>
  <c r="N11" i="3"/>
  <c r="H11" i="3"/>
  <c r="N3" i="3"/>
  <c r="H3" i="3"/>
  <c r="G16" i="3"/>
  <c r="N15" i="3"/>
  <c r="H15" i="3"/>
  <c r="N12" i="3"/>
  <c r="H12" i="3"/>
  <c r="O3" i="3" l="1"/>
  <c r="I3" i="3"/>
  <c r="H16" i="3"/>
  <c r="O12" i="3"/>
  <c r="I12" i="3"/>
  <c r="P12" i="3" s="1"/>
  <c r="N16" i="3"/>
  <c r="O11" i="3"/>
  <c r="I11" i="3"/>
  <c r="P11" i="3" s="1"/>
  <c r="O13" i="3"/>
  <c r="I13" i="3"/>
  <c r="P13" i="3" s="1"/>
  <c r="O15" i="3"/>
  <c r="I15" i="3"/>
  <c r="P15" i="3" s="1"/>
  <c r="P3" i="3" l="1"/>
  <c r="P16" i="3" s="1"/>
  <c r="I16" i="3"/>
  <c r="J18" i="3" s="1"/>
  <c r="O16" i="3"/>
  <c r="Q18" i="3" l="1"/>
</calcChain>
</file>

<file path=xl/sharedStrings.xml><?xml version="1.0" encoding="utf-8"?>
<sst xmlns="http://schemas.openxmlformats.org/spreadsheetml/2006/main" count="122" uniqueCount="109">
  <si>
    <t>Total Bills</t>
  </si>
  <si>
    <t>Cost of eBills</t>
  </si>
  <si>
    <t>Cost of Paper Bills</t>
  </si>
  <si>
    <t>Cost per eBill</t>
  </si>
  <si>
    <t>Cost per Paper Bill</t>
  </si>
  <si>
    <t>Total</t>
  </si>
  <si>
    <t>YoY % Increment</t>
  </si>
  <si>
    <t>Cumulative Savings</t>
  </si>
  <si>
    <t>Overall eBill Savings</t>
  </si>
  <si>
    <t>Total # of Bills Issued Annually</t>
  </si>
  <si>
    <t># eBills Annually</t>
  </si>
  <si>
    <t># Paper Bills Annually</t>
  </si>
  <si>
    <t>Row 11 * Row 5</t>
  </si>
  <si>
    <t>Row 12 * Row 6</t>
  </si>
  <si>
    <t>Row 8 + Row 9</t>
  </si>
  <si>
    <t>Assumed eBill Subscription Rate</t>
  </si>
  <si>
    <t># of eBills Annually</t>
  </si>
  <si>
    <t># of Paper Bills Annually</t>
  </si>
  <si>
    <t>Row 16 * Row 22</t>
  </si>
  <si>
    <t>Row 17 * Row 23</t>
  </si>
  <si>
    <t>Cost Elements</t>
  </si>
  <si>
    <t>Paper Bill</t>
  </si>
  <si>
    <t>Bill Stock</t>
  </si>
  <si>
    <t>Bill Impression (double sided)</t>
  </si>
  <si>
    <t>Insertion Fee</t>
  </si>
  <si>
    <t>Outer Envelope</t>
  </si>
  <si>
    <t>Return Envelope</t>
  </si>
  <si>
    <t>Postage (Avg)</t>
  </si>
  <si>
    <t>eBill</t>
  </si>
  <si>
    <t>Estimated % of Views</t>
  </si>
  <si>
    <t>Cost of Issuing  Bills (No DXNEXT)</t>
  </si>
  <si>
    <t>Cost of Issuing  Bills (With DXNEXT)</t>
  </si>
  <si>
    <t>Row 19 + Row 20</t>
  </si>
  <si>
    <t xml:space="preserve">Cost per Bill </t>
  </si>
  <si>
    <t>Total Cost of Paper Bills</t>
  </si>
  <si>
    <t>Total Cost of eBills</t>
  </si>
  <si>
    <t>A</t>
  </si>
  <si>
    <t>B</t>
  </si>
  <si>
    <t>A*B</t>
  </si>
  <si>
    <t>Cost Per Position</t>
  </si>
  <si>
    <t>5% increase per year</t>
  </si>
  <si>
    <t>10% increase per year</t>
  </si>
  <si>
    <t>Cost of  Issuing Bills NO DXNEXT</t>
  </si>
  <si>
    <t>Cost of Issuing Bills WITH DXNEXT</t>
  </si>
  <si>
    <t>Incremental Savings per Year</t>
  </si>
  <si>
    <t>Assumptions</t>
  </si>
  <si>
    <t>Estimated Year of Decommissioning</t>
  </si>
  <si>
    <t>OM&amp;A program or segment</t>
  </si>
  <si>
    <t>Annual Cost Estimates</t>
  </si>
  <si>
    <t>Estimated Savings</t>
  </si>
  <si>
    <t>Customer Systems:</t>
  </si>
  <si>
    <t>Customer</t>
  </si>
  <si>
    <t>Harris NorthStar Contract</t>
  </si>
  <si>
    <t>Automate (Helpsys) - NorthStar Instance</t>
  </si>
  <si>
    <t>Aegysis</t>
  </si>
  <si>
    <t>Technology (IT)</t>
  </si>
  <si>
    <t>Distribution Operations Systems:</t>
  </si>
  <si>
    <t>Clevest Mobile Workforce Management</t>
  </si>
  <si>
    <t>Technology (OT)</t>
  </si>
  <si>
    <t>Asset Management Systems:</t>
  </si>
  <si>
    <t xml:space="preserve">Hexagon/Intergraph </t>
  </si>
  <si>
    <t>Finance Systems:</t>
  </si>
  <si>
    <t>MS Great Plains Licenses</t>
  </si>
  <si>
    <t>BDO Support</t>
  </si>
  <si>
    <t>Prophix</t>
  </si>
  <si>
    <t>Assumed 50% of savings in 1st year</t>
  </si>
  <si>
    <t>HR Systems:</t>
  </si>
  <si>
    <t xml:space="preserve">Dayforce </t>
  </si>
  <si>
    <t>People and Culture</t>
  </si>
  <si>
    <t>TOTAL (2027 to 2031)</t>
  </si>
  <si>
    <t>Total Savings ($M)</t>
  </si>
  <si>
    <t>Customer Care FTE Efficencies</t>
  </si>
  <si>
    <t>Finance FTE Efficiencies</t>
  </si>
  <si>
    <t>OM&amp;A Cost</t>
  </si>
  <si>
    <t>Description</t>
  </si>
  <si>
    <t>2027 to 2031</t>
  </si>
  <si>
    <t>Customer Care – labour ($M)</t>
  </si>
  <si>
    <t>Labour efficiencies and avoided hiring in billing, customer care, collections.</t>
  </si>
  <si>
    <t>Customer Care – non-labour ($M)</t>
  </si>
  <si>
    <t>Finance – labour ($M)</t>
  </si>
  <si>
    <t>Labour efficiencies and avoided hiring.</t>
  </si>
  <si>
    <t>Software Costs ($M)</t>
  </si>
  <si>
    <t>Decommissioning and removal of legacy applications.</t>
  </si>
  <si>
    <t>Total ($M)</t>
  </si>
  <si>
    <t>Average Annual Savings (2027 to 2031) ($M)</t>
  </si>
  <si>
    <t>Reduced postage and printing. (ebilling)</t>
  </si>
  <si>
    <t>Deferred Implementation Costs (2027 to 2036) ($M)</t>
  </si>
  <si>
    <t>Capital Asset Analyst</t>
  </si>
  <si>
    <t>Business Modelling Analyst</t>
  </si>
  <si>
    <t xml:space="preserve">Financial Reporting Analyst </t>
  </si>
  <si>
    <t xml:space="preserve">Accounting Associates (AP Function) </t>
  </si>
  <si>
    <t>Total Savings</t>
  </si>
  <si>
    <t>Positions Avoided*</t>
  </si>
  <si>
    <t xml:space="preserve">* Positions noted above are cumulative. </t>
  </si>
  <si>
    <t>Cost per position ($M)</t>
  </si>
  <si>
    <t>Annual Savings ($M)</t>
  </si>
  <si>
    <t>Annual Savings</t>
  </si>
  <si>
    <t>Positions* to be Added</t>
  </si>
  <si>
    <t>Annual FTE Efficiency Savings</t>
  </si>
  <si>
    <t>eBill View - per unit cost</t>
  </si>
  <si>
    <t>Bill Impression (double sided) - each ebill regardless of views</t>
  </si>
  <si>
    <t>Total cost of ebill per bill</t>
  </si>
  <si>
    <t>Cost per eBill (see Rows 48 to 53)</t>
  </si>
  <si>
    <t>Cost per eBill (See Rows 48 to 53)</t>
  </si>
  <si>
    <t>Cost per Paper Bill (see Rows 38 to 46)</t>
  </si>
  <si>
    <t>Cost per Paper Bill (See Rows 38 to 46)</t>
  </si>
  <si>
    <t>Totals  ($M) 2027 to 2031</t>
  </si>
  <si>
    <t>Assumed 50% 1st year post implementation then 90% for remaining years for Great Plains and Dayforce</t>
  </si>
  <si>
    <t>Assumed 50% of savings 1st year post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</si>
</sst>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,,&quot; M&quot;"/>
    <numFmt numFmtId="165" formatCode="_-* #,##0_-;\-* #,##0_-;_-* &quot;-&quot;??_-;_-@_-"/>
    <numFmt numFmtId="166" formatCode="_-* #,##0.000_-;\-* #,##0.000_-;_-* &quot;-&quot;??_-;_-@_-"/>
    <numFmt numFmtId="167" formatCode="0.000,,"/>
    <numFmt numFmtId="168" formatCode="0.00,,"/>
    <numFmt numFmtId="169" formatCode="0.0,,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trike/>
      <sz val="11"/>
      <color theme="1"/>
      <name val="Calibri"/>
      <family val="2"/>
    </font>
    <font>
      <strike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Open Sans"/>
      <family val="2"/>
    </font>
    <font>
      <b/>
      <sz val="12"/>
      <color rgb="FF000000"/>
      <name val="Calibri"/>
      <family val="2"/>
    </font>
    <font>
      <b/>
      <sz val="11"/>
      <color rgb="FF1F2221"/>
      <name val="Calibri"/>
      <family val="2"/>
    </font>
    <font>
      <sz val="11"/>
      <color rgb="FF1F222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43" fontId="3" fillId="0" borderId="3" xfId="1" applyFont="1" applyBorder="1"/>
    <xf numFmtId="0" fontId="2" fillId="0" borderId="3" xfId="0" applyFont="1" applyBorder="1"/>
    <xf numFmtId="43" fontId="2" fillId="0" borderId="3" xfId="1" applyFont="1" applyBorder="1"/>
    <xf numFmtId="43" fontId="3" fillId="0" borderId="0" xfId="1" applyFont="1"/>
    <xf numFmtId="9" fontId="3" fillId="0" borderId="3" xfId="2" applyFont="1" applyBorder="1"/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3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Continuous"/>
    </xf>
    <xf numFmtId="0" fontId="3" fillId="0" borderId="0" xfId="0" applyFont="1" applyAlignment="1">
      <alignment wrapText="1"/>
    </xf>
    <xf numFmtId="164" fontId="5" fillId="0" borderId="3" xfId="0" applyNumberFormat="1" applyFont="1" applyBorder="1"/>
    <xf numFmtId="0" fontId="3" fillId="3" borderId="0" xfId="0" applyFont="1" applyFill="1"/>
    <xf numFmtId="165" fontId="5" fillId="0" borderId="3" xfId="1" applyNumberFormat="1" applyFont="1" applyFill="1" applyBorder="1"/>
    <xf numFmtId="9" fontId="5" fillId="0" borderId="3" xfId="0" applyNumberFormat="1" applyFont="1" applyBorder="1"/>
    <xf numFmtId="165" fontId="5" fillId="0" borderId="3" xfId="1" applyNumberFormat="1" applyFont="1" applyBorder="1"/>
    <xf numFmtId="0" fontId="7" fillId="0" borderId="3" xfId="0" applyFont="1" applyBorder="1"/>
    <xf numFmtId="3" fontId="8" fillId="0" borderId="3" xfId="0" applyNumberFormat="1" applyFont="1" applyBorder="1"/>
    <xf numFmtId="0" fontId="7" fillId="0" borderId="0" xfId="0" applyFont="1"/>
    <xf numFmtId="2" fontId="5" fillId="0" borderId="3" xfId="0" applyNumberFormat="1" applyFont="1" applyBorder="1"/>
    <xf numFmtId="4" fontId="5" fillId="0" borderId="3" xfId="0" applyNumberFormat="1" applyFont="1" applyBorder="1"/>
    <xf numFmtId="0" fontId="3" fillId="0" borderId="1" xfId="0" applyFont="1" applyBorder="1"/>
    <xf numFmtId="164" fontId="2" fillId="0" borderId="3" xfId="0" applyNumberFormat="1" applyFont="1" applyBorder="1"/>
    <xf numFmtId="0" fontId="3" fillId="2" borderId="2" xfId="0" applyFont="1" applyFill="1" applyBorder="1"/>
    <xf numFmtId="9" fontId="3" fillId="0" borderId="3" xfId="0" applyNumberFormat="1" applyFont="1" applyBorder="1"/>
    <xf numFmtId="3" fontId="3" fillId="0" borderId="3" xfId="0" applyNumberFormat="1" applyFont="1" applyBorder="1"/>
    <xf numFmtId="164" fontId="3" fillId="0" borderId="3" xfId="0" applyNumberFormat="1" applyFont="1" applyBorder="1"/>
    <xf numFmtId="43" fontId="3" fillId="0" borderId="0" xfId="0" applyNumberFormat="1" applyFont="1"/>
    <xf numFmtId="166" fontId="3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top" wrapText="1"/>
    </xf>
    <xf numFmtId="0" fontId="11" fillId="0" borderId="3" xfId="3" applyFont="1" applyBorder="1" applyAlignment="1">
      <alignment horizontal="center" vertical="top" wrapText="1"/>
    </xf>
    <xf numFmtId="0" fontId="11" fillId="0" borderId="10" xfId="3" applyFont="1" applyBorder="1" applyAlignment="1">
      <alignment horizontal="center" vertical="top" wrapText="1"/>
    </xf>
    <xf numFmtId="0" fontId="14" fillId="0" borderId="11" xfId="3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167" fontId="3" fillId="0" borderId="3" xfId="0" applyNumberFormat="1" applyFont="1" applyBorder="1"/>
    <xf numFmtId="167" fontId="3" fillId="0" borderId="0" xfId="0" applyNumberFormat="1" applyFont="1"/>
    <xf numFmtId="167" fontId="2" fillId="0" borderId="3" xfId="0" applyNumberFormat="1" applyFont="1" applyBorder="1"/>
    <xf numFmtId="0" fontId="11" fillId="3" borderId="12" xfId="3" applyFont="1" applyFill="1" applyBorder="1" applyAlignment="1">
      <alignment horizontal="center" vertical="center" wrapText="1"/>
    </xf>
    <xf numFmtId="0" fontId="13" fillId="0" borderId="4" xfId="3" applyFont="1" applyBorder="1" applyAlignment="1">
      <alignment horizontal="left" vertical="top" wrapText="1"/>
    </xf>
    <xf numFmtId="0" fontId="13" fillId="0" borderId="4" xfId="3" applyFont="1" applyBorder="1" applyAlignment="1">
      <alignment horizontal="left" vertical="top"/>
    </xf>
    <xf numFmtId="0" fontId="12" fillId="0" borderId="4" xfId="3" applyFont="1" applyBorder="1" applyAlignment="1">
      <alignment horizontal="left" vertical="top"/>
    </xf>
    <xf numFmtId="0" fontId="3" fillId="0" borderId="4" xfId="0" applyFont="1" applyBorder="1"/>
    <xf numFmtId="0" fontId="3" fillId="0" borderId="13" xfId="0" applyFont="1" applyBorder="1"/>
    <xf numFmtId="0" fontId="13" fillId="0" borderId="4" xfId="3" applyFont="1" applyBorder="1" applyAlignment="1">
      <alignment horizontal="center" vertical="top"/>
    </xf>
    <xf numFmtId="0" fontId="13" fillId="0" borderId="4" xfId="3" applyFont="1" applyBorder="1" applyAlignment="1">
      <alignment horizontal="center" vertical="top" wrapText="1"/>
    </xf>
    <xf numFmtId="0" fontId="12" fillId="0" borderId="4" xfId="3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12" fillId="3" borderId="12" xfId="3" applyFont="1" applyFill="1" applyBorder="1" applyAlignment="1">
      <alignment horizontal="left" vertical="top"/>
    </xf>
    <xf numFmtId="0" fontId="12" fillId="3" borderId="4" xfId="3" applyFont="1" applyFill="1" applyBorder="1" applyAlignment="1">
      <alignment horizontal="left" vertical="top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168" fontId="3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/>
    </xf>
    <xf numFmtId="168" fontId="3" fillId="0" borderId="3" xfId="0" applyNumberFormat="1" applyFont="1" applyBorder="1"/>
    <xf numFmtId="168" fontId="2" fillId="0" borderId="3" xfId="0" applyNumberFormat="1" applyFont="1" applyBorder="1"/>
    <xf numFmtId="165" fontId="3" fillId="0" borderId="3" xfId="1" applyNumberFormat="1" applyFont="1" applyBorder="1"/>
    <xf numFmtId="168" fontId="3" fillId="0" borderId="0" xfId="0" applyNumberFormat="1" applyFont="1"/>
    <xf numFmtId="0" fontId="4" fillId="0" borderId="19" xfId="0" quotePrefix="1" applyFont="1" applyBorder="1"/>
    <xf numFmtId="0" fontId="4" fillId="0" borderId="0" xfId="0" quotePrefix="1" applyFont="1"/>
    <xf numFmtId="164" fontId="0" fillId="0" borderId="0" xfId="0" applyNumberFormat="1"/>
    <xf numFmtId="44" fontId="3" fillId="0" borderId="0" xfId="6" applyFont="1"/>
    <xf numFmtId="44" fontId="3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3" fillId="0" borderId="20" xfId="0" applyFont="1" applyBorder="1"/>
    <xf numFmtId="0" fontId="2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left" vertical="center" wrapText="1"/>
    </xf>
    <xf numFmtId="0" fontId="3" fillId="0" borderId="22" xfId="0" applyFont="1" applyBorder="1"/>
    <xf numFmtId="164" fontId="5" fillId="0" borderId="22" xfId="0" applyNumberFormat="1" applyFont="1" applyBorder="1"/>
    <xf numFmtId="0" fontId="3" fillId="0" borderId="10" xfId="0" applyFont="1" applyBorder="1" applyAlignment="1">
      <alignment wrapText="1"/>
    </xf>
    <xf numFmtId="165" fontId="5" fillId="0" borderId="11" xfId="1" applyNumberFormat="1" applyFont="1" applyFill="1" applyBorder="1"/>
    <xf numFmtId="9" fontId="5" fillId="0" borderId="11" xfId="0" applyNumberFormat="1" applyFont="1" applyBorder="1"/>
    <xf numFmtId="165" fontId="5" fillId="0" borderId="11" xfId="1" applyNumberFormat="1" applyFont="1" applyBorder="1"/>
    <xf numFmtId="0" fontId="7" fillId="0" borderId="10" xfId="0" applyFont="1" applyBorder="1" applyAlignment="1">
      <alignment wrapText="1"/>
    </xf>
    <xf numFmtId="3" fontId="8" fillId="0" borderId="11" xfId="0" applyNumberFormat="1" applyFont="1" applyBorder="1"/>
    <xf numFmtId="164" fontId="5" fillId="0" borderId="11" xfId="0" applyNumberFormat="1" applyFont="1" applyBorder="1"/>
    <xf numFmtId="2" fontId="5" fillId="0" borderId="11" xfId="0" applyNumberFormat="1" applyFont="1" applyBorder="1"/>
    <xf numFmtId="0" fontId="3" fillId="0" borderId="24" xfId="0" applyFont="1" applyBorder="1" applyAlignment="1">
      <alignment wrapText="1"/>
    </xf>
    <xf numFmtId="0" fontId="3" fillId="0" borderId="25" xfId="0" applyFont="1" applyBorder="1"/>
    <xf numFmtId="4" fontId="5" fillId="0" borderId="25" xfId="0" applyNumberFormat="1" applyFont="1" applyBorder="1"/>
    <xf numFmtId="4" fontId="5" fillId="0" borderId="26" xfId="0" applyNumberFormat="1" applyFont="1" applyBorder="1"/>
    <xf numFmtId="0" fontId="9" fillId="3" borderId="21" xfId="0" applyFont="1" applyFill="1" applyBorder="1" applyAlignment="1">
      <alignment horizontal="left" wrapText="1"/>
    </xf>
    <xf numFmtId="4" fontId="5" fillId="0" borderId="11" xfId="0" applyNumberFormat="1" applyFont="1" applyBorder="1"/>
    <xf numFmtId="0" fontId="2" fillId="2" borderId="10" xfId="0" applyFont="1" applyFill="1" applyBorder="1" applyAlignment="1">
      <alignment wrapText="1"/>
    </xf>
    <xf numFmtId="164" fontId="2" fillId="0" borderId="11" xfId="0" applyNumberFormat="1" applyFont="1" applyBorder="1"/>
    <xf numFmtId="9" fontId="3" fillId="0" borderId="11" xfId="0" applyNumberFormat="1" applyFont="1" applyBorder="1"/>
    <xf numFmtId="164" fontId="3" fillId="0" borderId="11" xfId="0" applyNumberFormat="1" applyFont="1" applyBorder="1"/>
    <xf numFmtId="0" fontId="3" fillId="0" borderId="11" xfId="0" applyFont="1" applyBorder="1"/>
    <xf numFmtId="0" fontId="9" fillId="3" borderId="24" xfId="0" applyFont="1" applyFill="1" applyBorder="1" applyAlignment="1">
      <alignment wrapText="1"/>
    </xf>
    <xf numFmtId="164" fontId="2" fillId="0" borderId="26" xfId="0" applyNumberFormat="1" applyFont="1" applyBorder="1"/>
    <xf numFmtId="0" fontId="2" fillId="3" borderId="21" xfId="0" applyFont="1" applyFill="1" applyBorder="1" applyAlignment="1">
      <alignment wrapText="1"/>
    </xf>
    <xf numFmtId="0" fontId="3" fillId="3" borderId="22" xfId="0" applyFont="1" applyFill="1" applyBorder="1"/>
    <xf numFmtId="0" fontId="3" fillId="3" borderId="23" xfId="0" applyFont="1" applyFill="1" applyBorder="1"/>
    <xf numFmtId="169" fontId="2" fillId="0" borderId="6" xfId="0" applyNumberFormat="1" applyFont="1" applyBorder="1" applyAlignment="1">
      <alignment horizontal="center"/>
    </xf>
    <xf numFmtId="0" fontId="2" fillId="0" borderId="4" xfId="0" applyFont="1" applyBorder="1"/>
    <xf numFmtId="168" fontId="2" fillId="0" borderId="3" xfId="0" applyNumberFormat="1" applyFont="1" applyBorder="1" applyAlignment="1">
      <alignment horizontal="center" vertical="center"/>
    </xf>
    <xf numFmtId="165" fontId="0" fillId="0" borderId="0" xfId="0" applyNumberFormat="1"/>
    <xf numFmtId="0" fontId="6" fillId="4" borderId="1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</cellXfs>
  <cellStyles count="7">
    <cellStyle name="Comma" xfId="1" builtinId="3"/>
    <cellStyle name="Comma 2" xfId="4" xr:uid="{90F5F0D3-6C4E-4142-978B-E90022A7545C}"/>
    <cellStyle name="Currency" xfId="6" builtinId="4"/>
    <cellStyle name="Currency 2" xfId="5" xr:uid="{EA156047-EBCC-448B-BFCF-A978F40CCAC9}"/>
    <cellStyle name="Normal" xfId="0" builtinId="0"/>
    <cellStyle name="Normal 2" xfId="3" xr:uid="{465FDAF0-D546-48B2-B292-8E269D10EB6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730A-B652-4CA9-902C-A91850902182}">
  <dimension ref="A1:E8"/>
  <sheetViews>
    <sheetView workbookViewId="0">
      <selection activeCell="B18" sqref="B18"/>
    </sheetView>
  </sheetViews>
  <sheetFormatPr defaultRowHeight="14.4" x14ac:dyDescent="0.3"/>
  <cols>
    <col min="1" max="1" width="43.21875" customWidth="1"/>
    <col min="2" max="2" width="43.109375" customWidth="1"/>
    <col min="3" max="3" width="17.88671875" customWidth="1"/>
  </cols>
  <sheetData>
    <row r="1" spans="1:5" ht="15" thickBot="1" x14ac:dyDescent="0.35">
      <c r="A1" s="58" t="s">
        <v>73</v>
      </c>
      <c r="B1" s="58" t="s">
        <v>74</v>
      </c>
      <c r="C1" s="58" t="s">
        <v>75</v>
      </c>
    </row>
    <row r="2" spans="1:5" ht="57.45" customHeight="1" thickBot="1" x14ac:dyDescent="0.35">
      <c r="A2" s="61" t="s">
        <v>76</v>
      </c>
      <c r="B2" s="62" t="s">
        <v>77</v>
      </c>
      <c r="C2" s="69">
        <f>'FTE Savings'!G9</f>
        <v>9006736.7209050003</v>
      </c>
    </row>
    <row r="3" spans="1:5" ht="15" thickBot="1" x14ac:dyDescent="0.35">
      <c r="A3" s="61" t="s">
        <v>78</v>
      </c>
      <c r="B3" s="63" t="s">
        <v>85</v>
      </c>
      <c r="C3" s="69">
        <f>'Customer (Ebilling Savings)'!I32</f>
        <v>2737546.8337247497</v>
      </c>
    </row>
    <row r="4" spans="1:5" ht="26.55" customHeight="1" thickBot="1" x14ac:dyDescent="0.35">
      <c r="A4" s="64" t="s">
        <v>79</v>
      </c>
      <c r="B4" s="61" t="s">
        <v>80</v>
      </c>
      <c r="C4" s="69">
        <f>'FTE Savings'!P12</f>
        <v>2488147.1999999997</v>
      </c>
    </row>
    <row r="5" spans="1:5" ht="37.5" customHeight="1" thickBot="1" x14ac:dyDescent="0.35">
      <c r="A5" s="61" t="s">
        <v>81</v>
      </c>
      <c r="B5" s="61" t="s">
        <v>82</v>
      </c>
      <c r="C5" s="69">
        <f>'Software Savings'!Q18</f>
        <v>4623585.0678044194</v>
      </c>
      <c r="E5" s="44"/>
    </row>
    <row r="6" spans="1:5" ht="15" thickBot="1" x14ac:dyDescent="0.35">
      <c r="A6" s="59" t="s">
        <v>83</v>
      </c>
      <c r="B6" s="60"/>
      <c r="C6" s="110">
        <f>SUM(C2:C5)</f>
        <v>18856015.822434168</v>
      </c>
    </row>
    <row r="7" spans="1:5" ht="23.55" customHeight="1" thickBot="1" x14ac:dyDescent="0.35">
      <c r="A7" s="61" t="s">
        <v>84</v>
      </c>
      <c r="B7" s="65"/>
      <c r="C7" s="67">
        <f>C6/5</f>
        <v>3771203.1644868338</v>
      </c>
    </row>
    <row r="8" spans="1:5" ht="36.450000000000003" customHeight="1" thickBot="1" x14ac:dyDescent="0.35">
      <c r="A8" s="66" t="s">
        <v>86</v>
      </c>
      <c r="B8" s="65"/>
      <c r="C8" s="68">
        <v>4.2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2957-6EFA-4019-BA7A-0B43EF9DFA47}">
  <dimension ref="A1:CF5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6" sqref="I16"/>
    </sheetView>
  </sheetViews>
  <sheetFormatPr defaultColWidth="8.77734375" defaultRowHeight="14.4" x14ac:dyDescent="0.3"/>
  <cols>
    <col min="1" max="1" width="53.21875" style="16" customWidth="1"/>
    <col min="2" max="3" width="19.5546875" style="2" customWidth="1"/>
    <col min="4" max="9" width="13.109375" style="2" customWidth="1"/>
    <col min="10" max="10" width="8.88671875"/>
    <col min="11" max="16" width="12.77734375" bestFit="1" customWidth="1"/>
    <col min="17" max="84" width="8.88671875" customWidth="1"/>
    <col min="85" max="16384" width="8.77734375" style="2"/>
  </cols>
  <sheetData>
    <row r="1" spans="1:84" ht="15" thickBot="1" x14ac:dyDescent="0.35">
      <c r="A1" s="80"/>
      <c r="B1" s="81"/>
      <c r="C1" s="81"/>
      <c r="D1" s="82">
        <v>2026</v>
      </c>
      <c r="E1" s="82">
        <v>2027</v>
      </c>
      <c r="F1" s="82">
        <v>2028</v>
      </c>
      <c r="G1" s="82">
        <v>2029</v>
      </c>
      <c r="H1" s="82">
        <v>2030</v>
      </c>
      <c r="I1" s="82">
        <v>2031</v>
      </c>
    </row>
    <row r="2" spans="1:84" s="18" customFormat="1" ht="15.6" x14ac:dyDescent="0.3">
      <c r="A2" s="83" t="s">
        <v>30</v>
      </c>
      <c r="B2" s="84" t="s">
        <v>14</v>
      </c>
      <c r="C2" s="84"/>
      <c r="D2" s="85">
        <f>D8+D9</f>
        <v>2525162.9011029205</v>
      </c>
      <c r="E2" s="85">
        <f t="shared" ref="E2:I2" si="0">E8+E9</f>
        <v>2814924.8447702019</v>
      </c>
      <c r="F2" s="85">
        <f t="shared" si="0"/>
        <v>3137728.6615465847</v>
      </c>
      <c r="G2" s="85">
        <f t="shared" si="0"/>
        <v>3497308.4577809637</v>
      </c>
      <c r="H2" s="85">
        <f t="shared" si="0"/>
        <v>3897815.2014378021</v>
      </c>
      <c r="I2" s="85">
        <f t="shared" si="0"/>
        <v>4343862.4945502672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x14ac:dyDescent="0.3">
      <c r="A3" s="86" t="s">
        <v>9</v>
      </c>
      <c r="B3" s="3"/>
      <c r="C3" s="3"/>
      <c r="D3" s="19">
        <v>2227533</v>
      </c>
      <c r="E3" s="19">
        <v>2272084</v>
      </c>
      <c r="F3" s="19">
        <v>2317525</v>
      </c>
      <c r="G3" s="19">
        <v>2363876</v>
      </c>
      <c r="H3" s="19">
        <v>2411153</v>
      </c>
      <c r="I3" s="87">
        <v>2459377</v>
      </c>
      <c r="K3" s="113"/>
      <c r="L3" s="113"/>
      <c r="M3" s="113"/>
      <c r="N3" s="113"/>
      <c r="O3" s="113"/>
      <c r="P3" s="113"/>
    </row>
    <row r="4" spans="1:84" x14ac:dyDescent="0.3">
      <c r="A4" s="86" t="s">
        <v>15</v>
      </c>
      <c r="B4" s="3"/>
      <c r="C4" s="3"/>
      <c r="D4" s="20">
        <v>0.36359999999999998</v>
      </c>
      <c r="E4" s="20">
        <v>0.36723600000000001</v>
      </c>
      <c r="F4" s="20">
        <v>0.37090835999999999</v>
      </c>
      <c r="G4" s="20">
        <v>0.37461744359999999</v>
      </c>
      <c r="H4" s="20">
        <v>0.37836361803599999</v>
      </c>
      <c r="I4" s="88">
        <v>0.38214725421635998</v>
      </c>
    </row>
    <row r="5" spans="1:84" x14ac:dyDescent="0.3">
      <c r="A5" s="86" t="s">
        <v>10</v>
      </c>
      <c r="B5" s="3"/>
      <c r="C5" s="3"/>
      <c r="D5" s="21">
        <v>809931</v>
      </c>
      <c r="E5" s="21">
        <v>834391</v>
      </c>
      <c r="F5" s="21">
        <v>859590</v>
      </c>
      <c r="G5" s="21">
        <v>885549</v>
      </c>
      <c r="H5" s="21">
        <v>912293</v>
      </c>
      <c r="I5" s="89">
        <v>939844</v>
      </c>
      <c r="K5" s="113"/>
      <c r="L5" s="113"/>
      <c r="M5" s="113"/>
      <c r="N5" s="113"/>
      <c r="O5" s="113"/>
      <c r="P5" s="113"/>
    </row>
    <row r="6" spans="1:84" x14ac:dyDescent="0.3">
      <c r="A6" s="86" t="s">
        <v>11</v>
      </c>
      <c r="B6" s="3"/>
      <c r="C6" s="3"/>
      <c r="D6" s="21">
        <v>1417602</v>
      </c>
      <c r="E6" s="21">
        <v>1437693</v>
      </c>
      <c r="F6" s="21">
        <v>1457936</v>
      </c>
      <c r="G6" s="21">
        <v>1478327</v>
      </c>
      <c r="H6" s="21">
        <v>1498861</v>
      </c>
      <c r="I6" s="89">
        <v>1519533</v>
      </c>
      <c r="K6" s="113"/>
      <c r="L6" s="113"/>
      <c r="M6" s="113"/>
      <c r="N6" s="113"/>
      <c r="O6" s="113"/>
      <c r="P6" s="113"/>
    </row>
    <row r="7" spans="1:84" x14ac:dyDescent="0.3">
      <c r="A7" s="90"/>
      <c r="B7" s="22"/>
      <c r="C7" s="22"/>
      <c r="D7" s="23"/>
      <c r="E7" s="23"/>
      <c r="F7" s="23"/>
      <c r="G7" s="23"/>
      <c r="H7" s="23"/>
      <c r="I7" s="91"/>
    </row>
    <row r="8" spans="1:84" x14ac:dyDescent="0.3">
      <c r="A8" s="86" t="s">
        <v>1</v>
      </c>
      <c r="B8" s="3" t="s">
        <v>12</v>
      </c>
      <c r="C8" s="3"/>
      <c r="D8" s="17">
        <v>62591.470959144965</v>
      </c>
      <c r="E8" s="17">
        <v>67705.820051216695</v>
      </c>
      <c r="F8" s="17">
        <v>73238.06260760162</v>
      </c>
      <c r="G8" s="17">
        <v>79222.344703268755</v>
      </c>
      <c r="H8" s="17">
        <v>85695.602488972872</v>
      </c>
      <c r="I8" s="92">
        <v>92697.790168346823</v>
      </c>
    </row>
    <row r="9" spans="1:84" x14ac:dyDescent="0.3">
      <c r="A9" s="86" t="s">
        <v>2</v>
      </c>
      <c r="B9" s="3" t="s">
        <v>13</v>
      </c>
      <c r="C9" s="3"/>
      <c r="D9" s="17">
        <v>2462571.4301437754</v>
      </c>
      <c r="E9" s="17">
        <v>2747219.0247189854</v>
      </c>
      <c r="F9" s="17">
        <v>3064490.5989389829</v>
      </c>
      <c r="G9" s="17">
        <v>3418086.113077695</v>
      </c>
      <c r="H9" s="17">
        <v>3812119.5989488293</v>
      </c>
      <c r="I9" s="92">
        <v>4251164.7043819204</v>
      </c>
    </row>
    <row r="10" spans="1:84" s="24" customFormat="1" x14ac:dyDescent="0.3">
      <c r="A10" s="90"/>
      <c r="B10" s="22"/>
      <c r="C10" s="22"/>
      <c r="D10" s="23"/>
      <c r="E10" s="23"/>
      <c r="F10" s="23"/>
      <c r="G10" s="23"/>
      <c r="H10" s="23"/>
      <c r="I10" s="9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x14ac:dyDescent="0.3">
      <c r="A11" s="86" t="s">
        <v>102</v>
      </c>
      <c r="B11" s="3" t="s">
        <v>40</v>
      </c>
      <c r="C11" s="3"/>
      <c r="D11" s="25">
        <v>7.7280000000000001E-2</v>
      </c>
      <c r="E11" s="25">
        <v>8.1144000000000008E-2</v>
      </c>
      <c r="F11" s="25">
        <v>8.5201200000000019E-2</v>
      </c>
      <c r="G11" s="25">
        <v>8.9461260000000029E-2</v>
      </c>
      <c r="H11" s="25">
        <v>9.3934323000000028E-2</v>
      </c>
      <c r="I11" s="93">
        <v>9.863103915000003E-2</v>
      </c>
    </row>
    <row r="12" spans="1:84" s="27" customFormat="1" ht="15" thickBot="1" x14ac:dyDescent="0.35">
      <c r="A12" s="94" t="s">
        <v>105</v>
      </c>
      <c r="B12" s="95" t="s">
        <v>41</v>
      </c>
      <c r="C12" s="95"/>
      <c r="D12" s="96">
        <v>1.7371387000000003</v>
      </c>
      <c r="E12" s="96">
        <v>1.9108525700000005</v>
      </c>
      <c r="F12" s="96">
        <v>2.1019378270000009</v>
      </c>
      <c r="G12" s="96">
        <v>2.3121316097000011</v>
      </c>
      <c r="H12" s="96">
        <v>2.5433447706700014</v>
      </c>
      <c r="I12" s="97">
        <v>2.7976792477370016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8" customFormat="1" ht="15.6" x14ac:dyDescent="0.3">
      <c r="A13" s="98" t="s">
        <v>31</v>
      </c>
      <c r="B13" s="84" t="s">
        <v>32</v>
      </c>
      <c r="C13" s="84"/>
      <c r="D13" s="85">
        <f>D19+D20</f>
        <v>2525162.9011029205</v>
      </c>
      <c r="E13" s="85">
        <f t="shared" ref="E13:I13" si="1">E19+E20</f>
        <v>2699599.1802804498</v>
      </c>
      <c r="F13" s="85">
        <f t="shared" si="1"/>
        <v>2865930.9534119344</v>
      </c>
      <c r="G13" s="85">
        <f t="shared" si="1"/>
        <v>3016715.7251906558</v>
      </c>
      <c r="H13" s="85">
        <f t="shared" si="1"/>
        <v>3142186.9522546856</v>
      </c>
      <c r="I13" s="85">
        <f t="shared" si="1"/>
        <v>3229660.0152233443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x14ac:dyDescent="0.3">
      <c r="A14" s="86" t="s">
        <v>0</v>
      </c>
      <c r="B14" s="3"/>
      <c r="C14" s="3"/>
      <c r="D14" s="19">
        <v>2227533</v>
      </c>
      <c r="E14" s="19">
        <v>2272084</v>
      </c>
      <c r="F14" s="19">
        <v>2317525</v>
      </c>
      <c r="G14" s="19">
        <v>2363876</v>
      </c>
      <c r="H14" s="19">
        <v>2411153</v>
      </c>
      <c r="I14" s="87">
        <v>2459377</v>
      </c>
      <c r="K14" s="113"/>
      <c r="L14" s="113"/>
      <c r="M14" s="113"/>
      <c r="N14" s="113"/>
      <c r="O14" s="113"/>
      <c r="P14" s="113"/>
    </row>
    <row r="15" spans="1:84" x14ac:dyDescent="0.3">
      <c r="A15" s="86" t="s">
        <v>15</v>
      </c>
      <c r="B15" s="3"/>
      <c r="C15" s="3"/>
      <c r="D15" s="20">
        <v>0.36359999999999998</v>
      </c>
      <c r="E15" s="20">
        <v>0.39497684601044525</v>
      </c>
      <c r="F15" s="20">
        <v>0.42906135556754399</v>
      </c>
      <c r="G15" s="20">
        <v>0.4660871863779833</v>
      </c>
      <c r="H15" s="20">
        <v>0.50630815962997366</v>
      </c>
      <c r="I15" s="88">
        <v>0.55000000000000004</v>
      </c>
    </row>
    <row r="16" spans="1:84" x14ac:dyDescent="0.3">
      <c r="A16" s="86" t="s">
        <v>16</v>
      </c>
      <c r="B16" s="3"/>
      <c r="C16" s="3"/>
      <c r="D16" s="19">
        <v>809931</v>
      </c>
      <c r="E16" s="19">
        <v>897420</v>
      </c>
      <c r="F16" s="19">
        <v>994361</v>
      </c>
      <c r="G16" s="19">
        <v>1101772</v>
      </c>
      <c r="H16" s="19">
        <v>1220787</v>
      </c>
      <c r="I16" s="87">
        <v>1352657</v>
      </c>
      <c r="K16" s="113"/>
      <c r="L16" s="113"/>
      <c r="M16" s="113"/>
      <c r="N16" s="113"/>
      <c r="O16" s="113"/>
      <c r="P16" s="113"/>
    </row>
    <row r="17" spans="1:84" x14ac:dyDescent="0.3">
      <c r="A17" s="86" t="s">
        <v>17</v>
      </c>
      <c r="B17" s="3"/>
      <c r="C17" s="3"/>
      <c r="D17" s="19">
        <v>1417602</v>
      </c>
      <c r="E17" s="19">
        <v>1374663</v>
      </c>
      <c r="F17" s="19">
        <v>1323165</v>
      </c>
      <c r="G17" s="19">
        <v>1262104</v>
      </c>
      <c r="H17" s="19">
        <v>1190367</v>
      </c>
      <c r="I17" s="87">
        <v>1106719</v>
      </c>
      <c r="K17" s="113"/>
      <c r="L17" s="113"/>
      <c r="M17" s="113"/>
      <c r="N17" s="113"/>
      <c r="O17" s="113"/>
      <c r="P17" s="113"/>
    </row>
    <row r="18" spans="1:84" x14ac:dyDescent="0.3">
      <c r="A18" s="90"/>
      <c r="B18" s="22"/>
      <c r="C18" s="22"/>
      <c r="D18" s="23"/>
      <c r="E18" s="23"/>
      <c r="F18" s="23"/>
      <c r="G18" s="23"/>
      <c r="H18" s="23"/>
      <c r="I18" s="91"/>
    </row>
    <row r="19" spans="1:84" x14ac:dyDescent="0.3">
      <c r="A19" s="86" t="s">
        <v>35</v>
      </c>
      <c r="B19" s="3" t="s">
        <v>18</v>
      </c>
      <c r="C19" s="3"/>
      <c r="D19" s="17">
        <v>62591.470959145001</v>
      </c>
      <c r="E19" s="17">
        <v>72820.287935769738</v>
      </c>
      <c r="F19" s="17">
        <v>84720.717596007293</v>
      </c>
      <c r="G19" s="17">
        <v>98565.938057170788</v>
      </c>
      <c r="H19" s="17">
        <v>114673.77072296994</v>
      </c>
      <c r="I19" s="92">
        <v>133413.97597410268</v>
      </c>
    </row>
    <row r="20" spans="1:84" x14ac:dyDescent="0.3">
      <c r="A20" s="86" t="s">
        <v>34</v>
      </c>
      <c r="B20" s="3" t="s">
        <v>19</v>
      </c>
      <c r="C20" s="3"/>
      <c r="D20" s="17">
        <v>2462571.4301437754</v>
      </c>
      <c r="E20" s="17">
        <v>2626778.8923446801</v>
      </c>
      <c r="F20" s="17">
        <v>2781210.2358159269</v>
      </c>
      <c r="G20" s="17">
        <v>2918149.7871334851</v>
      </c>
      <c r="H20" s="17">
        <v>3027513.1815317157</v>
      </c>
      <c r="I20" s="92">
        <v>3096246.0392492418</v>
      </c>
    </row>
    <row r="21" spans="1:84" s="24" customFormat="1" x14ac:dyDescent="0.3">
      <c r="A21" s="90"/>
      <c r="B21" s="22"/>
      <c r="C21" s="22"/>
      <c r="D21" s="23"/>
      <c r="E21" s="23"/>
      <c r="F21" s="23"/>
      <c r="G21" s="23"/>
      <c r="H21" s="23"/>
      <c r="I21" s="9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x14ac:dyDescent="0.3">
      <c r="A22" s="86" t="s">
        <v>103</v>
      </c>
      <c r="B22" s="3" t="s">
        <v>40</v>
      </c>
      <c r="C22" s="3"/>
      <c r="D22" s="26">
        <f>B53*1.05</f>
        <v>7.7280000000000001E-2</v>
      </c>
      <c r="E22" s="26">
        <f>D22*1.05</f>
        <v>8.1144000000000008E-2</v>
      </c>
      <c r="F22" s="26">
        <f t="shared" ref="F22:I22" si="2">E22*1.05</f>
        <v>8.5201200000000019E-2</v>
      </c>
      <c r="G22" s="26">
        <f t="shared" si="2"/>
        <v>8.9461260000000029E-2</v>
      </c>
      <c r="H22" s="26">
        <f t="shared" si="2"/>
        <v>9.3934323000000028E-2</v>
      </c>
      <c r="I22" s="99">
        <f t="shared" si="2"/>
        <v>9.863103915000003E-2</v>
      </c>
    </row>
    <row r="23" spans="1:84" ht="15" thickBot="1" x14ac:dyDescent="0.35">
      <c r="A23" s="94" t="s">
        <v>104</v>
      </c>
      <c r="B23" s="95" t="s">
        <v>41</v>
      </c>
      <c r="C23" s="95"/>
      <c r="D23" s="96">
        <f>B46*1.1</f>
        <v>1.7371387000000003</v>
      </c>
      <c r="E23" s="96">
        <f>D23*1.1</f>
        <v>1.9108525700000005</v>
      </c>
      <c r="F23" s="96">
        <f t="shared" ref="F23:I23" si="3">E23*1.1</f>
        <v>2.1019378270000009</v>
      </c>
      <c r="G23" s="96">
        <f t="shared" si="3"/>
        <v>2.3121316097000011</v>
      </c>
      <c r="H23" s="96">
        <f t="shared" si="3"/>
        <v>2.5433447706700014</v>
      </c>
      <c r="I23" s="97">
        <f t="shared" si="3"/>
        <v>2.7976792477370016</v>
      </c>
    </row>
    <row r="24" spans="1:84" x14ac:dyDescent="0.3">
      <c r="A24" s="107" t="s">
        <v>5</v>
      </c>
      <c r="B24" s="108"/>
      <c r="C24" s="108"/>
      <c r="D24" s="108"/>
      <c r="E24" s="108"/>
      <c r="F24" s="108"/>
      <c r="G24" s="108"/>
      <c r="H24" s="108"/>
      <c r="I24" s="109"/>
    </row>
    <row r="25" spans="1:84" s="29" customFormat="1" x14ac:dyDescent="0.3">
      <c r="A25" s="100" t="s">
        <v>42</v>
      </c>
      <c r="B25" s="3"/>
      <c r="C25" s="3"/>
      <c r="D25" s="28">
        <v>2525162.9011029205</v>
      </c>
      <c r="E25" s="28">
        <v>2814924.8447702019</v>
      </c>
      <c r="F25" s="28">
        <v>3137728.6615465847</v>
      </c>
      <c r="G25" s="28">
        <v>3497308.4577809637</v>
      </c>
      <c r="H25" s="28">
        <v>3897815.2014378021</v>
      </c>
      <c r="I25" s="101">
        <v>4343862.4945502672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x14ac:dyDescent="0.3">
      <c r="A26" s="86" t="s">
        <v>6</v>
      </c>
      <c r="B26" s="3"/>
      <c r="C26" s="3"/>
      <c r="D26" s="30">
        <v>0.11482073476259365</v>
      </c>
      <c r="E26" s="30">
        <v>0.11474980229620889</v>
      </c>
      <c r="F26" s="30">
        <v>0.11467582069770499</v>
      </c>
      <c r="G26" s="30">
        <v>0.11459875439233881</v>
      </c>
      <c r="H26" s="30">
        <v>0.11451856434503897</v>
      </c>
      <c r="I26" s="102">
        <v>0.11443520794621818</v>
      </c>
    </row>
    <row r="27" spans="1:84" s="29" customFormat="1" x14ac:dyDescent="0.3">
      <c r="A27" s="100" t="s">
        <v>43</v>
      </c>
      <c r="B27" s="3"/>
      <c r="C27" s="3"/>
      <c r="D27" s="28">
        <v>2525162.9011029205</v>
      </c>
      <c r="E27" s="28">
        <v>2699599.1802804498</v>
      </c>
      <c r="F27" s="28">
        <v>2865930.9534119344</v>
      </c>
      <c r="G27" s="28">
        <v>3016715.7251906558</v>
      </c>
      <c r="H27" s="28">
        <v>3142186.9522546856</v>
      </c>
      <c r="I27" s="101">
        <v>3229660.0152233443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x14ac:dyDescent="0.3">
      <c r="A28" s="86" t="s">
        <v>6</v>
      </c>
      <c r="B28" s="3"/>
      <c r="C28" s="3"/>
      <c r="D28" s="30">
        <v>0.11482073476259365</v>
      </c>
      <c r="E28" s="30">
        <v>6.9079218256113448E-2</v>
      </c>
      <c r="F28" s="30">
        <v>6.1613507051889511E-2</v>
      </c>
      <c r="G28" s="30">
        <v>5.2612841771086563E-2</v>
      </c>
      <c r="H28" s="30">
        <v>4.1591995565342842E-2</v>
      </c>
      <c r="I28" s="102">
        <v>2.7838274519564214E-2</v>
      </c>
    </row>
    <row r="29" spans="1:84" x14ac:dyDescent="0.3">
      <c r="A29" s="86" t="s">
        <v>44</v>
      </c>
      <c r="B29" s="3"/>
      <c r="C29" s="3"/>
      <c r="D29" s="31"/>
      <c r="E29" s="28">
        <v>115325.66448975215</v>
      </c>
      <c r="F29" s="28">
        <v>271797.70813465025</v>
      </c>
      <c r="G29" s="28">
        <v>480592.73259030795</v>
      </c>
      <c r="H29" s="28">
        <v>755628.24918311648</v>
      </c>
      <c r="I29" s="101">
        <v>1114202.4793269229</v>
      </c>
      <c r="J29" s="76"/>
    </row>
    <row r="30" spans="1:84" x14ac:dyDescent="0.3">
      <c r="A30" s="86" t="s">
        <v>7</v>
      </c>
      <c r="B30" s="3"/>
      <c r="C30" s="3"/>
      <c r="D30" s="31"/>
      <c r="E30" s="32">
        <v>115325.66448975215</v>
      </c>
      <c r="F30" s="32">
        <v>387123.3726244024</v>
      </c>
      <c r="G30" s="32">
        <v>867716.10521471035</v>
      </c>
      <c r="H30" s="32">
        <v>1623344.3543978268</v>
      </c>
      <c r="I30" s="103">
        <v>2737546.8337247497</v>
      </c>
    </row>
    <row r="31" spans="1:84" x14ac:dyDescent="0.3">
      <c r="A31" s="86"/>
      <c r="B31" s="3"/>
      <c r="C31" s="3"/>
      <c r="D31" s="3"/>
      <c r="E31" s="3"/>
      <c r="F31" s="3"/>
      <c r="G31" s="3"/>
      <c r="H31" s="3"/>
      <c r="I31" s="104"/>
    </row>
    <row r="32" spans="1:84" ht="16.2" thickBot="1" x14ac:dyDescent="0.35">
      <c r="A32" s="105" t="s">
        <v>8</v>
      </c>
      <c r="B32" s="95"/>
      <c r="C32" s="95"/>
      <c r="D32" s="95"/>
      <c r="E32" s="95"/>
      <c r="F32" s="95"/>
      <c r="G32" s="95"/>
      <c r="H32" s="95"/>
      <c r="I32" s="106">
        <f>SUM(E29:I29)</f>
        <v>2737546.8337247497</v>
      </c>
    </row>
    <row r="33" spans="1:6" x14ac:dyDescent="0.3">
      <c r="F33" s="7"/>
    </row>
    <row r="37" spans="1:6" x14ac:dyDescent="0.3">
      <c r="A37" s="1" t="s">
        <v>33</v>
      </c>
    </row>
    <row r="38" spans="1:6" x14ac:dyDescent="0.3">
      <c r="A38" s="14" t="s">
        <v>20</v>
      </c>
      <c r="B38" s="12"/>
    </row>
    <row r="39" spans="1:6" x14ac:dyDescent="0.3">
      <c r="A39" s="14" t="s">
        <v>21</v>
      </c>
      <c r="B39" s="13">
        <v>2025</v>
      </c>
    </row>
    <row r="40" spans="1:6" x14ac:dyDescent="0.3">
      <c r="A40" s="3" t="s">
        <v>22</v>
      </c>
      <c r="B40" s="4">
        <v>2.7814999999999999E-2</v>
      </c>
    </row>
    <row r="41" spans="1:6" x14ac:dyDescent="0.3">
      <c r="A41" s="3" t="s">
        <v>23</v>
      </c>
      <c r="B41" s="4">
        <f t="shared" ref="B41" si="4">0.0165*2</f>
        <v>3.3000000000000002E-2</v>
      </c>
    </row>
    <row r="42" spans="1:6" x14ac:dyDescent="0.3">
      <c r="A42" s="3" t="s">
        <v>24</v>
      </c>
      <c r="B42" s="4">
        <v>3.3000000000000002E-2</v>
      </c>
    </row>
    <row r="43" spans="1:6" x14ac:dyDescent="0.3">
      <c r="A43" s="3" t="s">
        <v>25</v>
      </c>
      <c r="B43" s="4">
        <v>5.2682E-2</v>
      </c>
    </row>
    <row r="44" spans="1:6" x14ac:dyDescent="0.3">
      <c r="A44" s="3" t="s">
        <v>26</v>
      </c>
      <c r="B44" s="4">
        <v>3.9940999999999997E-2</v>
      </c>
    </row>
    <row r="45" spans="1:6" x14ac:dyDescent="0.3">
      <c r="A45" s="3" t="s">
        <v>27</v>
      </c>
      <c r="B45" s="4">
        <v>1.392779</v>
      </c>
    </row>
    <row r="46" spans="1:6" x14ac:dyDescent="0.3">
      <c r="A46" s="5" t="s">
        <v>4</v>
      </c>
      <c r="B46" s="6">
        <f t="shared" ref="B46" si="5">SUM(B40:B45)</f>
        <v>1.5792170000000001</v>
      </c>
      <c r="D46" s="33"/>
    </row>
    <row r="47" spans="1:6" x14ac:dyDescent="0.3">
      <c r="A47" s="2"/>
      <c r="B47" s="7"/>
      <c r="D47" s="33"/>
    </row>
    <row r="48" spans="1:6" x14ac:dyDescent="0.3">
      <c r="A48" s="14" t="s">
        <v>28</v>
      </c>
      <c r="B48" s="15"/>
      <c r="D48" s="78"/>
    </row>
    <row r="49" spans="1:4" x14ac:dyDescent="0.3">
      <c r="A49" s="3" t="s">
        <v>99</v>
      </c>
      <c r="B49" s="4">
        <v>0.14000000000000001</v>
      </c>
      <c r="D49" s="77"/>
    </row>
    <row r="50" spans="1:4" x14ac:dyDescent="0.3">
      <c r="A50" s="3" t="s">
        <v>29</v>
      </c>
      <c r="B50" s="8">
        <v>0.28999999999999998</v>
      </c>
    </row>
    <row r="51" spans="1:4" x14ac:dyDescent="0.3">
      <c r="A51" s="3" t="s">
        <v>100</v>
      </c>
      <c r="B51" s="4">
        <f t="shared" ref="B51" si="6">0.0165*2</f>
        <v>3.3000000000000002E-2</v>
      </c>
      <c r="D51" s="33"/>
    </row>
    <row r="52" spans="1:4" x14ac:dyDescent="0.3">
      <c r="A52" s="3" t="s">
        <v>101</v>
      </c>
      <c r="B52" s="4">
        <f>B51+B49</f>
        <v>0.17300000000000001</v>
      </c>
      <c r="C52" s="33"/>
      <c r="D52" s="33"/>
    </row>
    <row r="53" spans="1:4" x14ac:dyDescent="0.3">
      <c r="A53" s="5" t="s">
        <v>3</v>
      </c>
      <c r="B53" s="6">
        <f>B51+(B49*B50)</f>
        <v>7.3599999999999999E-2</v>
      </c>
      <c r="D53" s="34"/>
    </row>
    <row r="54" spans="1:4" x14ac:dyDescent="0.3">
      <c r="A5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D434-A7C0-46D3-88BB-0A719591B1C0}">
  <dimension ref="B2:P23"/>
  <sheetViews>
    <sheetView tabSelected="1" topLeftCell="B1" workbookViewId="0">
      <selection activeCell="M20" sqref="M20"/>
    </sheetView>
  </sheetViews>
  <sheetFormatPr defaultColWidth="8.77734375" defaultRowHeight="14.4" x14ac:dyDescent="0.3"/>
  <cols>
    <col min="1" max="1" width="8.77734375" style="2"/>
    <col min="2" max="2" width="37.88671875" style="2" customWidth="1"/>
    <col min="3" max="7" width="13.77734375" style="2" customWidth="1"/>
    <col min="8" max="8" width="10.33203125" style="2" bestFit="1" customWidth="1"/>
    <col min="9" max="9" width="8.77734375" style="2"/>
    <col min="10" max="10" width="24.21875" style="2" customWidth="1"/>
    <col min="11" max="11" width="16.21875" style="2" customWidth="1"/>
    <col min="12" max="16384" width="8.77734375" style="2"/>
  </cols>
  <sheetData>
    <row r="2" spans="2:16" x14ac:dyDescent="0.3">
      <c r="I2"/>
      <c r="J2"/>
    </row>
    <row r="3" spans="2:16" x14ac:dyDescent="0.3">
      <c r="I3"/>
      <c r="J3"/>
    </row>
    <row r="4" spans="2:16" x14ac:dyDescent="0.3">
      <c r="B4" s="1" t="s">
        <v>71</v>
      </c>
      <c r="I4"/>
      <c r="J4" s="1" t="s">
        <v>72</v>
      </c>
    </row>
    <row r="5" spans="2:16" x14ac:dyDescent="0.3">
      <c r="B5" s="9"/>
      <c r="C5" s="40">
        <v>2027</v>
      </c>
      <c r="D5" s="40">
        <v>2028</v>
      </c>
      <c r="E5" s="40">
        <v>2029</v>
      </c>
      <c r="F5" s="40">
        <v>2030</v>
      </c>
      <c r="G5" s="40">
        <v>2031</v>
      </c>
      <c r="H5" s="3"/>
      <c r="I5"/>
      <c r="J5" s="3"/>
      <c r="K5" s="40" t="s">
        <v>39</v>
      </c>
      <c r="L5" s="40">
        <v>2027</v>
      </c>
      <c r="M5" s="40">
        <v>2028</v>
      </c>
      <c r="N5" s="40">
        <v>2029</v>
      </c>
      <c r="O5" s="40">
        <v>2030</v>
      </c>
      <c r="P5" s="40">
        <v>2031</v>
      </c>
    </row>
    <row r="6" spans="2:16" x14ac:dyDescent="0.3">
      <c r="B6" s="10" t="s">
        <v>92</v>
      </c>
      <c r="C6" s="35">
        <v>9</v>
      </c>
      <c r="D6" s="35">
        <v>10</v>
      </c>
      <c r="E6" s="35">
        <v>12</v>
      </c>
      <c r="F6" s="35">
        <v>13</v>
      </c>
      <c r="G6" s="35">
        <v>14</v>
      </c>
      <c r="H6" s="41" t="s">
        <v>36</v>
      </c>
      <c r="I6"/>
      <c r="J6" s="3"/>
      <c r="K6" s="3"/>
      <c r="L6" s="114" t="s">
        <v>97</v>
      </c>
      <c r="M6" s="115"/>
      <c r="N6" s="115"/>
      <c r="O6" s="115"/>
      <c r="P6" s="116"/>
    </row>
    <row r="7" spans="2:16" x14ac:dyDescent="0.3">
      <c r="B7" s="11" t="s">
        <v>94</v>
      </c>
      <c r="C7" s="70">
        <f>140000*1.035</f>
        <v>144900</v>
      </c>
      <c r="D7" s="70">
        <f>C7*1.035</f>
        <v>149971.5</v>
      </c>
      <c r="E7" s="70">
        <f>D7*1.035</f>
        <v>155220.5025</v>
      </c>
      <c r="F7" s="70">
        <f>E7*1.025</f>
        <v>159101.0150625</v>
      </c>
      <c r="G7" s="70">
        <f>F7*1.02</f>
        <v>162283.03536375001</v>
      </c>
      <c r="H7" s="41" t="s">
        <v>37</v>
      </c>
      <c r="I7"/>
      <c r="J7" s="3" t="s">
        <v>87</v>
      </c>
      <c r="K7" s="70">
        <v>146880</v>
      </c>
      <c r="L7" s="70"/>
      <c r="M7" s="70"/>
      <c r="N7" s="72">
        <v>1</v>
      </c>
      <c r="O7" s="72">
        <v>2</v>
      </c>
      <c r="P7" s="72">
        <v>2</v>
      </c>
    </row>
    <row r="8" spans="2:16" x14ac:dyDescent="0.3">
      <c r="B8" s="9" t="s">
        <v>96</v>
      </c>
      <c r="C8" s="70">
        <f>C6*C7</f>
        <v>1304100</v>
      </c>
      <c r="D8" s="70">
        <f>D6*D7</f>
        <v>1499715</v>
      </c>
      <c r="E8" s="70">
        <f>E6*E7</f>
        <v>1862646.03</v>
      </c>
      <c r="F8" s="70">
        <f>F6*F7</f>
        <v>2068313.1958124998</v>
      </c>
      <c r="G8" s="70">
        <f>G6*G7</f>
        <v>2271962.4950925</v>
      </c>
      <c r="H8" s="41" t="s">
        <v>38</v>
      </c>
      <c r="I8"/>
      <c r="J8" s="3" t="s">
        <v>89</v>
      </c>
      <c r="K8" s="70">
        <v>138720</v>
      </c>
      <c r="L8" s="70"/>
      <c r="M8" s="70"/>
      <c r="N8" s="72">
        <v>1</v>
      </c>
      <c r="O8" s="72">
        <v>1</v>
      </c>
      <c r="P8" s="72">
        <v>1</v>
      </c>
    </row>
    <row r="9" spans="2:16" x14ac:dyDescent="0.3">
      <c r="B9" s="42" t="s">
        <v>70</v>
      </c>
      <c r="C9" s="70"/>
      <c r="D9" s="70"/>
      <c r="E9" s="70"/>
      <c r="F9" s="70"/>
      <c r="G9" s="71">
        <f>SUM(C8:G8)</f>
        <v>9006736.7209050003</v>
      </c>
      <c r="H9" s="3"/>
      <c r="I9"/>
      <c r="J9" s="3" t="s">
        <v>88</v>
      </c>
      <c r="K9" s="70">
        <v>146880</v>
      </c>
      <c r="L9" s="70"/>
      <c r="M9" s="72">
        <v>1</v>
      </c>
      <c r="N9" s="72">
        <v>1</v>
      </c>
      <c r="O9" s="72">
        <v>1</v>
      </c>
      <c r="P9" s="72">
        <v>1</v>
      </c>
    </row>
    <row r="10" spans="2:16" x14ac:dyDescent="0.3">
      <c r="B10" s="74" t="s">
        <v>93</v>
      </c>
      <c r="I10"/>
      <c r="J10" s="3" t="s">
        <v>90</v>
      </c>
      <c r="K10" s="70">
        <v>114240</v>
      </c>
      <c r="L10" s="70"/>
      <c r="M10" s="70"/>
      <c r="N10" s="72">
        <v>2</v>
      </c>
      <c r="O10" s="72">
        <v>2</v>
      </c>
      <c r="P10" s="72">
        <v>2</v>
      </c>
    </row>
    <row r="11" spans="2:16" x14ac:dyDescent="0.3">
      <c r="B11" s="75"/>
      <c r="I11"/>
      <c r="J11" s="3" t="s">
        <v>95</v>
      </c>
      <c r="K11" s="70"/>
      <c r="L11" s="70"/>
      <c r="M11" s="70">
        <f>M9*K9*1.035</f>
        <v>152020.79999999999</v>
      </c>
      <c r="N11" s="70">
        <f>(N7*$K$7*1.035)+(N8*$K$8*1.035)+(N9*$K$9*1.035)+(N10*$K$10*1.035)</f>
        <v>684093.6</v>
      </c>
      <c r="O11" s="70">
        <f>(O7*$K$7*1.025)+(O8*$K$8*1.025)+(O9*$K$9*1.025)+(O10*$K$10*1.025)</f>
        <v>828036</v>
      </c>
      <c r="P11" s="70">
        <f>(P7*$K$7*1.02)+(P8*$K$8*1.02)+(P9*$K$9*1.02)+(P10*$K$10*1.02)</f>
        <v>823996.79999999993</v>
      </c>
    </row>
    <row r="12" spans="2:16" x14ac:dyDescent="0.3">
      <c r="I12"/>
      <c r="J12" s="5" t="s">
        <v>91</v>
      </c>
      <c r="K12" s="70"/>
      <c r="L12" s="70"/>
      <c r="M12" s="70"/>
      <c r="N12" s="70"/>
      <c r="O12" s="70"/>
      <c r="P12" s="71">
        <f>SUM(M11:P11)</f>
        <v>2488147.1999999997</v>
      </c>
    </row>
    <row r="13" spans="2:16" x14ac:dyDescent="0.3">
      <c r="I13"/>
      <c r="J13" s="74" t="s">
        <v>93</v>
      </c>
    </row>
    <row r="14" spans="2:16" x14ac:dyDescent="0.3">
      <c r="B14" s="5" t="s">
        <v>98</v>
      </c>
      <c r="C14" s="70">
        <f>C8+L11</f>
        <v>1304100</v>
      </c>
      <c r="D14" s="70">
        <f>D8+M11</f>
        <v>1651735.8</v>
      </c>
      <c r="E14" s="70">
        <f>E8+N11</f>
        <v>2546739.63</v>
      </c>
      <c r="F14" s="70">
        <f>F8+O11</f>
        <v>2896349.1958125001</v>
      </c>
      <c r="G14" s="70">
        <f>G8+P11</f>
        <v>3095959.2950924998</v>
      </c>
      <c r="I14"/>
      <c r="M14" s="44"/>
      <c r="N14" s="44"/>
      <c r="O14" s="44"/>
      <c r="P14" s="44"/>
    </row>
    <row r="17" spans="5:7" ht="28.8" x14ac:dyDescent="0.3">
      <c r="F17" s="79" t="s">
        <v>70</v>
      </c>
      <c r="G17" s="112">
        <f>SUM(C14:G14)</f>
        <v>11494883.920905001</v>
      </c>
    </row>
    <row r="23" spans="5:7" x14ac:dyDescent="0.3">
      <c r="E23" s="73"/>
    </row>
  </sheetData>
  <mergeCells count="1">
    <mergeCell ref="L6:P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7DE2-854D-4BDB-9D31-9F0EFFC75DD1}">
  <dimension ref="A1:Q26"/>
  <sheetViews>
    <sheetView workbookViewId="0">
      <selection activeCell="J20" sqref="J20"/>
    </sheetView>
  </sheetViews>
  <sheetFormatPr defaultColWidth="8.77734375" defaultRowHeight="14.4" x14ac:dyDescent="0.3"/>
  <cols>
    <col min="1" max="1" width="34.21875" style="2" bestFit="1" customWidth="1"/>
    <col min="2" max="2" width="31.21875" style="2" bestFit="1" customWidth="1"/>
    <col min="3" max="3" width="17.77734375" style="2" bestFit="1" customWidth="1"/>
    <col min="4" max="4" width="18.21875" style="2" bestFit="1" customWidth="1"/>
    <col min="5" max="9" width="13.21875" style="2" customWidth="1"/>
    <col min="10" max="10" width="15.5546875" style="2" customWidth="1"/>
    <col min="11" max="12" width="9.21875" style="2" bestFit="1" customWidth="1"/>
    <col min="13" max="13" width="11.44140625" style="2" customWidth="1"/>
    <col min="14" max="15" width="10.77734375" style="2" bestFit="1" customWidth="1"/>
    <col min="16" max="16" width="11.21875" style="2" bestFit="1" customWidth="1"/>
    <col min="17" max="17" width="12.21875" style="2" customWidth="1"/>
    <col min="18" max="16384" width="8.77734375" style="2"/>
  </cols>
  <sheetData>
    <row r="1" spans="1:17" ht="31.8" thickBot="1" x14ac:dyDescent="0.35">
      <c r="A1" s="55"/>
      <c r="B1" s="46" t="s">
        <v>45</v>
      </c>
      <c r="C1" s="46" t="s">
        <v>46</v>
      </c>
      <c r="D1" s="46" t="s">
        <v>47</v>
      </c>
      <c r="E1" s="117" t="s">
        <v>48</v>
      </c>
      <c r="F1" s="118"/>
      <c r="G1" s="118"/>
      <c r="H1" s="118"/>
      <c r="I1" s="118"/>
      <c r="J1" s="119"/>
      <c r="K1" s="117" t="s">
        <v>49</v>
      </c>
      <c r="L1" s="118"/>
      <c r="M1" s="118"/>
      <c r="N1" s="118"/>
      <c r="O1" s="118"/>
      <c r="P1" s="118"/>
      <c r="Q1" s="119"/>
    </row>
    <row r="2" spans="1:17" ht="46.8" x14ac:dyDescent="0.3">
      <c r="A2" s="56" t="s">
        <v>50</v>
      </c>
      <c r="B2" s="47"/>
      <c r="C2" s="47"/>
      <c r="D2" s="47"/>
      <c r="E2" s="38">
        <v>2027</v>
      </c>
      <c r="F2" s="37">
        <v>2028</v>
      </c>
      <c r="G2" s="36">
        <v>2029</v>
      </c>
      <c r="H2" s="36">
        <v>2030</v>
      </c>
      <c r="I2" s="36">
        <v>2031</v>
      </c>
      <c r="J2" s="39" t="s">
        <v>69</v>
      </c>
      <c r="K2" s="38">
        <v>2026</v>
      </c>
      <c r="L2" s="37">
        <v>2027</v>
      </c>
      <c r="M2" s="37">
        <v>2028</v>
      </c>
      <c r="N2" s="36">
        <v>2029</v>
      </c>
      <c r="O2" s="36">
        <v>2030</v>
      </c>
      <c r="P2" s="36">
        <v>2031</v>
      </c>
      <c r="Q2" s="39" t="s">
        <v>69</v>
      </c>
    </row>
    <row r="3" spans="1:17" x14ac:dyDescent="0.3">
      <c r="A3" s="48" t="s">
        <v>52</v>
      </c>
      <c r="B3" s="48"/>
      <c r="C3" s="52"/>
      <c r="D3" s="47"/>
      <c r="E3" s="43">
        <v>334746.85550200008</v>
      </c>
      <c r="F3" s="43">
        <f>E3*1.02</f>
        <v>341441.79261204007</v>
      </c>
      <c r="G3" s="43">
        <f t="shared" ref="G3:I3" si="0">F3*1.02</f>
        <v>348270.62846428086</v>
      </c>
      <c r="H3" s="43">
        <f t="shared" si="0"/>
        <v>355236.04103356646</v>
      </c>
      <c r="I3" s="43">
        <f t="shared" si="0"/>
        <v>362340.76185423782</v>
      </c>
      <c r="J3" s="43"/>
      <c r="K3" s="43"/>
      <c r="L3" s="43">
        <f>E3</f>
        <v>334746.85550200008</v>
      </c>
      <c r="M3" s="43">
        <f>F3</f>
        <v>341441.79261204007</v>
      </c>
      <c r="N3" s="43">
        <f>G3</f>
        <v>348270.62846428086</v>
      </c>
      <c r="O3" s="43">
        <f>H3</f>
        <v>355236.04103356646</v>
      </c>
      <c r="P3" s="43">
        <f>I3</f>
        <v>362340.76185423782</v>
      </c>
      <c r="Q3" s="43"/>
    </row>
    <row r="4" spans="1:17" x14ac:dyDescent="0.3">
      <c r="A4" s="48" t="s">
        <v>53</v>
      </c>
      <c r="B4" s="48"/>
      <c r="C4" s="52">
        <v>2026</v>
      </c>
      <c r="D4" s="47" t="s">
        <v>51</v>
      </c>
      <c r="E4" s="43">
        <v>2747.4693333333335</v>
      </c>
      <c r="F4" s="43">
        <f>E4*1.02</f>
        <v>2802.4187200000001</v>
      </c>
      <c r="G4" s="43">
        <f t="shared" ref="G4:I5" si="1">F4*1.02</f>
        <v>2858.4670944</v>
      </c>
      <c r="H4" s="43">
        <f t="shared" si="1"/>
        <v>2915.6364362879999</v>
      </c>
      <c r="I4" s="43">
        <f t="shared" si="1"/>
        <v>2973.9491650137597</v>
      </c>
      <c r="J4" s="43"/>
      <c r="K4" s="43"/>
      <c r="L4" s="43">
        <f t="shared" ref="L4:N5" si="2">E4</f>
        <v>2747.4693333333335</v>
      </c>
      <c r="M4" s="43">
        <f t="shared" si="2"/>
        <v>2802.4187200000001</v>
      </c>
      <c r="N4" s="43">
        <f t="shared" si="2"/>
        <v>2858.4670944</v>
      </c>
      <c r="O4" s="43">
        <v>2830.7204016026672</v>
      </c>
      <c r="P4" s="43">
        <v>2859.027605618694</v>
      </c>
      <c r="Q4" s="43"/>
    </row>
    <row r="5" spans="1:17" x14ac:dyDescent="0.3">
      <c r="A5" s="48" t="s">
        <v>54</v>
      </c>
      <c r="B5" s="48"/>
      <c r="C5" s="52">
        <v>2026</v>
      </c>
      <c r="D5" s="47" t="s">
        <v>51</v>
      </c>
      <c r="E5" s="43">
        <v>2060.6019999999999</v>
      </c>
      <c r="F5" s="43">
        <f>E5*1.02</f>
        <v>2101.8140399999997</v>
      </c>
      <c r="G5" s="43">
        <f t="shared" si="1"/>
        <v>2143.8503207999997</v>
      </c>
      <c r="H5" s="43">
        <f t="shared" si="1"/>
        <v>2186.7273272159996</v>
      </c>
      <c r="I5" s="43">
        <f t="shared" si="1"/>
        <v>2230.4618737603196</v>
      </c>
      <c r="J5" s="43"/>
      <c r="K5" s="43"/>
      <c r="L5" s="43">
        <f t="shared" si="2"/>
        <v>2060.6019999999999</v>
      </c>
      <c r="M5" s="43">
        <f t="shared" si="2"/>
        <v>2101.8140399999997</v>
      </c>
      <c r="N5" s="43">
        <f t="shared" si="2"/>
        <v>2143.8503207999997</v>
      </c>
      <c r="O5" s="43">
        <f>H5</f>
        <v>2186.7273272159996</v>
      </c>
      <c r="P5" s="43">
        <f>I5</f>
        <v>2230.4618737603196</v>
      </c>
      <c r="Q5" s="43"/>
    </row>
    <row r="6" spans="1:17" x14ac:dyDescent="0.3">
      <c r="A6" s="57" t="s">
        <v>56</v>
      </c>
      <c r="B6" s="48"/>
      <c r="C6" s="52"/>
      <c r="D6" s="52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28.8" x14ac:dyDescent="0.3">
      <c r="A7" s="48" t="s">
        <v>57</v>
      </c>
      <c r="B7" s="47" t="s">
        <v>108</v>
      </c>
      <c r="C7" s="52">
        <v>2028</v>
      </c>
      <c r="D7" s="47" t="s">
        <v>58</v>
      </c>
      <c r="E7" s="43">
        <v>85230</v>
      </c>
      <c r="F7" s="43">
        <f>E7*1.02</f>
        <v>86934.6</v>
      </c>
      <c r="G7" s="43">
        <f t="shared" ref="G7:I7" si="3">F7*1.02</f>
        <v>88673.292000000001</v>
      </c>
      <c r="H7" s="43">
        <f t="shared" si="3"/>
        <v>90446.757840000006</v>
      </c>
      <c r="I7" s="43">
        <f t="shared" si="3"/>
        <v>92255.692996800004</v>
      </c>
      <c r="J7" s="43"/>
      <c r="K7" s="43"/>
      <c r="L7" s="43"/>
      <c r="M7" s="43">
        <f>F7*0.5</f>
        <v>43467.3</v>
      </c>
      <c r="N7" s="43">
        <f>G7</f>
        <v>88673.292000000001</v>
      </c>
      <c r="O7" s="43">
        <f>H7</f>
        <v>90446.757840000006</v>
      </c>
      <c r="P7" s="43">
        <f>I7</f>
        <v>92255.692996800004</v>
      </c>
      <c r="Q7" s="43"/>
    </row>
    <row r="8" spans="1:17" x14ac:dyDescent="0.3">
      <c r="A8" s="57" t="s">
        <v>59</v>
      </c>
      <c r="B8" s="48"/>
      <c r="C8" s="52"/>
      <c r="D8" s="5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x14ac:dyDescent="0.3">
      <c r="A9" s="48" t="s">
        <v>60</v>
      </c>
      <c r="B9" s="48"/>
      <c r="C9" s="52">
        <v>2028</v>
      </c>
      <c r="D9" s="47" t="s">
        <v>58</v>
      </c>
      <c r="E9" s="43">
        <v>234623</v>
      </c>
      <c r="F9" s="43">
        <f>E9*1.02</f>
        <v>239315.46</v>
      </c>
      <c r="G9" s="43">
        <f t="shared" ref="G9:I9" si="4">F9*1.02</f>
        <v>244101.76920000001</v>
      </c>
      <c r="H9" s="43">
        <f t="shared" si="4"/>
        <v>248983.80458400003</v>
      </c>
      <c r="I9" s="43">
        <f t="shared" si="4"/>
        <v>253963.48067568004</v>
      </c>
      <c r="J9" s="43"/>
      <c r="K9" s="43"/>
      <c r="L9" s="43"/>
      <c r="M9" s="43">
        <v>230000</v>
      </c>
      <c r="N9" s="43">
        <v>239338.92230000001</v>
      </c>
      <c r="O9" s="43">
        <v>241732.31152300001</v>
      </c>
      <c r="P9" s="43">
        <v>244149.63463823003</v>
      </c>
      <c r="Q9" s="43"/>
    </row>
    <row r="10" spans="1:17" x14ac:dyDescent="0.3">
      <c r="A10" s="57" t="s">
        <v>61</v>
      </c>
      <c r="B10" s="48"/>
      <c r="C10" s="52"/>
      <c r="D10" s="5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ht="57.6" x14ac:dyDescent="0.3">
      <c r="A11" s="48" t="s">
        <v>62</v>
      </c>
      <c r="B11" s="47" t="s">
        <v>107</v>
      </c>
      <c r="C11" s="53">
        <v>2028</v>
      </c>
      <c r="D11" s="47" t="s">
        <v>55</v>
      </c>
      <c r="E11" s="43">
        <v>177213.48</v>
      </c>
      <c r="F11" s="43">
        <f>E11*1.02</f>
        <v>180757.74960000001</v>
      </c>
      <c r="G11" s="43">
        <f t="shared" ref="G11:I13" si="5">F11*1.02</f>
        <v>184372.90459200001</v>
      </c>
      <c r="H11" s="43">
        <f t="shared" si="5"/>
        <v>188060.36268384001</v>
      </c>
      <c r="I11" s="43">
        <f t="shared" si="5"/>
        <v>191821.56993751682</v>
      </c>
      <c r="J11" s="43"/>
      <c r="K11" s="43"/>
      <c r="L11" s="43"/>
      <c r="M11" s="43">
        <f>F11*0.5</f>
        <v>90378.874800000005</v>
      </c>
      <c r="N11" s="43">
        <f>G11*0.9</f>
        <v>165935.61413280002</v>
      </c>
      <c r="O11" s="43">
        <f>H11*0.9</f>
        <v>169254.32641545602</v>
      </c>
      <c r="P11" s="43">
        <f>I11</f>
        <v>191821.56993751682</v>
      </c>
      <c r="Q11" s="43"/>
    </row>
    <row r="12" spans="1:17" x14ac:dyDescent="0.3">
      <c r="A12" s="48" t="s">
        <v>63</v>
      </c>
      <c r="B12" s="48"/>
      <c r="C12" s="52">
        <v>2028</v>
      </c>
      <c r="D12" s="47" t="s">
        <v>55</v>
      </c>
      <c r="E12" s="43">
        <v>28986</v>
      </c>
      <c r="F12" s="43">
        <f>E12*1.02</f>
        <v>29565.72</v>
      </c>
      <c r="G12" s="43">
        <f t="shared" si="5"/>
        <v>30157.0344</v>
      </c>
      <c r="H12" s="43">
        <f t="shared" si="5"/>
        <v>30760.175088</v>
      </c>
      <c r="I12" s="43">
        <f t="shared" si="5"/>
        <v>31375.378589759999</v>
      </c>
      <c r="J12" s="43"/>
      <c r="K12" s="43"/>
      <c r="L12" s="43"/>
      <c r="M12" s="43">
        <f>F12</f>
        <v>29565.72</v>
      </c>
      <c r="N12" s="43">
        <f>G12</f>
        <v>30157.0344</v>
      </c>
      <c r="O12" s="43">
        <f>H12</f>
        <v>30760.175088</v>
      </c>
      <c r="P12" s="43">
        <f>I12</f>
        <v>31375.378589759999</v>
      </c>
      <c r="Q12" s="43"/>
    </row>
    <row r="13" spans="1:17" x14ac:dyDescent="0.3">
      <c r="A13" s="48" t="s">
        <v>64</v>
      </c>
      <c r="B13" s="47" t="s">
        <v>65</v>
      </c>
      <c r="C13" s="52">
        <v>2028</v>
      </c>
      <c r="D13" s="47" t="s">
        <v>55</v>
      </c>
      <c r="E13" s="43">
        <v>116000</v>
      </c>
      <c r="F13" s="43">
        <f>E13*1.02</f>
        <v>118320</v>
      </c>
      <c r="G13" s="43">
        <f t="shared" si="5"/>
        <v>120686.40000000001</v>
      </c>
      <c r="H13" s="43">
        <f t="shared" si="5"/>
        <v>123100.12800000001</v>
      </c>
      <c r="I13" s="43">
        <f t="shared" si="5"/>
        <v>125562.13056000002</v>
      </c>
      <c r="J13" s="43"/>
      <c r="K13" s="43"/>
      <c r="L13" s="43"/>
      <c r="M13" s="43">
        <f>F13*0.5</f>
        <v>59160</v>
      </c>
      <c r="N13" s="43">
        <f>G13*0.9</f>
        <v>108617.76000000001</v>
      </c>
      <c r="O13" s="43">
        <f>H13*0.9</f>
        <v>110790.11520000001</v>
      </c>
      <c r="P13" s="43">
        <f>I13</f>
        <v>125562.13056000002</v>
      </c>
      <c r="Q13" s="43"/>
    </row>
    <row r="14" spans="1:17" x14ac:dyDescent="0.3">
      <c r="A14" s="57" t="s">
        <v>66</v>
      </c>
      <c r="B14" s="48"/>
      <c r="C14" s="52"/>
      <c r="D14" s="5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7" ht="57.6" x14ac:dyDescent="0.3">
      <c r="A15" s="48" t="s">
        <v>67</v>
      </c>
      <c r="B15" s="47" t="s">
        <v>107</v>
      </c>
      <c r="C15" s="53">
        <v>2028</v>
      </c>
      <c r="D15" s="47" t="s">
        <v>68</v>
      </c>
      <c r="E15" s="43">
        <v>120000</v>
      </c>
      <c r="F15" s="43">
        <f>E15*1.02</f>
        <v>122400</v>
      </c>
      <c r="G15" s="43">
        <f t="shared" ref="G15:I15" si="6">F15*1.02</f>
        <v>124848</v>
      </c>
      <c r="H15" s="43">
        <f t="shared" si="6"/>
        <v>127344.96000000001</v>
      </c>
      <c r="I15" s="43">
        <f t="shared" si="6"/>
        <v>129891.85920000001</v>
      </c>
      <c r="J15" s="43"/>
      <c r="K15" s="43"/>
      <c r="L15" s="43"/>
      <c r="M15" s="43">
        <f>F15*0.5</f>
        <v>61200</v>
      </c>
      <c r="N15" s="43">
        <f>G15</f>
        <v>124848</v>
      </c>
      <c r="O15" s="43">
        <f>H15</f>
        <v>127344.96000000001</v>
      </c>
      <c r="P15" s="43">
        <f>I15</f>
        <v>129891.85920000001</v>
      </c>
      <c r="Q15" s="43"/>
    </row>
    <row r="16" spans="1:17" x14ac:dyDescent="0.3">
      <c r="A16" s="57" t="s">
        <v>5</v>
      </c>
      <c r="B16" s="49"/>
      <c r="C16" s="54"/>
      <c r="D16" s="49"/>
      <c r="E16" s="43">
        <f>SUM(E3:E15)</f>
        <v>1101607.4068353334</v>
      </c>
      <c r="F16" s="43">
        <f>SUM(F3:F15)</f>
        <v>1123639.55497204</v>
      </c>
      <c r="G16" s="43">
        <f>SUM(G3:G15)</f>
        <v>1146112.3460714808</v>
      </c>
      <c r="H16" s="43">
        <f>SUM(H3:H15)</f>
        <v>1169034.5929929106</v>
      </c>
      <c r="I16" s="43">
        <f>SUM(I3:I15)</f>
        <v>1192415.284852769</v>
      </c>
      <c r="J16" s="43"/>
      <c r="K16" s="43"/>
      <c r="L16" s="43">
        <f>SUM(L3:L15)</f>
        <v>339554.9268353334</v>
      </c>
      <c r="M16" s="43">
        <f>SUM(M3:M15)</f>
        <v>860117.92017204</v>
      </c>
      <c r="N16" s="43">
        <f>SUM(N3:N15)</f>
        <v>1110843.5687122811</v>
      </c>
      <c r="O16" s="43">
        <f>SUM(O3:O15)</f>
        <v>1130582.1348288413</v>
      </c>
      <c r="P16" s="43">
        <f>SUM(P3:P15)</f>
        <v>1182486.5172559239</v>
      </c>
      <c r="Q16" s="43"/>
    </row>
    <row r="17" spans="1:17" x14ac:dyDescent="0.3">
      <c r="A17" s="50"/>
      <c r="B17" s="50"/>
      <c r="C17" s="50"/>
      <c r="D17" s="50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1:17" s="1" customFormat="1" x14ac:dyDescent="0.3">
      <c r="A18" s="45" t="s">
        <v>106</v>
      </c>
      <c r="B18" s="111"/>
      <c r="C18" s="111"/>
      <c r="D18" s="111"/>
      <c r="E18" s="45"/>
      <c r="F18" s="45"/>
      <c r="G18" s="45"/>
      <c r="H18" s="45"/>
      <c r="I18" s="45"/>
      <c r="J18" s="45">
        <f>SUM(E16:I16)</f>
        <v>5732809.1857245341</v>
      </c>
      <c r="K18" s="45"/>
      <c r="L18" s="45"/>
      <c r="M18" s="45"/>
      <c r="N18" s="45"/>
      <c r="O18" s="45"/>
      <c r="P18" s="45"/>
      <c r="Q18" s="45">
        <f>SUM(L16:P16)</f>
        <v>4623585.0678044194</v>
      </c>
    </row>
    <row r="19" spans="1:17" x14ac:dyDescent="0.3">
      <c r="A19" s="50"/>
      <c r="B19" s="50"/>
      <c r="C19" s="50"/>
      <c r="D19" s="50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7" x14ac:dyDescent="0.3">
      <c r="A20" s="49"/>
      <c r="B20" s="50"/>
      <c r="C20" s="50"/>
      <c r="D20" s="50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1:17" x14ac:dyDescent="0.3">
      <c r="A21" s="50"/>
      <c r="B21" s="50"/>
      <c r="C21" s="50"/>
      <c r="D21" s="50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</row>
    <row r="22" spans="1:17" ht="15" thickBot="1" x14ac:dyDescent="0.35">
      <c r="A22" s="51"/>
      <c r="B22" s="51"/>
      <c r="C22" s="51"/>
      <c r="D22" s="5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x14ac:dyDescent="0.3">
      <c r="A23"/>
      <c r="B23"/>
      <c r="C23"/>
    </row>
    <row r="24" spans="1:17" x14ac:dyDescent="0.3">
      <c r="A24"/>
      <c r="B24"/>
      <c r="C24"/>
    </row>
    <row r="25" spans="1:17" x14ac:dyDescent="0.3">
      <c r="A25"/>
      <c r="B25"/>
      <c r="C25"/>
    </row>
    <row r="26" spans="1:17" x14ac:dyDescent="0.3">
      <c r="O26" s="43"/>
    </row>
  </sheetData>
  <mergeCells count="2">
    <mergeCell ref="K1:Q1"/>
    <mergeCell ref="E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true</HasExcelAttachment>
    <MunishStatus xmlns="6a95137c-d42e-468e-9f88-48056057fa51">N/A</MunishStatus>
    <TorysCounsel xmlns="6a95137c-d42e-468e-9f88-48056057fa51">
      <Value>Meghan</Value>
      <Value>Daliana</Value>
    </TorysCounsel>
    <CrossReference xmlns="6a95137c-d42e-468e-9f88-48056057fa51" xsi:nil="true"/>
    <Issue_x002f_Theme xmlns="6a95137c-d42e-468e-9f88-48056057fa51">
      <Value>Modernization and/or Dx NEXT</Value>
    </Issue_x002f_Theme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true</AnchorIRR>
    <StatusNotes xmlns="6a95137c-d42e-468e-9f88-48056057fa51" xsi:nil="true"/>
    <KristonStatus xmlns="6a95137c-d42e-468e-9f88-48056057fa51">Witness signed off</KristonStatus>
    <CynthiaStatus xmlns="6a95137c-d42e-468e-9f88-48056057fa51">Witness signed off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CCC</Intervenor>
    <UsmanStatus xmlns="6a95137c-d42e-468e-9f88-48056057fa51">N/A</UsmanStatus>
    <S_x002e_VetsisStatus xmlns="6a95137c-d42e-468e-9f88-48056057fa51">N/A</S_x002e_VetsisStatus>
    <Strategic_x003f_ xmlns="6a95137c-d42e-468e-9f88-48056057fa51">true</Strategic_x003f_>
    <S_x002e_SheehyStatus xmlns="6a95137c-d42e-468e-9f88-48056057fa51">N/A</S_x002e_SheehyStatus>
    <Ex_x002e_ xmlns="6a95137c-d42e-468e-9f88-48056057fa51">Ex 1</Ex_x002e_>
    <LincolnStatus xmlns="6a95137c-d42e-468e-9f88-48056057fa51">Revised draft - Ready for Witness review</LincolnStatus>
    <BBA_Comments xmlns="6a95137c-d42e-468e-9f88-48056057fa51" xsi:nil="true"/>
    <RegContact xmlns="6a95137c-d42e-468e-9f88-48056057fa51">
      <Value>Erin</Value>
    </RegContact>
    <SaadStatus xmlns="6a95137c-d42e-468e-9f88-48056057fa51">N/A</SaadStatus>
    <Witness_x0028_es_x0029_ xmlns="6a95137c-d42e-468e-9f88-48056057fa51">
      <Value>Cynthia</Value>
      <Value>Kriston</Value>
      <Value>Lincoln</Value>
    </Witness_x0028_es_x0029_>
    <Status xmlns="6a95137c-d42e-468e-9f88-48056057fa51">Torys review complete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Props1.xml><?xml version="1.0" encoding="utf-8"?>
<ds:datastoreItem xmlns:ds="http://schemas.openxmlformats.org/officeDocument/2006/customXml" ds:itemID="{F35F8776-07E4-41C5-994B-6DA7D0602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A99276-C950-40CF-ADFD-C604501010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2E51BB-6DC2-491B-9BF2-ECF44AE2DBC0}">
  <ds:schemaRefs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Customer (Ebilling Savings)</vt:lpstr>
      <vt:lpstr>FTE Savings</vt:lpstr>
      <vt:lpstr>Software 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Stevens</dc:creator>
  <cp:lastModifiedBy>Erin Stevens</cp:lastModifiedBy>
  <dcterms:created xsi:type="dcterms:W3CDTF">2026-05-05T01:23:53Z</dcterms:created>
  <dcterms:modified xsi:type="dcterms:W3CDTF">2026-05-08T21:10:27Z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