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8" documentId="13_ncr:1_{E2753313-363E-4687-80C9-88CF976A738C}" xr6:coauthVersionLast="47" xr6:coauthVersionMax="47" xr10:uidLastSave="{DAC2C452-CA07-4AAB-9A7D-411D1FA71B28}"/>
  <bookViews>
    <workbookView xWindow="-63480" yWindow="-1290" windowWidth="29040" windowHeight="15720" xr2:uid="{DF978D85-C938-4B37-B792-5A95C7E48303}"/>
  </bookViews>
  <sheets>
    <sheet name="App.2-JA OM&amp;A Summary Analys" sheetId="1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RebaseYear">'[1]LDC Info'!$E$28</definedName>
    <definedName name="TestYear">'[1]LDC Info'!$E$24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  <c r="W13" i="1" l="1"/>
  <c r="X13" i="1"/>
  <c r="Y13" i="1"/>
  <c r="Z13" i="1"/>
  <c r="AA13" i="1"/>
  <c r="AB13" i="1"/>
  <c r="AC13" i="1"/>
  <c r="W14" i="1"/>
  <c r="X14" i="1"/>
  <c r="Y14" i="1"/>
  <c r="Z14" i="1"/>
  <c r="AA14" i="1"/>
  <c r="AB14" i="1"/>
  <c r="AC14" i="1"/>
  <c r="W15" i="1"/>
  <c r="X15" i="1"/>
  <c r="Y15" i="1"/>
  <c r="Z15" i="1"/>
  <c r="AA15" i="1"/>
  <c r="AB15" i="1"/>
  <c r="AC15" i="1"/>
  <c r="W16" i="1"/>
  <c r="X16" i="1"/>
  <c r="Y16" i="1"/>
  <c r="Z16" i="1"/>
  <c r="AA16" i="1"/>
  <c r="AB16" i="1"/>
  <c r="AC16" i="1"/>
  <c r="W17" i="1"/>
  <c r="Y17" i="1"/>
  <c r="Z17" i="1"/>
  <c r="AA17" i="1"/>
  <c r="AB17" i="1"/>
  <c r="AC17" i="1"/>
  <c r="W18" i="1"/>
  <c r="X18" i="1"/>
  <c r="Y18" i="1"/>
  <c r="Y20" i="1" s="1"/>
  <c r="AC18" i="1"/>
  <c r="W20" i="1"/>
  <c r="X20" i="1"/>
  <c r="Y21" i="1" l="1"/>
  <c r="Y22" i="1" s="1"/>
  <c r="X21" i="1"/>
  <c r="X22" i="1" s="1"/>
  <c r="B35" i="1"/>
  <c r="C35" i="1"/>
  <c r="C36" i="1" s="1"/>
  <c r="D35" i="1"/>
  <c r="D36" i="1" s="1"/>
  <c r="E35" i="1"/>
  <c r="E36" i="1" s="1"/>
  <c r="F35" i="1"/>
  <c r="G35" i="1"/>
  <c r="G36" i="1" s="1"/>
  <c r="B29" i="1"/>
  <c r="C29" i="1"/>
  <c r="D29" i="1"/>
  <c r="E29" i="1"/>
  <c r="F29" i="1"/>
  <c r="G29" i="1"/>
  <c r="C22" i="1"/>
  <c r="E22" i="1"/>
  <c r="F22" i="1"/>
  <c r="F23" i="1" s="1"/>
  <c r="G22" i="1"/>
  <c r="B22" i="1"/>
  <c r="B16" i="1"/>
  <c r="C16" i="1"/>
  <c r="D16" i="1"/>
  <c r="E16" i="1"/>
  <c r="F16" i="1"/>
  <c r="G16" i="1"/>
  <c r="B36" i="1" l="1"/>
  <c r="F17" i="1"/>
  <c r="F36" i="1"/>
  <c r="D22" i="1"/>
  <c r="D23" i="1" s="1"/>
  <c r="G23" i="1"/>
  <c r="C23" i="1"/>
  <c r="E25" i="1"/>
  <c r="Z18" i="1" s="1"/>
  <c r="Z20" i="1" s="1"/>
  <c r="E17" i="1"/>
  <c r="D17" i="1"/>
  <c r="C17" i="1"/>
  <c r="C25" i="1"/>
  <c r="C26" i="1" s="1"/>
  <c r="B17" i="1"/>
  <c r="B25" i="1"/>
  <c r="G17" i="1"/>
  <c r="G25" i="1"/>
  <c r="AB18" i="1" s="1"/>
  <c r="AB20" i="1" s="1"/>
  <c r="F25" i="1"/>
  <c r="B23" i="1"/>
  <c r="Z21" i="1" l="1"/>
  <c r="Z22" i="1" s="1"/>
  <c r="F26" i="1"/>
  <c r="AA18" i="1"/>
  <c r="AA20" i="1" s="1"/>
  <c r="G26" i="1"/>
  <c r="D25" i="1"/>
  <c r="D26" i="1" s="1"/>
  <c r="E23" i="1"/>
  <c r="AA21" i="1" l="1"/>
  <c r="AA22" i="1" s="1"/>
  <c r="AB21" i="1"/>
  <c r="AB22" i="1" s="1"/>
  <c r="E26" i="1"/>
  <c r="AO14" i="1"/>
  <c r="AP14" i="1"/>
  <c r="AQ14" i="1"/>
  <c r="AO15" i="1"/>
  <c r="AP15" i="1"/>
  <c r="AQ15" i="1"/>
  <c r="AO16" i="1"/>
  <c r="AP16" i="1"/>
  <c r="AQ16" i="1"/>
  <c r="AO17" i="1"/>
  <c r="AP17" i="1"/>
  <c r="AQ17" i="1"/>
  <c r="AN17" i="1"/>
  <c r="AN16" i="1"/>
  <c r="AN15" i="1"/>
  <c r="AN14" i="1"/>
  <c r="AL17" i="1"/>
  <c r="AL16" i="1"/>
  <c r="AL15" i="1"/>
  <c r="AL14" i="1"/>
  <c r="AO13" i="1"/>
  <c r="AP13" i="1"/>
  <c r="AQ13" i="1"/>
  <c r="AN13" i="1"/>
  <c r="AL13" i="1"/>
  <c r="S29" i="1" l="1"/>
  <c r="R29" i="1"/>
  <c r="Q29" i="1"/>
  <c r="P29" i="1"/>
  <c r="O29" i="1"/>
  <c r="N29" i="1"/>
  <c r="AI21" i="1"/>
  <c r="AQ12" i="1"/>
  <c r="AP12" i="1"/>
  <c r="AO12" i="1"/>
  <c r="AN12" i="1"/>
  <c r="AM12" i="1"/>
  <c r="M29" i="1"/>
  <c r="N11" i="1"/>
  <c r="AJ11" i="1" s="1"/>
  <c r="AK12" i="1" s="1"/>
  <c r="M11" i="1"/>
  <c r="AH11" i="1" s="1"/>
  <c r="L11" i="1"/>
  <c r="AG11" i="1" s="1"/>
  <c r="K11" i="1"/>
  <c r="J11" i="1"/>
  <c r="I11" i="1"/>
  <c r="AD11" i="1" s="1"/>
  <c r="H11" i="1"/>
  <c r="AC11" i="1" s="1"/>
  <c r="T3" i="1"/>
  <c r="T2" i="1"/>
  <c r="T1" i="1"/>
  <c r="K1" i="1"/>
  <c r="AH12" i="1" l="1"/>
  <c r="AI12" i="1"/>
  <c r="AC20" i="1"/>
  <c r="AC21" i="1" s="1"/>
  <c r="AC22" i="1" s="1"/>
  <c r="J34" i="1"/>
  <c r="Q34" i="1"/>
  <c r="R34" i="1"/>
  <c r="AH14" i="1"/>
  <c r="Q30" i="1"/>
  <c r="Q31" i="1"/>
  <c r="R31" i="1"/>
  <c r="R33" i="1"/>
  <c r="J32" i="1"/>
  <c r="O34" i="1"/>
  <c r="S34" i="1"/>
  <c r="O33" i="1"/>
  <c r="AF16" i="1"/>
  <c r="AD15" i="1"/>
  <c r="R32" i="1"/>
  <c r="S32" i="1"/>
  <c r="S33" i="1"/>
  <c r="J33" i="1"/>
  <c r="AE16" i="1"/>
  <c r="I12" i="1"/>
  <c r="I29" i="1" s="1"/>
  <c r="H12" i="1"/>
  <c r="H29" i="1" s="1"/>
  <c r="AG12" i="1"/>
  <c r="S31" i="1"/>
  <c r="L12" i="1"/>
  <c r="L29" i="1" s="1"/>
  <c r="AC12" i="1"/>
  <c r="AD12" i="1"/>
  <c r="AJ12" i="1"/>
  <c r="Q33" i="1"/>
  <c r="O31" i="1"/>
  <c r="AE11" i="1"/>
  <c r="AE12" i="1" s="1"/>
  <c r="J12" i="1"/>
  <c r="J29" i="1" s="1"/>
  <c r="AF11" i="1"/>
  <c r="K12" i="1"/>
  <c r="K29" i="1" s="1"/>
  <c r="P31" i="1" l="1"/>
  <c r="H32" i="1"/>
  <c r="AD14" i="1"/>
  <c r="I31" i="1"/>
  <c r="AD16" i="1"/>
  <c r="I33" i="1"/>
  <c r="AE17" i="1"/>
  <c r="J22" i="1"/>
  <c r="AE15" i="1"/>
  <c r="Q16" i="1"/>
  <c r="Q18" i="1" s="1"/>
  <c r="M31" i="1"/>
  <c r="K33" i="1"/>
  <c r="S22" i="1"/>
  <c r="S24" i="1" s="1"/>
  <c r="AG16" i="1"/>
  <c r="L33" i="1"/>
  <c r="I32" i="1"/>
  <c r="R22" i="1"/>
  <c r="P16" i="1"/>
  <c r="P30" i="1"/>
  <c r="R30" i="1"/>
  <c r="R35" i="1" s="1"/>
  <c r="R16" i="1"/>
  <c r="N31" i="1"/>
  <c r="AJ14" i="1"/>
  <c r="AK14" i="1" s="1"/>
  <c r="AJ17" i="1"/>
  <c r="N34" i="1"/>
  <c r="AD17" i="1"/>
  <c r="I34" i="1"/>
  <c r="H34" i="1"/>
  <c r="H33" i="1"/>
  <c r="H22" i="1"/>
  <c r="H23" i="1" s="1"/>
  <c r="P34" i="1"/>
  <c r="O30" i="1"/>
  <c r="O16" i="1"/>
  <c r="AH17" i="1"/>
  <c r="M34" i="1"/>
  <c r="S16" i="1"/>
  <c r="S30" i="1"/>
  <c r="S35" i="1" s="1"/>
  <c r="AJ16" i="1"/>
  <c r="N33" i="1"/>
  <c r="K16" i="1"/>
  <c r="K30" i="1"/>
  <c r="AF13" i="1"/>
  <c r="AD13" i="1"/>
  <c r="I30" i="1"/>
  <c r="I16" i="1"/>
  <c r="M22" i="1"/>
  <c r="M32" i="1"/>
  <c r="AH15" i="1"/>
  <c r="N32" i="1"/>
  <c r="AJ15" i="1"/>
  <c r="N22" i="1"/>
  <c r="L22" i="1"/>
  <c r="L32" i="1"/>
  <c r="AG15" i="1"/>
  <c r="N30" i="1"/>
  <c r="AJ13" i="1"/>
  <c r="N16" i="1"/>
  <c r="AE14" i="1"/>
  <c r="J31" i="1"/>
  <c r="AH16" i="1"/>
  <c r="M33" i="1"/>
  <c r="K34" i="1"/>
  <c r="AF17" i="1"/>
  <c r="P33" i="1"/>
  <c r="Q32" i="1"/>
  <c r="Q35" i="1" s="1"/>
  <c r="Q22" i="1"/>
  <c r="H30" i="1"/>
  <c r="H16" i="1"/>
  <c r="H17" i="1" s="1"/>
  <c r="J16" i="1"/>
  <c r="J30" i="1"/>
  <c r="AE13" i="1"/>
  <c r="AF12" i="1"/>
  <c r="M30" i="1"/>
  <c r="M16" i="1"/>
  <c r="AH13" i="1"/>
  <c r="H31" i="1"/>
  <c r="K32" i="1"/>
  <c r="AF15" i="1"/>
  <c r="K22" i="1"/>
  <c r="L30" i="1"/>
  <c r="L16" i="1"/>
  <c r="AG13" i="1"/>
  <c r="O32" i="1"/>
  <c r="O22" i="1"/>
  <c r="P32" i="1"/>
  <c r="P22" i="1"/>
  <c r="K31" i="1"/>
  <c r="AF14" i="1"/>
  <c r="AG17" i="1"/>
  <c r="L34" i="1"/>
  <c r="I22" i="1"/>
  <c r="L31" i="1"/>
  <c r="AG14" i="1"/>
  <c r="AI14" i="1" s="1"/>
  <c r="Q17" i="1" l="1"/>
  <c r="AM14" i="1"/>
  <c r="AI16" i="1"/>
  <c r="S23" i="1"/>
  <c r="AK13" i="1"/>
  <c r="AK17" i="1"/>
  <c r="H35" i="1"/>
  <c r="H36" i="1" s="1"/>
  <c r="K35" i="1"/>
  <c r="S36" i="1"/>
  <c r="AM16" i="1"/>
  <c r="R24" i="1"/>
  <c r="R25" i="1"/>
  <c r="AP18" i="1" s="1"/>
  <c r="AP20" i="1" s="1"/>
  <c r="AI17" i="1"/>
  <c r="J17" i="1"/>
  <c r="AK15" i="1"/>
  <c r="L17" i="1"/>
  <c r="I35" i="1"/>
  <c r="I25" i="1"/>
  <c r="I23" i="1"/>
  <c r="AK16" i="1"/>
  <c r="R18" i="1"/>
  <c r="R17" i="1"/>
  <c r="AM17" i="1"/>
  <c r="R36" i="1"/>
  <c r="Q23" i="1"/>
  <c r="Q25" i="1"/>
  <c r="AO18" i="1" s="1"/>
  <c r="AO20" i="1" s="1"/>
  <c r="Q24" i="1"/>
  <c r="K17" i="1"/>
  <c r="O25" i="1"/>
  <c r="AL18" i="1" s="1"/>
  <c r="O24" i="1"/>
  <c r="O23" i="1"/>
  <c r="L25" i="1"/>
  <c r="L23" i="1"/>
  <c r="S18" i="1"/>
  <c r="S17" i="1"/>
  <c r="L35" i="1"/>
  <c r="J35" i="1"/>
  <c r="R23" i="1"/>
  <c r="N17" i="1"/>
  <c r="N18" i="1"/>
  <c r="N23" i="1"/>
  <c r="N24" i="1"/>
  <c r="N25" i="1"/>
  <c r="K25" i="1"/>
  <c r="K23" i="1"/>
  <c r="J25" i="1"/>
  <c r="M23" i="1"/>
  <c r="M25" i="1"/>
  <c r="O17" i="1"/>
  <c r="O18" i="1"/>
  <c r="P35" i="1"/>
  <c r="I17" i="1"/>
  <c r="O35" i="1"/>
  <c r="P18" i="1"/>
  <c r="P17" i="1"/>
  <c r="N35" i="1"/>
  <c r="S25" i="1"/>
  <c r="AQ18" i="1" s="1"/>
  <c r="AQ20" i="1" s="1"/>
  <c r="H25" i="1"/>
  <c r="H26" i="1" s="1"/>
  <c r="AI15" i="1"/>
  <c r="J23" i="1"/>
  <c r="AI13" i="1"/>
  <c r="P25" i="1"/>
  <c r="AN18" i="1" s="1"/>
  <c r="AN20" i="1" s="1"/>
  <c r="P24" i="1"/>
  <c r="P23" i="1"/>
  <c r="M17" i="1"/>
  <c r="AM15" i="1"/>
  <c r="M35" i="1"/>
  <c r="AM13" i="1"/>
  <c r="AQ21" i="1" l="1"/>
  <c r="AQ22" i="1" s="1"/>
  <c r="AP21" i="1"/>
  <c r="AP22" i="1" s="1"/>
  <c r="AO21" i="1"/>
  <c r="AO22" i="1" s="1"/>
  <c r="I36" i="1"/>
  <c r="S26" i="1"/>
  <c r="N36" i="1"/>
  <c r="L36" i="1"/>
  <c r="O26" i="1"/>
  <c r="M36" i="1"/>
  <c r="P36" i="1"/>
  <c r="J36" i="1"/>
  <c r="Q26" i="1"/>
  <c r="P26" i="1"/>
  <c r="AJ18" i="1"/>
  <c r="N26" i="1"/>
  <c r="K26" i="1"/>
  <c r="AF18" i="1"/>
  <c r="AF20" i="1" s="1"/>
  <c r="M26" i="1"/>
  <c r="AH18" i="1"/>
  <c r="J26" i="1"/>
  <c r="AE18" i="1"/>
  <c r="AE20" i="1" s="1"/>
  <c r="AG18" i="1"/>
  <c r="AG20" i="1" s="1"/>
  <c r="L26" i="1"/>
  <c r="K36" i="1"/>
  <c r="I26" i="1"/>
  <c r="AD18" i="1"/>
  <c r="AD20" i="1" s="1"/>
  <c r="O36" i="1"/>
  <c r="R26" i="1"/>
  <c r="Q36" i="1"/>
  <c r="AF21" i="1" l="1"/>
  <c r="AF22" i="1" s="1"/>
  <c r="AD21" i="1"/>
  <c r="AD22" i="1" s="1"/>
  <c r="AI18" i="1"/>
  <c r="AI20" i="1" s="1"/>
  <c r="AH20" i="1"/>
  <c r="AH21" i="1" s="1"/>
  <c r="AH22" i="1" s="1"/>
  <c r="AK18" i="1"/>
  <c r="AK20" i="1" s="1"/>
  <c r="AJ20" i="1"/>
  <c r="AG21" i="1"/>
  <c r="AG22" i="1" s="1"/>
  <c r="AE21" i="1"/>
  <c r="AE22" i="1" s="1"/>
  <c r="AL20" i="1"/>
  <c r="AM18" i="1"/>
  <c r="AM20" i="1" s="1"/>
  <c r="AM25" i="1" l="1"/>
  <c r="AL23" i="1"/>
  <c r="AN21" i="1"/>
  <c r="AN22" i="1" s="1"/>
  <c r="AL21" i="1"/>
  <c r="AL22" i="1" s="1"/>
  <c r="AJ21" i="1"/>
  <c r="AJ22" i="1" s="1"/>
  <c r="AL24" i="1" l="1"/>
  <c r="AJ24" i="1"/>
</calcChain>
</file>

<file path=xl/sharedStrings.xml><?xml version="1.0" encoding="utf-8"?>
<sst xmlns="http://schemas.openxmlformats.org/spreadsheetml/2006/main" count="100" uniqueCount="74">
  <si>
    <t>File Number:</t>
  </si>
  <si>
    <t>Last Rebasing Year</t>
  </si>
  <si>
    <t>Column</t>
  </si>
  <si>
    <t>Exhibit:</t>
  </si>
  <si>
    <t>B</t>
  </si>
  <si>
    <t>Tab:</t>
  </si>
  <si>
    <t>D</t>
  </si>
  <si>
    <t>Schedule:</t>
  </si>
  <si>
    <t>G</t>
  </si>
  <si>
    <t>Show RRR data</t>
  </si>
  <si>
    <t>Page:</t>
  </si>
  <si>
    <t>J</t>
  </si>
  <si>
    <t>Yes</t>
  </si>
  <si>
    <t>M</t>
  </si>
  <si>
    <t>Date:</t>
  </si>
  <si>
    <t>P</t>
  </si>
  <si>
    <t>S</t>
  </si>
  <si>
    <t>Appendix 2-JA</t>
  </si>
  <si>
    <t>V</t>
  </si>
  <si>
    <t>2026 Bridge Year</t>
  </si>
  <si>
    <t>2027 Test Year</t>
  </si>
  <si>
    <t>2028 Forecast</t>
  </si>
  <si>
    <t>2029 Forecast</t>
  </si>
  <si>
    <t>2030 Forecast</t>
  </si>
  <si>
    <t>2031 Forecast</t>
  </si>
  <si>
    <t>Reporting Basis</t>
  </si>
  <si>
    <t>MIFRS</t>
  </si>
  <si>
    <t>Operations</t>
  </si>
  <si>
    <t xml:space="preserve">Maintenance </t>
  </si>
  <si>
    <t>Maintenance</t>
  </si>
  <si>
    <t xml:space="preserve">Billing and Collecting </t>
  </si>
  <si>
    <t>SubTotal</t>
  </si>
  <si>
    <t xml:space="preserve">Community Relations </t>
  </si>
  <si>
    <t>%Change (year over year)</t>
  </si>
  <si>
    <t xml:space="preserve">Administrative and General </t>
  </si>
  <si>
    <t>%Change (Test Year vs 
Last Rebasing Year - Actual)</t>
  </si>
  <si>
    <t xml:space="preserve">Total OM&amp;A Expenses </t>
  </si>
  <si>
    <t>Billing and Collecting</t>
  </si>
  <si>
    <r>
      <t>Adjustments for Total non-recoverable items</t>
    </r>
    <r>
      <rPr>
        <b/>
        <vertAlign val="superscript"/>
        <sz val="9"/>
        <color theme="1"/>
        <rFont val="Arial"/>
        <family val="2"/>
      </rPr>
      <t>3</t>
    </r>
  </si>
  <si>
    <t>Community Relations</t>
  </si>
  <si>
    <t xml:space="preserve">Total Recoverable OM&amp;A Expenses </t>
  </si>
  <si>
    <t>Administrative and General</t>
  </si>
  <si>
    <t xml:space="preserve">Variance from previous year </t>
  </si>
  <si>
    <t xml:space="preserve">Percent change (year over year) </t>
  </si>
  <si>
    <t xml:space="preserve">Percent Change:
Test year vs. Most Current Actual </t>
  </si>
  <si>
    <t>Simple average of % variance for all years</t>
  </si>
  <si>
    <t>Total</t>
  </si>
  <si>
    <t>Compound Annual Growth Rate for all years</t>
  </si>
  <si>
    <t>Note:</t>
  </si>
  <si>
    <t>EB-2025-0312</t>
  </si>
  <si>
    <r>
      <t xml:space="preserve">Summary of </t>
    </r>
    <r>
      <rPr>
        <b/>
        <u/>
        <sz val="14"/>
        <color indexed="10"/>
        <rFont val="Arial"/>
        <family val="2"/>
      </rPr>
      <t>Recoverable</t>
    </r>
    <r>
      <rPr>
        <b/>
        <sz val="14"/>
        <rFont val="Arial"/>
        <family val="2"/>
      </rPr>
      <t xml:space="preserve"> OM&amp;A Expenses</t>
    </r>
    <r>
      <rPr>
        <b/>
        <vertAlign val="superscript"/>
        <sz val="14"/>
        <rFont val="Arial"/>
        <family val="2"/>
      </rPr>
      <t>6</t>
    </r>
  </si>
  <si>
    <t>1     USoA included in Operations: 5005, 5010, 5012, 5014, 5015, 5016, 5017, 5020, 5025, 5030, 5035, 5040, 5045, 5050, 5055, 5060, 5065, 5070, 5075, 5085, 5090, 5095, 5096</t>
  </si>
  <si>
    <t>2     USoA included in Maintenance: 5105, 5110, 5112, 5114, 5120, 5125, 5130, 5135, 5145, 5150, 5155, 5160, 5165, 5170, 5172, 5175, 5178, 5195</t>
  </si>
  <si>
    <t>3     USoA included in Billing and Collecting: 5305, 5310, 5315, 5320, 5325, 5330, 5335, 5340</t>
  </si>
  <si>
    <t>4     USoA included in Community Relations: 5405, 5410, 5415, 5420, 5425</t>
  </si>
  <si>
    <t>5     USoA included in Administrative and General: 5505, 5510, 5515, 5520, 5605, 5610, 5615, 5620, 5625, 5630, 5635, 5640, 5645, 5646, 5647,
 5650, 5655, 5660, 5665, 5670, 5672, 5675, 5680, 5681, 5685, 5695 &amp; 6205 (sub-account LEAP funding)</t>
  </si>
  <si>
    <t>6       Non recoverable items have been removed from OM&amp;A.</t>
  </si>
  <si>
    <r>
      <t>Operations</t>
    </r>
    <r>
      <rPr>
        <vertAlign val="superscript"/>
        <sz val="9"/>
        <rFont val="Arial"/>
        <family val="2"/>
      </rPr>
      <t>1</t>
    </r>
  </si>
  <si>
    <r>
      <t>Maintenance</t>
    </r>
    <r>
      <rPr>
        <vertAlign val="superscript"/>
        <sz val="9"/>
        <rFont val="Arial"/>
        <family val="2"/>
      </rPr>
      <t>2</t>
    </r>
  </si>
  <si>
    <r>
      <t>Billing and Collecting</t>
    </r>
    <r>
      <rPr>
        <vertAlign val="superscript"/>
        <sz val="9"/>
        <rFont val="Arial"/>
        <family val="2"/>
      </rPr>
      <t>3</t>
    </r>
  </si>
  <si>
    <r>
      <t>Community Relations</t>
    </r>
    <r>
      <rPr>
        <vertAlign val="superscript"/>
        <sz val="9"/>
        <rFont val="Arial"/>
        <family val="2"/>
      </rPr>
      <t>4</t>
    </r>
  </si>
  <si>
    <r>
      <t>Administrative and General</t>
    </r>
    <r>
      <rPr>
        <vertAlign val="superscript"/>
        <sz val="9"/>
        <rFont val="Arial"/>
        <family val="2"/>
      </rPr>
      <t>5</t>
    </r>
  </si>
  <si>
    <t>2025 Actuals</t>
  </si>
  <si>
    <t>2014 Actuals (RRR)</t>
  </si>
  <si>
    <t>2015 Actuals (RRR)</t>
  </si>
  <si>
    <t>2016 Actuals (RRR)</t>
  </si>
  <si>
    <t>2017 Actuals</t>
  </si>
  <si>
    <t>2018 Actuals</t>
  </si>
  <si>
    <t>2019 Actuals</t>
  </si>
  <si>
    <t>2014 Actuals</t>
  </si>
  <si>
    <t>2015 Actuals</t>
  </si>
  <si>
    <t>2016 Actuals</t>
  </si>
  <si>
    <t>2017 Actuals (RRR)</t>
  </si>
  <si>
    <t>2018 Actuals (RRR)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</si>
</sst>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  <numFmt numFmtId="166" formatCode="0.0%"/>
    <numFmt numFmtId="167" formatCode="_-* #,##0_-;\-* #,##0_-;_-* &quot;-&quot;??_-;_-@_-"/>
    <numFmt numFmtId="168" formatCode="[$-F800]dddd\,\ mmmm\ dd\,\ yyyy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u/>
      <sz val="14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name val="Arial"/>
      <family val="2"/>
    </font>
    <font>
      <sz val="10"/>
      <color theme="1"/>
      <name val="Arial"/>
      <family val="2"/>
    </font>
    <font>
      <b/>
      <vertAlign val="superscript"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8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6" fillId="0" borderId="0" xfId="4" applyFont="1"/>
    <xf numFmtId="0" fontId="7" fillId="0" borderId="0" xfId="0" applyFont="1"/>
    <xf numFmtId="165" fontId="0" fillId="0" borderId="0" xfId="0" applyNumberForma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4" xfId="4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13" fillId="0" borderId="7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13" fillId="0" borderId="9" xfId="5" applyFont="1" applyBorder="1" applyAlignment="1">
      <alignment horizontal="center" vertical="center" wrapText="1"/>
    </xf>
    <xf numFmtId="0" fontId="14" fillId="0" borderId="7" xfId="4" applyFont="1" applyBorder="1" applyAlignment="1">
      <alignment vertical="center" wrapText="1"/>
    </xf>
    <xf numFmtId="0" fontId="15" fillId="0" borderId="10" xfId="5" applyFont="1" applyBorder="1" applyAlignment="1">
      <alignment vertical="center" wrapText="1"/>
    </xf>
    <xf numFmtId="165" fontId="15" fillId="0" borderId="11" xfId="5" applyNumberFormat="1" applyFont="1" applyBorder="1" applyAlignment="1">
      <alignment vertical="center" wrapText="1"/>
    </xf>
    <xf numFmtId="165" fontId="15" fillId="0" borderId="12" xfId="5" applyNumberFormat="1" applyFont="1" applyBorder="1" applyAlignment="1">
      <alignment vertical="center" wrapText="1"/>
    </xf>
    <xf numFmtId="0" fontId="11" fillId="0" borderId="13" xfId="4" applyFont="1" applyBorder="1" applyAlignment="1">
      <alignment vertical="center" wrapText="1"/>
    </xf>
    <xf numFmtId="165" fontId="11" fillId="2" borderId="2" xfId="2" applyNumberFormat="1" applyFont="1" applyFill="1" applyBorder="1" applyAlignment="1" applyProtection="1">
      <alignment vertical="center" wrapText="1"/>
      <protection locked="0"/>
    </xf>
    <xf numFmtId="3" fontId="11" fillId="0" borderId="0" xfId="4" applyNumberFormat="1" applyFont="1" applyAlignment="1">
      <alignment vertical="center" wrapText="1"/>
    </xf>
    <xf numFmtId="0" fontId="15" fillId="0" borderId="15" xfId="5" applyFont="1" applyBorder="1" applyAlignment="1">
      <alignment vertical="center" wrapText="1"/>
    </xf>
    <xf numFmtId="165" fontId="15" fillId="0" borderId="16" xfId="5" applyNumberFormat="1" applyFont="1" applyBorder="1" applyAlignment="1">
      <alignment vertical="center" wrapText="1"/>
    </xf>
    <xf numFmtId="0" fontId="11" fillId="0" borderId="15" xfId="4" applyFont="1" applyBorder="1" applyAlignment="1">
      <alignment vertical="center" wrapText="1"/>
    </xf>
    <xf numFmtId="0" fontId="12" fillId="0" borderId="15" xfId="4" applyFont="1" applyBorder="1" applyAlignment="1">
      <alignment vertical="center" wrapText="1"/>
    </xf>
    <xf numFmtId="165" fontId="12" fillId="0" borderId="2" xfId="2" applyNumberFormat="1" applyFont="1" applyBorder="1" applyAlignment="1" applyProtection="1">
      <alignment vertical="center" wrapText="1"/>
    </xf>
    <xf numFmtId="165" fontId="12" fillId="0" borderId="14" xfId="2" applyNumberFormat="1" applyFont="1" applyBorder="1" applyAlignment="1" applyProtection="1">
      <alignment vertical="center" wrapText="1"/>
    </xf>
    <xf numFmtId="3" fontId="12" fillId="0" borderId="0" xfId="1" applyNumberFormat="1" applyFont="1" applyFill="1" applyBorder="1" applyAlignment="1" applyProtection="1">
      <alignment vertical="center" wrapText="1"/>
    </xf>
    <xf numFmtId="166" fontId="11" fillId="0" borderId="2" xfId="3" applyNumberFormat="1" applyFont="1" applyBorder="1" applyAlignment="1" applyProtection="1">
      <alignment vertical="center" wrapText="1"/>
    </xf>
    <xf numFmtId="166" fontId="11" fillId="0" borderId="17" xfId="3" applyNumberFormat="1" applyFont="1" applyBorder="1" applyAlignment="1" applyProtection="1">
      <alignment vertical="center" wrapText="1"/>
    </xf>
    <xf numFmtId="3" fontId="11" fillId="0" borderId="18" xfId="3" applyNumberFormat="1" applyFont="1" applyFill="1" applyBorder="1" applyAlignment="1" applyProtection="1">
      <alignment vertical="center" wrapText="1"/>
    </xf>
    <xf numFmtId="3" fontId="11" fillId="0" borderId="0" xfId="3" applyNumberFormat="1" applyFont="1" applyFill="1" applyBorder="1" applyAlignment="1" applyProtection="1">
      <alignment vertical="center" wrapText="1"/>
    </xf>
    <xf numFmtId="0" fontId="11" fillId="0" borderId="19" xfId="4" applyFont="1" applyBorder="1" applyAlignment="1">
      <alignment vertical="center" wrapText="1"/>
    </xf>
    <xf numFmtId="166" fontId="11" fillId="0" borderId="0" xfId="3" applyNumberFormat="1" applyFont="1" applyBorder="1" applyAlignment="1" applyProtection="1">
      <alignment vertical="center" wrapText="1"/>
    </xf>
    <xf numFmtId="166" fontId="11" fillId="0" borderId="20" xfId="3" applyNumberFormat="1" applyFont="1" applyBorder="1" applyAlignment="1" applyProtection="1">
      <alignment vertical="center" wrapText="1"/>
    </xf>
    <xf numFmtId="3" fontId="11" fillId="0" borderId="18" xfId="4" applyNumberFormat="1" applyFont="1" applyBorder="1" applyAlignment="1">
      <alignment vertical="center" wrapText="1"/>
    </xf>
    <xf numFmtId="0" fontId="15" fillId="0" borderId="16" xfId="5" applyFont="1" applyBorder="1" applyAlignment="1">
      <alignment vertical="center" wrapText="1"/>
    </xf>
    <xf numFmtId="0" fontId="15" fillId="0" borderId="22" xfId="5" applyFont="1" applyBorder="1" applyAlignment="1">
      <alignment vertical="center" wrapText="1"/>
    </xf>
    <xf numFmtId="0" fontId="11" fillId="3" borderId="15" xfId="4" applyFont="1" applyFill="1" applyBorder="1" applyAlignment="1">
      <alignment vertical="center" wrapText="1"/>
    </xf>
    <xf numFmtId="0" fontId="15" fillId="3" borderId="15" xfId="5" applyFont="1" applyFill="1" applyBorder="1" applyAlignment="1">
      <alignment vertical="center" wrapText="1"/>
    </xf>
    <xf numFmtId="165" fontId="13" fillId="3" borderId="2" xfId="2" applyNumberFormat="1" applyFont="1" applyFill="1" applyBorder="1" applyAlignment="1" applyProtection="1">
      <alignment vertical="center" wrapText="1"/>
    </xf>
    <xf numFmtId="0" fontId="15" fillId="3" borderId="14" xfId="5" applyFont="1" applyFill="1" applyBorder="1" applyAlignment="1">
      <alignment vertical="center" wrapText="1"/>
    </xf>
    <xf numFmtId="0" fontId="0" fillId="3" borderId="0" xfId="0" applyFill="1"/>
    <xf numFmtId="0" fontId="12" fillId="3" borderId="15" xfId="4" applyFont="1" applyFill="1" applyBorder="1" applyAlignment="1">
      <alignment vertical="center" wrapText="1"/>
    </xf>
    <xf numFmtId="165" fontId="12" fillId="3" borderId="2" xfId="2" applyNumberFormat="1" applyFont="1" applyFill="1" applyBorder="1" applyAlignment="1" applyProtection="1">
      <alignment vertical="center" wrapText="1"/>
    </xf>
    <xf numFmtId="165" fontId="12" fillId="3" borderId="14" xfId="2" applyNumberFormat="1" applyFont="1" applyFill="1" applyBorder="1" applyAlignment="1" applyProtection="1">
      <alignment vertical="center" wrapText="1"/>
    </xf>
    <xf numFmtId="9" fontId="13" fillId="3" borderId="23" xfId="3" applyFont="1" applyFill="1" applyBorder="1" applyAlignment="1" applyProtection="1">
      <alignment vertical="center" wrapText="1"/>
    </xf>
    <xf numFmtId="0" fontId="15" fillId="0" borderId="2" xfId="5" applyFont="1" applyBorder="1" applyAlignment="1">
      <alignment vertical="center" wrapText="1"/>
    </xf>
    <xf numFmtId="10" fontId="13" fillId="0" borderId="2" xfId="5" applyNumberFormat="1" applyFont="1" applyBorder="1" applyAlignment="1">
      <alignment vertical="center" wrapText="1"/>
    </xf>
    <xf numFmtId="0" fontId="15" fillId="0" borderId="14" xfId="5" applyFont="1" applyBorder="1" applyAlignment="1">
      <alignment vertical="center" wrapText="1"/>
    </xf>
    <xf numFmtId="166" fontId="11" fillId="0" borderId="21" xfId="3" applyNumberFormat="1" applyFont="1" applyBorder="1" applyAlignment="1" applyProtection="1">
      <alignment vertical="center" wrapText="1"/>
    </xf>
    <xf numFmtId="0" fontId="15" fillId="0" borderId="24" xfId="5" applyFont="1" applyBorder="1" applyAlignment="1">
      <alignment vertical="center" wrapText="1"/>
    </xf>
    <xf numFmtId="0" fontId="11" fillId="0" borderId="25" xfId="4" applyFont="1" applyBorder="1" applyAlignment="1">
      <alignment vertical="center" wrapText="1"/>
    </xf>
    <xf numFmtId="166" fontId="11" fillId="0" borderId="27" xfId="3" applyNumberFormat="1" applyFont="1" applyBorder="1" applyAlignment="1" applyProtection="1">
      <alignment vertical="center" wrapText="1"/>
    </xf>
    <xf numFmtId="166" fontId="11" fillId="0" borderId="28" xfId="3" applyNumberFormat="1" applyFont="1" applyBorder="1" applyAlignment="1" applyProtection="1">
      <alignment vertical="center" wrapText="1"/>
    </xf>
    <xf numFmtId="0" fontId="15" fillId="0" borderId="25" xfId="5" applyFont="1" applyBorder="1" applyAlignment="1">
      <alignment vertical="center" wrapText="1"/>
    </xf>
    <xf numFmtId="0" fontId="5" fillId="0" borderId="0" xfId="4" applyAlignment="1">
      <alignment vertical="center" wrapText="1"/>
    </xf>
    <xf numFmtId="167" fontId="5" fillId="0" borderId="0" xfId="1" applyNumberFormat="1" applyFont="1" applyAlignment="1" applyProtection="1">
      <alignment vertical="center" wrapText="1"/>
    </xf>
    <xf numFmtId="167" fontId="4" fillId="0" borderId="0" xfId="1" applyNumberFormat="1" applyFont="1" applyAlignment="1" applyProtection="1">
      <alignment vertical="center" wrapText="1"/>
    </xf>
    <xf numFmtId="0" fontId="0" fillId="0" borderId="0" xfId="0" applyAlignment="1">
      <alignment vertical="center" wrapText="1"/>
    </xf>
    <xf numFmtId="165" fontId="11" fillId="0" borderId="2" xfId="2" applyNumberFormat="1" applyFont="1" applyBorder="1" applyAlignment="1" applyProtection="1">
      <alignment vertical="center" wrapText="1"/>
    </xf>
    <xf numFmtId="165" fontId="11" fillId="0" borderId="14" xfId="2" applyNumberFormat="1" applyFont="1" applyBorder="1" applyAlignment="1" applyProtection="1">
      <alignment vertical="center" wrapText="1"/>
    </xf>
    <xf numFmtId="164" fontId="0" fillId="0" borderId="0" xfId="0" applyNumberFormat="1" applyAlignment="1">
      <alignment vertical="center" wrapText="1"/>
    </xf>
    <xf numFmtId="166" fontId="11" fillId="0" borderId="26" xfId="3" applyNumberFormat="1" applyFont="1" applyBorder="1" applyAlignment="1" applyProtection="1">
      <alignment vertical="center" wrapText="1"/>
    </xf>
    <xf numFmtId="166" fontId="11" fillId="0" borderId="29" xfId="3" applyNumberFormat="1" applyFont="1" applyBorder="1" applyAlignment="1" applyProtection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18" xfId="0" applyBorder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3" fontId="3" fillId="0" borderId="5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165" fontId="11" fillId="2" borderId="17" xfId="2" applyNumberFormat="1" applyFont="1" applyFill="1" applyBorder="1" applyAlignment="1" applyProtection="1">
      <alignment vertical="center" wrapText="1"/>
      <protection locked="0"/>
    </xf>
    <xf numFmtId="165" fontId="11" fillId="2" borderId="14" xfId="2" applyNumberFormat="1" applyFont="1" applyFill="1" applyBorder="1" applyAlignment="1" applyProtection="1">
      <alignment vertical="center" wrapText="1"/>
      <protection locked="0"/>
    </xf>
    <xf numFmtId="0" fontId="8" fillId="4" borderId="2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5" fontId="11" fillId="2" borderId="15" xfId="2" applyNumberFormat="1" applyFont="1" applyFill="1" applyBorder="1" applyAlignment="1" applyProtection="1">
      <alignment vertical="center" wrapText="1"/>
      <protection locked="0"/>
    </xf>
    <xf numFmtId="165" fontId="15" fillId="0" borderId="13" xfId="5" applyNumberFormat="1" applyFont="1" applyBorder="1" applyAlignment="1">
      <alignment vertical="center" wrapText="1"/>
    </xf>
    <xf numFmtId="165" fontId="15" fillId="0" borderId="31" xfId="5" applyNumberFormat="1" applyFont="1" applyBorder="1" applyAlignment="1">
      <alignment vertical="center" wrapText="1"/>
    </xf>
    <xf numFmtId="165" fontId="15" fillId="0" borderId="32" xfId="5" applyNumberFormat="1" applyFont="1" applyBorder="1" applyAlignment="1">
      <alignment vertical="center" wrapText="1"/>
    </xf>
    <xf numFmtId="165" fontId="15" fillId="0" borderId="15" xfId="5" applyNumberFormat="1" applyFont="1" applyBorder="1" applyAlignment="1">
      <alignment vertical="center" wrapText="1"/>
    </xf>
    <xf numFmtId="165" fontId="15" fillId="0" borderId="22" xfId="5" applyNumberFormat="1" applyFont="1" applyBorder="1" applyAlignment="1">
      <alignment vertical="center" wrapText="1"/>
    </xf>
    <xf numFmtId="165" fontId="13" fillId="3" borderId="14" xfId="2" applyNumberFormat="1" applyFont="1" applyFill="1" applyBorder="1" applyAlignment="1" applyProtection="1">
      <alignment vertical="center" wrapText="1"/>
    </xf>
    <xf numFmtId="9" fontId="13" fillId="3" borderId="33" xfId="3" applyFont="1" applyFill="1" applyBorder="1" applyAlignment="1" applyProtection="1">
      <alignment vertical="center" wrapText="1"/>
    </xf>
    <xf numFmtId="166" fontId="13" fillId="0" borderId="28" xfId="3" applyNumberFormat="1" applyFont="1" applyFill="1" applyBorder="1" applyAlignment="1" applyProtection="1">
      <alignment vertical="center" wrapText="1"/>
    </xf>
    <xf numFmtId="0" fontId="15" fillId="0" borderId="26" xfId="5" applyFont="1" applyBorder="1" applyAlignment="1">
      <alignment vertical="center" wrapText="1"/>
    </xf>
    <xf numFmtId="165" fontId="15" fillId="0" borderId="30" xfId="5" applyNumberFormat="1" applyFont="1" applyBorder="1" applyAlignment="1">
      <alignment vertical="center" wrapText="1"/>
    </xf>
    <xf numFmtId="9" fontId="0" fillId="0" borderId="0" xfId="3" applyFont="1" applyAlignment="1">
      <alignment vertical="center" wrapText="1"/>
    </xf>
    <xf numFmtId="168" fontId="4" fillId="2" borderId="0" xfId="0" applyNumberFormat="1" applyFont="1" applyFill="1" applyAlignment="1" applyProtection="1">
      <alignment horizontal="right" vertical="top"/>
      <protection locked="0"/>
    </xf>
    <xf numFmtId="0" fontId="9" fillId="0" borderId="0" xfId="0" applyFont="1" applyAlignment="1">
      <alignment vertical="center"/>
    </xf>
    <xf numFmtId="0" fontId="11" fillId="0" borderId="0" xfId="4" applyFont="1" applyAlignment="1">
      <alignment vertical="center" wrapText="1"/>
    </xf>
    <xf numFmtId="0" fontId="11" fillId="0" borderId="21" xfId="4" applyFont="1" applyBorder="1" applyAlignment="1">
      <alignment vertical="center" wrapText="1"/>
    </xf>
    <xf numFmtId="0" fontId="11" fillId="0" borderId="29" xfId="4" applyFont="1" applyBorder="1" applyAlignment="1">
      <alignment vertical="center" wrapText="1"/>
    </xf>
    <xf numFmtId="0" fontId="8" fillId="0" borderId="0" xfId="0" applyFont="1" applyProtection="1">
      <protection locked="0"/>
    </xf>
    <xf numFmtId="0" fontId="15" fillId="0" borderId="30" xfId="5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2" fillId="0" borderId="0" xfId="4" applyFont="1" applyAlignment="1">
      <alignment horizontal="center" vertical="center" wrapText="1"/>
    </xf>
  </cellXfs>
  <cellStyles count="7">
    <cellStyle name="Comma" xfId="1" builtinId="3"/>
    <cellStyle name="Currency" xfId="2" builtinId="4"/>
    <cellStyle name="Normal" xfId="0" builtinId="0"/>
    <cellStyle name="Normal 2" xfId="4" xr:uid="{4156E5D8-C05A-4DC9-9BDD-AB514DEF3C5C}"/>
    <cellStyle name="Normal 3" xfId="5" xr:uid="{410FDB3C-76AB-4456-A88D-5BFEBABD1636}"/>
    <cellStyle name="Normal 5" xfId="6" xr:uid="{ACC860AA-D7F6-4866-A681-B77C131B382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sv6022fs.internal.veridian.on.ca\Shares\Corporate%20Planning\Rate%20Application%20Backup\Chapter%202%20Filing%20Appendices\2026_Filing_Requirements_Chapter2_Appendices_1.0_.xlsm" TargetMode="External"/><Relationship Id="rId2" Type="http://schemas.microsoft.com/office/2019/04/relationships/externalLinkLongPath" Target="/sites/EarlyRebasingApplication-ExhibitsWorkingDrafts/Shared%20Documents/Exhibits%20(Working%20Drafts)/0.0%20Master%20Data%20Site/0%20-%20LINKED%20MODELS/Chapter%202%20appendices/OM&amp;A%20appendices/2026_Filing_Requirements_Chapter2_Appendices_1.0_.xlsm?6A164841" TargetMode="External"/><Relationship Id="rId1" Type="http://schemas.openxmlformats.org/officeDocument/2006/relationships/externalLinkPath" Target="file:///\\6A164841\2026_Filing_Requirements_Chapter2_Appendices_1.0_.xlsm" TargetMode="External"/><Relationship Id="rId4" Type="http://schemas.openxmlformats.org/officeDocument/2006/relationships/externalLinkPath" Target="../Shared%20Documents/Exhibits%20(Working%20Drafts)/0.0%20Master%20Data%20Site/0%20-%20LINKED%20MODELS/Chapter%202%20appendices/OM&amp;A%20appendices/2026_Filing_Requirements_Chapter2_Appendices_1.0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2.1.4_ServiceQuality old"/>
      <sheetName val="App.2-H_Other_Rev"/>
      <sheetName val="Hidden_Other Revenue"/>
      <sheetName val="App_2-I LF_CDM"/>
      <sheetName val="lists"/>
      <sheetName val="2.1.7  All Accounts"/>
      <sheetName val="App.2-IA_Load_Forecast_Instrct"/>
      <sheetName val="App.2-IB_Load_Forecast_Analysis"/>
      <sheetName val="2.1.5.6"/>
      <sheetName val="2.1.4_ServiceQuality"/>
      <sheetName val="2.1.7 - System OM (2-AB)"/>
      <sheetName val="2.1.4 SAIDI SAIFI"/>
      <sheetName val="2018 Adjusted SAIDI and SAIFI"/>
      <sheetName val="2019 Adjusted SAIDI and SAIFI"/>
      <sheetName val="2020"/>
      <sheetName val="Several_Accounts"/>
      <sheetName val="2.1.2"/>
      <sheetName val="2.1.5.4"/>
      <sheetName val="FTE"/>
      <sheetName val="OM&amp;A_Expenses"/>
      <sheetName val="App.2-JA_OM&amp;A_Summary_Analys"/>
      <sheetName val="Hidden_OM&amp;A Summary"/>
      <sheetName val="App.2-JB_OM&amp;A_Cost _Drivers"/>
      <sheetName val="App.2-JC_OMA Programs"/>
      <sheetName val="App.2-JD_OM&amp;A USoA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>
        <row r="14">
          <cell r="E14"/>
        </row>
        <row r="16">
          <cell r="E16"/>
        </row>
        <row r="24">
          <cell r="E24">
            <v>2026</v>
          </cell>
        </row>
        <row r="26">
          <cell r="E26">
            <v>2025</v>
          </cell>
        </row>
        <row r="28">
          <cell r="E28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BC63-32E2-4CF2-9945-88C647374305}">
  <sheetPr codeName="Sheet1"/>
  <dimension ref="A1:AY111"/>
  <sheetViews>
    <sheetView tabSelected="1" topLeftCell="E9" workbookViewId="0"/>
  </sheetViews>
  <sheetFormatPr defaultColWidth="9.42578125" defaultRowHeight="15" x14ac:dyDescent="0.25"/>
  <cols>
    <col min="1" max="1" width="46" customWidth="1"/>
    <col min="2" max="11" width="15" customWidth="1"/>
    <col min="12" max="12" width="13.42578125" customWidth="1"/>
    <col min="13" max="19" width="12.5703125" customWidth="1"/>
    <col min="20" max="20" width="13.42578125" bestFit="1" customWidth="1"/>
    <col min="21" max="21" width="11.42578125" bestFit="1" customWidth="1"/>
    <col min="22" max="22" width="39.42578125" customWidth="1"/>
    <col min="23" max="51" width="13.42578125" customWidth="1"/>
  </cols>
  <sheetData>
    <row r="1" spans="1:43" x14ac:dyDescent="0.25">
      <c r="K1" s="1">
        <f>'[1]LDC Info'!$E$28</f>
        <v>0</v>
      </c>
      <c r="M1" s="2" t="s">
        <v>0</v>
      </c>
      <c r="N1" s="3" t="s">
        <v>49</v>
      </c>
      <c r="O1" s="1"/>
      <c r="P1" s="1"/>
      <c r="Q1" s="1"/>
      <c r="R1" s="1"/>
      <c r="S1" s="1"/>
      <c r="T1" s="1">
        <f>'[1]LDC Info'!$E$28</f>
        <v>0</v>
      </c>
      <c r="U1" s="1" t="s">
        <v>1</v>
      </c>
      <c r="V1" s="1" t="s">
        <v>2</v>
      </c>
      <c r="W1" s="1"/>
      <c r="X1" s="1"/>
      <c r="Y1" s="1"/>
      <c r="Z1" s="1"/>
      <c r="AA1" s="1"/>
      <c r="AB1" s="1"/>
    </row>
    <row r="2" spans="1:43" x14ac:dyDescent="0.25">
      <c r="M2" s="2" t="s">
        <v>3</v>
      </c>
      <c r="N2" s="77">
        <v>4</v>
      </c>
      <c r="O2" s="1"/>
      <c r="P2" s="1"/>
      <c r="Q2" s="1"/>
      <c r="R2" s="1"/>
      <c r="S2" s="1"/>
      <c r="T2" s="1">
        <f>TestYear</f>
        <v>2026</v>
      </c>
      <c r="U2" s="1">
        <v>2010</v>
      </c>
      <c r="V2" s="1" t="s">
        <v>4</v>
      </c>
      <c r="W2" s="1"/>
      <c r="X2" s="1"/>
      <c r="Y2" s="1"/>
      <c r="Z2" s="1"/>
      <c r="AA2" s="1"/>
      <c r="AB2" s="1"/>
    </row>
    <row r="3" spans="1:43" x14ac:dyDescent="0.25">
      <c r="M3" s="2" t="s">
        <v>5</v>
      </c>
      <c r="N3" s="77">
        <v>1</v>
      </c>
      <c r="O3" s="1"/>
      <c r="P3" s="1"/>
      <c r="Q3" s="1"/>
      <c r="R3" s="1"/>
      <c r="S3" s="1"/>
      <c r="T3" s="1">
        <f>'[1]LDC Info'!$E$28</f>
        <v>0</v>
      </c>
      <c r="U3" s="1">
        <v>2011</v>
      </c>
      <c r="V3" s="1" t="s">
        <v>6</v>
      </c>
      <c r="W3" s="1"/>
      <c r="X3" s="1"/>
      <c r="Y3" s="1"/>
      <c r="Z3" s="1"/>
      <c r="AA3" s="1"/>
      <c r="AB3" s="1"/>
    </row>
    <row r="4" spans="1:43" x14ac:dyDescent="0.25">
      <c r="A4" s="4"/>
      <c r="B4" s="4"/>
      <c r="C4" s="4"/>
      <c r="D4" s="4"/>
      <c r="E4" s="4"/>
      <c r="F4" s="4"/>
      <c r="G4" s="4"/>
      <c r="M4" s="2" t="s">
        <v>7</v>
      </c>
      <c r="N4" s="77">
        <v>1</v>
      </c>
      <c r="O4" s="1"/>
      <c r="P4" s="1"/>
      <c r="Q4" s="1"/>
      <c r="R4" s="1"/>
      <c r="S4" s="1"/>
      <c r="T4" s="1"/>
      <c r="U4" s="1">
        <v>2012</v>
      </c>
      <c r="V4" s="1" t="s">
        <v>8</v>
      </c>
      <c r="W4" s="1"/>
      <c r="X4" s="1"/>
      <c r="Y4" s="1"/>
      <c r="Z4" s="1"/>
      <c r="AA4" s="1"/>
      <c r="AB4" s="1"/>
    </row>
    <row r="5" spans="1:43" x14ac:dyDescent="0.25">
      <c r="A5" s="5" t="s">
        <v>9</v>
      </c>
      <c r="B5" s="5"/>
      <c r="C5" s="5"/>
      <c r="D5" s="5"/>
      <c r="E5" s="5"/>
      <c r="F5" s="5"/>
      <c r="G5" s="5"/>
      <c r="M5" s="2" t="s">
        <v>10</v>
      </c>
      <c r="N5" s="78"/>
      <c r="O5" s="1"/>
      <c r="P5" s="1"/>
      <c r="Q5" s="1"/>
      <c r="R5" s="1"/>
      <c r="S5" s="1"/>
      <c r="T5" s="1"/>
      <c r="U5" s="1">
        <v>2013</v>
      </c>
      <c r="V5" s="1" t="s">
        <v>11</v>
      </c>
      <c r="W5" s="1"/>
      <c r="X5" s="1"/>
      <c r="Y5" s="1"/>
      <c r="Z5" s="1"/>
      <c r="AA5" s="1"/>
      <c r="AB5" s="1"/>
    </row>
    <row r="6" spans="1:43" x14ac:dyDescent="0.25">
      <c r="A6" s="81" t="s">
        <v>12</v>
      </c>
      <c r="B6" s="101"/>
      <c r="C6" s="101"/>
      <c r="D6" s="101"/>
      <c r="E6" s="101"/>
      <c r="F6" s="101"/>
      <c r="G6" s="101"/>
      <c r="M6" s="2"/>
      <c r="N6" s="3"/>
      <c r="O6" s="1"/>
      <c r="P6" s="1"/>
      <c r="Q6" s="1"/>
      <c r="R6" s="1"/>
      <c r="S6" s="1"/>
      <c r="T6" s="1"/>
      <c r="U6" s="1">
        <v>2014</v>
      </c>
      <c r="V6" s="1" t="s">
        <v>13</v>
      </c>
      <c r="W6" s="1"/>
      <c r="X6" s="1"/>
      <c r="Y6" s="1"/>
      <c r="Z6" s="1"/>
      <c r="AA6" s="1"/>
      <c r="AB6" s="1"/>
    </row>
    <row r="7" spans="1:43" x14ac:dyDescent="0.25">
      <c r="M7" s="2" t="s">
        <v>14</v>
      </c>
      <c r="N7" s="96">
        <v>46150</v>
      </c>
      <c r="O7" s="1"/>
      <c r="P7" s="1"/>
      <c r="Q7" s="1"/>
      <c r="R7" s="1"/>
      <c r="S7" s="1"/>
      <c r="T7" s="1"/>
      <c r="U7" s="1">
        <v>2015</v>
      </c>
      <c r="V7" s="1" t="s">
        <v>15</v>
      </c>
      <c r="W7" s="1"/>
      <c r="X7" s="1"/>
      <c r="Y7" s="1"/>
      <c r="Z7" s="1"/>
      <c r="AA7" s="1"/>
      <c r="AB7" s="1"/>
    </row>
    <row r="8" spans="1:43" x14ac:dyDescent="0.25">
      <c r="H8" s="6"/>
      <c r="I8" s="6"/>
      <c r="J8" s="6"/>
      <c r="K8" s="6"/>
      <c r="L8" s="6"/>
      <c r="O8" s="1"/>
      <c r="P8" s="1"/>
      <c r="Q8" s="1"/>
      <c r="R8" s="1"/>
      <c r="S8" s="1"/>
      <c r="T8" s="1"/>
      <c r="U8" s="1">
        <v>2016</v>
      </c>
      <c r="V8" s="1" t="s">
        <v>16</v>
      </c>
      <c r="W8" s="1"/>
      <c r="X8" s="1"/>
      <c r="Y8" s="1"/>
      <c r="Z8" s="1"/>
      <c r="AA8" s="1"/>
      <c r="AB8" s="1"/>
    </row>
    <row r="9" spans="1:43" ht="18" x14ac:dyDescent="0.25">
      <c r="A9" s="104" t="s">
        <v>17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97"/>
      <c r="O9" s="7"/>
      <c r="P9" s="7"/>
      <c r="Q9" s="7"/>
      <c r="R9" s="7"/>
      <c r="S9" s="7"/>
      <c r="T9" s="1"/>
      <c r="U9" s="1">
        <v>2017</v>
      </c>
      <c r="V9" s="1" t="s">
        <v>18</v>
      </c>
      <c r="W9" s="1"/>
      <c r="X9" s="1"/>
      <c r="Y9" s="1"/>
      <c r="Z9" s="1"/>
      <c r="AA9" s="1"/>
      <c r="AB9" s="1"/>
    </row>
    <row r="10" spans="1:43" ht="34.5" customHeight="1" thickBot="1" x14ac:dyDescent="0.3">
      <c r="A10" s="104" t="s">
        <v>50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97"/>
      <c r="O10" s="7"/>
      <c r="P10" s="7"/>
      <c r="Q10" s="7"/>
      <c r="R10" s="7"/>
      <c r="S10" s="7"/>
      <c r="T10" s="1"/>
      <c r="U10" s="1"/>
      <c r="V10" s="1"/>
      <c r="W10" s="1"/>
      <c r="X10" s="1"/>
      <c r="Y10" s="1"/>
      <c r="Z10" s="1"/>
      <c r="AA10" s="1"/>
      <c r="AB10" s="1"/>
    </row>
    <row r="11" spans="1:43" s="8" customFormat="1" ht="17.25" hidden="1" customHeight="1" thickBot="1" x14ac:dyDescent="0.25">
      <c r="H11" s="9">
        <f>TestYear-6</f>
        <v>2020</v>
      </c>
      <c r="I11" s="9">
        <f>TestYear-5</f>
        <v>2021</v>
      </c>
      <c r="J11" s="9">
        <f>TestYear-4</f>
        <v>2022</v>
      </c>
      <c r="K11" s="9">
        <f>TestYear-3</f>
        <v>2023</v>
      </c>
      <c r="L11" s="9">
        <f>TestYear-2</f>
        <v>2024</v>
      </c>
      <c r="M11" s="10">
        <f>BridgeYear</f>
        <v>2025</v>
      </c>
      <c r="N11" s="10">
        <f>TestYear</f>
        <v>2026</v>
      </c>
      <c r="O11" s="10"/>
      <c r="P11" s="10"/>
      <c r="Q11" s="10"/>
      <c r="R11" s="10"/>
      <c r="S11" s="10"/>
      <c r="AC11" s="11">
        <f t="shared" ref="AC11:AH11" si="0">H11</f>
        <v>2020</v>
      </c>
      <c r="AD11" s="11">
        <f t="shared" si="0"/>
        <v>2021</v>
      </c>
      <c r="AE11" s="11">
        <f t="shared" si="0"/>
        <v>2022</v>
      </c>
      <c r="AF11" s="11">
        <f t="shared" si="0"/>
        <v>2023</v>
      </c>
      <c r="AG11" s="11">
        <f t="shared" si="0"/>
        <v>2024</v>
      </c>
      <c r="AH11" s="11">
        <f t="shared" si="0"/>
        <v>2025</v>
      </c>
      <c r="AI11" s="11"/>
      <c r="AJ11" s="11">
        <f>N11</f>
        <v>2026</v>
      </c>
      <c r="AL11" s="11">
        <v>2027</v>
      </c>
      <c r="AN11" s="8">
        <v>2028</v>
      </c>
      <c r="AO11" s="8">
        <v>2029</v>
      </c>
      <c r="AP11" s="8">
        <v>2030</v>
      </c>
      <c r="AQ11" s="8">
        <v>2031</v>
      </c>
    </row>
    <row r="12" spans="1:43" ht="36.75" thickBot="1" x14ac:dyDescent="0.3">
      <c r="A12" s="12"/>
      <c r="B12" s="13" t="s">
        <v>63</v>
      </c>
      <c r="C12" s="13" t="s">
        <v>64</v>
      </c>
      <c r="D12" s="13" t="s">
        <v>65</v>
      </c>
      <c r="E12" s="13" t="s">
        <v>72</v>
      </c>
      <c r="F12" s="13" t="s">
        <v>73</v>
      </c>
      <c r="G12" s="13" t="s">
        <v>68</v>
      </c>
      <c r="H12" s="13" t="str">
        <f>CONCATENATE(H11," ",IF($T1=H11,"Last Rebasing Year ",""),"Actuals")</f>
        <v>2020 Actuals</v>
      </c>
      <c r="I12" s="13" t="str">
        <f>CONCATENATE(I11," ",IF($T1=I11,"Last Rebasing Year ",""),"Actuals")</f>
        <v>2021 Actuals</v>
      </c>
      <c r="J12" s="13" t="str">
        <f>CONCATENATE(J11," ",IF($T1=J11,"Last Rebasing Year ",""),"Actuals")</f>
        <v>2022 Actuals</v>
      </c>
      <c r="K12" s="13" t="str">
        <f>CONCATENATE(K11," ",IF($T1=K11,"Last Rebasing Year ",""),"Actuals")</f>
        <v>2023 Actuals</v>
      </c>
      <c r="L12" s="13" t="str">
        <f>CONCATENATE(L11," ",IF($T1=L11,"Last Rebasing Year ",""),"Actuals")</f>
        <v>2024 Actuals</v>
      </c>
      <c r="M12" s="76" t="s">
        <v>62</v>
      </c>
      <c r="N12" s="14" t="s">
        <v>19</v>
      </c>
      <c r="O12" s="14" t="s">
        <v>20</v>
      </c>
      <c r="P12" s="14" t="s">
        <v>21</v>
      </c>
      <c r="Q12" s="14" t="s">
        <v>22</v>
      </c>
      <c r="R12" s="14" t="s">
        <v>23</v>
      </c>
      <c r="S12" s="14" t="s">
        <v>24</v>
      </c>
      <c r="T12" s="106"/>
      <c r="U12" s="106"/>
      <c r="V12" s="16"/>
      <c r="W12" s="17" t="s">
        <v>69</v>
      </c>
      <c r="X12" s="17" t="s">
        <v>70</v>
      </c>
      <c r="Y12" s="17" t="s">
        <v>71</v>
      </c>
      <c r="Z12" s="17" t="s">
        <v>66</v>
      </c>
      <c r="AA12" s="17" t="s">
        <v>67</v>
      </c>
      <c r="AB12" s="17" t="s">
        <v>68</v>
      </c>
      <c r="AC12" s="17" t="str">
        <f t="shared" ref="AC12:AG12" si="1">CONCATENATE(IF($T1=AC11,"Last Rebasing Year ",""),AC11," Actuals")</f>
        <v>2020 Actuals</v>
      </c>
      <c r="AD12" s="17" t="str">
        <f t="shared" si="1"/>
        <v>2021 Actuals</v>
      </c>
      <c r="AE12" s="17" t="str">
        <f t="shared" si="1"/>
        <v>2022 Actuals</v>
      </c>
      <c r="AF12" s="17" t="str">
        <f t="shared" si="1"/>
        <v>2023 Actuals</v>
      </c>
      <c r="AG12" s="17" t="str">
        <f t="shared" si="1"/>
        <v>2024 Actuals</v>
      </c>
      <c r="AH12" s="17" t="str">
        <f>CONCATENATE(AH11," Actuals")</f>
        <v>2025 Actuals</v>
      </c>
      <c r="AI12" s="17" t="str">
        <f>CONCATENATE("Variance ",AH11," Actual vs. ",AH11-1," Actuals")</f>
        <v>Variance 2025 Actual vs. 2024 Actuals</v>
      </c>
      <c r="AJ12" s="17" t="str">
        <f>CONCATENATE(AJ11," Bridge Year")</f>
        <v>2026 Bridge Year</v>
      </c>
      <c r="AK12" s="18" t="str">
        <f>CONCATENATE("Variance ",AJ11," Bridge vs. ",AJ11-1," Actual")</f>
        <v>Variance 2026 Bridge vs. 2025 Actual</v>
      </c>
      <c r="AL12" s="17" t="s">
        <v>20</v>
      </c>
      <c r="AM12" s="18" t="str">
        <f>CONCATENATE("Variance ",AL11," Bridge vs. ",AL11-1," Bridge")</f>
        <v>Variance 2027 Bridge vs. 2026 Bridge</v>
      </c>
      <c r="AN12" s="17">
        <f>AN11</f>
        <v>2028</v>
      </c>
      <c r="AO12" s="17">
        <f>AO11</f>
        <v>2029</v>
      </c>
      <c r="AP12" s="17">
        <f>AP11</f>
        <v>2030</v>
      </c>
      <c r="AQ12" s="18">
        <f>AQ11</f>
        <v>2031</v>
      </c>
    </row>
    <row r="13" spans="1:43" ht="15.75" thickBot="1" x14ac:dyDescent="0.3">
      <c r="A13" s="19" t="s">
        <v>25</v>
      </c>
      <c r="B13" s="82" t="s">
        <v>26</v>
      </c>
      <c r="C13" s="82" t="s">
        <v>26</v>
      </c>
      <c r="D13" s="82" t="s">
        <v>26</v>
      </c>
      <c r="E13" s="82" t="s">
        <v>26</v>
      </c>
      <c r="F13" s="82" t="s">
        <v>26</v>
      </c>
      <c r="G13" s="82" t="s">
        <v>26</v>
      </c>
      <c r="H13" s="82" t="s">
        <v>26</v>
      </c>
      <c r="I13" s="82" t="s">
        <v>26</v>
      </c>
      <c r="J13" s="82" t="s">
        <v>26</v>
      </c>
      <c r="K13" s="82" t="s">
        <v>26</v>
      </c>
      <c r="L13" s="82" t="s">
        <v>26</v>
      </c>
      <c r="M13" s="82" t="s">
        <v>26</v>
      </c>
      <c r="N13" s="83" t="s">
        <v>26</v>
      </c>
      <c r="O13" s="83" t="s">
        <v>26</v>
      </c>
      <c r="P13" s="83" t="s">
        <v>26</v>
      </c>
      <c r="Q13" s="83" t="s">
        <v>26</v>
      </c>
      <c r="R13" s="83" t="s">
        <v>26</v>
      </c>
      <c r="S13" s="83" t="s">
        <v>26</v>
      </c>
      <c r="T13" s="15"/>
      <c r="U13" s="15"/>
      <c r="V13" s="20" t="s">
        <v>27</v>
      </c>
      <c r="W13" s="21">
        <f t="shared" ref="W13:AC14" si="2">B14</f>
        <v>8614032.6999999993</v>
      </c>
      <c r="X13" s="21">
        <f t="shared" si="2"/>
        <v>8948088.5500000007</v>
      </c>
      <c r="Y13" s="21">
        <f t="shared" si="2"/>
        <v>9339533.3900000006</v>
      </c>
      <c r="Z13" s="21">
        <f t="shared" si="2"/>
        <v>9339947.9199999999</v>
      </c>
      <c r="AA13" s="21">
        <f t="shared" si="2"/>
        <v>10138803.890000001</v>
      </c>
      <c r="AB13" s="21">
        <f t="shared" si="2"/>
        <v>9736211.8025048412</v>
      </c>
      <c r="AC13" s="21">
        <f t="shared" si="2"/>
        <v>9748687.0300000031</v>
      </c>
      <c r="AD13" s="21">
        <f t="shared" ref="AD13:AH14" si="3">I14</f>
        <v>10180786.590000002</v>
      </c>
      <c r="AE13" s="21">
        <f t="shared" si="3"/>
        <v>11638182.449999999</v>
      </c>
      <c r="AF13" s="21">
        <f t="shared" si="3"/>
        <v>11348932.559999999</v>
      </c>
      <c r="AG13" s="21">
        <f t="shared" si="3"/>
        <v>12992985.529999999</v>
      </c>
      <c r="AH13" s="21">
        <f t="shared" si="3"/>
        <v>12109873.880000001</v>
      </c>
      <c r="AI13" s="21">
        <f t="shared" ref="AI13:AI18" si="4">AH13-AG13</f>
        <v>-883111.64999999851</v>
      </c>
      <c r="AJ13" s="21">
        <f>N14</f>
        <v>17019714.552592028</v>
      </c>
      <c r="AK13" s="22">
        <f t="shared" ref="AK13:AK18" si="5">AJ13-AH13</f>
        <v>4909840.6725920271</v>
      </c>
      <c r="AL13" s="21">
        <f>O14</f>
        <v>21300363.636417922</v>
      </c>
      <c r="AM13" s="22">
        <f t="shared" ref="AM13:AM18" si="6">AL13-AJ13</f>
        <v>4280649.0838258937</v>
      </c>
      <c r="AN13" s="85">
        <f t="shared" ref="AN13:AQ14" si="7">P14</f>
        <v>22213707.726745728</v>
      </c>
      <c r="AO13" s="86">
        <f t="shared" si="7"/>
        <v>22796570.817364153</v>
      </c>
      <c r="AP13" s="86">
        <f t="shared" si="7"/>
        <v>22813368.711721502</v>
      </c>
      <c r="AQ13" s="87">
        <f t="shared" si="7"/>
        <v>23290842.517583612</v>
      </c>
    </row>
    <row r="14" spans="1:43" ht="24.75" customHeight="1" x14ac:dyDescent="0.25">
      <c r="A14" s="23" t="s">
        <v>27</v>
      </c>
      <c r="B14" s="24">
        <v>8614032.6999999993</v>
      </c>
      <c r="C14" s="24">
        <v>8948088.5500000007</v>
      </c>
      <c r="D14" s="24">
        <v>9339533.3900000006</v>
      </c>
      <c r="E14" s="24">
        <v>9339947.9199999999</v>
      </c>
      <c r="F14" s="24">
        <v>10138803.890000001</v>
      </c>
      <c r="G14" s="24">
        <v>9736211.8025048412</v>
      </c>
      <c r="H14" s="24">
        <v>9748687.0300000031</v>
      </c>
      <c r="I14" s="24">
        <v>10180786.590000002</v>
      </c>
      <c r="J14" s="24">
        <v>11638182.449999999</v>
      </c>
      <c r="K14" s="24">
        <v>11348932.559999999</v>
      </c>
      <c r="L14" s="24">
        <v>12992985.529999999</v>
      </c>
      <c r="M14" s="24">
        <v>12109873.880000001</v>
      </c>
      <c r="N14" s="24">
        <v>17019714.552592028</v>
      </c>
      <c r="O14" s="24">
        <v>21300363.636417922</v>
      </c>
      <c r="P14" s="24">
        <v>22213707.726745728</v>
      </c>
      <c r="Q14" s="24">
        <v>22796570.817364153</v>
      </c>
      <c r="R14" s="24">
        <v>22813368.711721502</v>
      </c>
      <c r="S14" s="80">
        <v>23290842.517583612</v>
      </c>
      <c r="T14" s="25"/>
      <c r="U14" s="25"/>
      <c r="V14" s="26" t="s">
        <v>28</v>
      </c>
      <c r="W14" s="27">
        <f t="shared" si="2"/>
        <v>5186594.17</v>
      </c>
      <c r="X14" s="27">
        <f t="shared" si="2"/>
        <v>5516964.0800000001</v>
      </c>
      <c r="Y14" s="27">
        <f t="shared" si="2"/>
        <v>5645992.8499999996</v>
      </c>
      <c r="Z14" s="27">
        <f t="shared" si="2"/>
        <v>5685392.4199999999</v>
      </c>
      <c r="AA14" s="27">
        <f t="shared" si="2"/>
        <v>5830874.7200000007</v>
      </c>
      <c r="AB14" s="27">
        <f t="shared" si="2"/>
        <v>5100093.6172883511</v>
      </c>
      <c r="AC14" s="27">
        <f t="shared" si="2"/>
        <v>4229032.21</v>
      </c>
      <c r="AD14" s="27">
        <f t="shared" si="3"/>
        <v>4744305.6500000004</v>
      </c>
      <c r="AE14" s="27">
        <f t="shared" si="3"/>
        <v>4068368.5100000007</v>
      </c>
      <c r="AF14" s="27">
        <f t="shared" si="3"/>
        <v>4203636.55</v>
      </c>
      <c r="AG14" s="27">
        <f t="shared" si="3"/>
        <v>7443163.7000000002</v>
      </c>
      <c r="AH14" s="27">
        <f t="shared" si="3"/>
        <v>7771862.6899999995</v>
      </c>
      <c r="AI14" s="21">
        <f t="shared" si="4"/>
        <v>328698.98999999929</v>
      </c>
      <c r="AJ14" s="27">
        <f>N15</f>
        <v>6525246.8013525307</v>
      </c>
      <c r="AK14" s="22">
        <f t="shared" si="5"/>
        <v>-1246615.8886474688</v>
      </c>
      <c r="AL14" s="21">
        <f>O15</f>
        <v>7161584.0695743887</v>
      </c>
      <c r="AM14" s="22">
        <f t="shared" si="6"/>
        <v>636337.26822185796</v>
      </c>
      <c r="AN14" s="88">
        <f t="shared" si="7"/>
        <v>8553011.8901650701</v>
      </c>
      <c r="AO14" s="27">
        <f t="shared" si="7"/>
        <v>8639723.8763395306</v>
      </c>
      <c r="AP14" s="27">
        <f t="shared" si="7"/>
        <v>8869918.2008947302</v>
      </c>
      <c r="AQ14" s="89">
        <f t="shared" si="7"/>
        <v>9209183.6424233187</v>
      </c>
    </row>
    <row r="15" spans="1:43" ht="24.75" customHeight="1" x14ac:dyDescent="0.25">
      <c r="A15" s="28" t="s">
        <v>29</v>
      </c>
      <c r="B15" s="24">
        <v>5186594.17</v>
      </c>
      <c r="C15" s="24">
        <v>5516964.0800000001</v>
      </c>
      <c r="D15" s="24">
        <v>5645992.8499999996</v>
      </c>
      <c r="E15" s="24">
        <v>5685392.4199999999</v>
      </c>
      <c r="F15" s="24">
        <v>5830874.7200000007</v>
      </c>
      <c r="G15" s="24">
        <v>5100093.6172883511</v>
      </c>
      <c r="H15" s="24">
        <v>4229032.21</v>
      </c>
      <c r="I15" s="24">
        <v>4744305.6500000004</v>
      </c>
      <c r="J15" s="24">
        <v>4068368.5100000007</v>
      </c>
      <c r="K15" s="24">
        <v>4203636.55</v>
      </c>
      <c r="L15" s="24">
        <v>7443163.7000000002</v>
      </c>
      <c r="M15" s="24">
        <v>7771862.6899999995</v>
      </c>
      <c r="N15" s="24">
        <v>6525246.8013525307</v>
      </c>
      <c r="O15" s="24">
        <v>7161584.0695743887</v>
      </c>
      <c r="P15" s="24">
        <v>8553011.8901650701</v>
      </c>
      <c r="Q15" s="24">
        <v>8639723.8763395306</v>
      </c>
      <c r="R15" s="24">
        <v>8869918.2008947302</v>
      </c>
      <c r="S15" s="80">
        <v>9209183.6424233187</v>
      </c>
      <c r="T15" s="25"/>
      <c r="U15" s="25"/>
      <c r="V15" s="26" t="s">
        <v>30</v>
      </c>
      <c r="W15" s="27">
        <f t="shared" ref="W15:AC15" si="8">B19</f>
        <v>9010057.5300000012</v>
      </c>
      <c r="X15" s="27">
        <f t="shared" si="8"/>
        <v>9076697.040000001</v>
      </c>
      <c r="Y15" s="27">
        <f t="shared" si="8"/>
        <v>9396641.370000001</v>
      </c>
      <c r="Z15" s="27">
        <f t="shared" si="8"/>
        <v>10283456.59</v>
      </c>
      <c r="AA15" s="27">
        <f t="shared" si="8"/>
        <v>8374841.4500000002</v>
      </c>
      <c r="AB15" s="27">
        <f t="shared" si="8"/>
        <v>9061139.1798105203</v>
      </c>
      <c r="AC15" s="27">
        <f t="shared" si="8"/>
        <v>11355586.779999999</v>
      </c>
      <c r="AD15" s="27">
        <f t="shared" ref="AD15:AH17" si="9">I19</f>
        <v>10770334.309999999</v>
      </c>
      <c r="AE15" s="27">
        <f t="shared" si="9"/>
        <v>10017118.899999999</v>
      </c>
      <c r="AF15" s="27">
        <f t="shared" si="9"/>
        <v>10583609.41</v>
      </c>
      <c r="AG15" s="27">
        <f t="shared" si="9"/>
        <v>11581087.32</v>
      </c>
      <c r="AH15" s="27">
        <f t="shared" si="9"/>
        <v>14162785.849999998</v>
      </c>
      <c r="AI15" s="21">
        <f t="shared" si="4"/>
        <v>2581698.5299999975</v>
      </c>
      <c r="AJ15" s="27">
        <f>N19</f>
        <v>13066207.046844071</v>
      </c>
      <c r="AK15" s="22">
        <f t="shared" si="5"/>
        <v>-1096578.803155927</v>
      </c>
      <c r="AL15" s="27">
        <f>O19</f>
        <v>13851521.50658321</v>
      </c>
      <c r="AM15" s="22">
        <f t="shared" si="6"/>
        <v>785314.4597391393</v>
      </c>
      <c r="AN15" s="88">
        <f t="shared" ref="AN15:AQ17" si="10">P19</f>
        <v>15537808.686378179</v>
      </c>
      <c r="AO15" s="27">
        <f t="shared" si="10"/>
        <v>15127459.196973702</v>
      </c>
      <c r="AP15" s="27">
        <f t="shared" si="10"/>
        <v>15187400.08723622</v>
      </c>
      <c r="AQ15" s="89">
        <f t="shared" si="10"/>
        <v>15356493.36948235</v>
      </c>
    </row>
    <row r="16" spans="1:43" ht="24.75" customHeight="1" x14ac:dyDescent="0.25">
      <c r="A16" s="29" t="s">
        <v>31</v>
      </c>
      <c r="B16" s="30">
        <f t="shared" ref="B16:G16" si="11">SUM(B14:B15)</f>
        <v>13800626.869999999</v>
      </c>
      <c r="C16" s="30">
        <f t="shared" si="11"/>
        <v>14465052.630000001</v>
      </c>
      <c r="D16" s="30">
        <f t="shared" si="11"/>
        <v>14985526.24</v>
      </c>
      <c r="E16" s="30">
        <f t="shared" si="11"/>
        <v>15025340.34</v>
      </c>
      <c r="F16" s="30">
        <f t="shared" si="11"/>
        <v>15969678.610000001</v>
      </c>
      <c r="G16" s="30">
        <f t="shared" si="11"/>
        <v>14836305.419793192</v>
      </c>
      <c r="H16" s="30">
        <f t="shared" ref="H16:N16" si="12">SUM(H14:H15)</f>
        <v>13977719.240000002</v>
      </c>
      <c r="I16" s="30">
        <f>SUM(I14:I15)</f>
        <v>14925092.240000002</v>
      </c>
      <c r="J16" s="30">
        <f t="shared" si="12"/>
        <v>15706550.960000001</v>
      </c>
      <c r="K16" s="30">
        <f t="shared" si="12"/>
        <v>15552569.109999999</v>
      </c>
      <c r="L16" s="30">
        <f t="shared" si="12"/>
        <v>20436149.23</v>
      </c>
      <c r="M16" s="30">
        <f t="shared" si="12"/>
        <v>19881736.57</v>
      </c>
      <c r="N16" s="30">
        <f t="shared" si="12"/>
        <v>23544961.353944559</v>
      </c>
      <c r="O16" s="30">
        <f>SUM(O14:O15)</f>
        <v>28461947.705992311</v>
      </c>
      <c r="P16" s="30">
        <f>SUM(P14:P15)</f>
        <v>30766719.6169108</v>
      </c>
      <c r="Q16" s="30">
        <f>SUM(Q14:Q15)</f>
        <v>31436294.693703681</v>
      </c>
      <c r="R16" s="30">
        <f>SUM(R14:R15)</f>
        <v>31683286.912616231</v>
      </c>
      <c r="S16" s="31">
        <f>SUM(S14:S15)</f>
        <v>32500026.160006933</v>
      </c>
      <c r="T16" s="32"/>
      <c r="U16" s="32"/>
      <c r="V16" s="26" t="s">
        <v>32</v>
      </c>
      <c r="W16" s="27">
        <f t="shared" ref="W16:AC16" si="13">B20</f>
        <v>264877.77</v>
      </c>
      <c r="X16" s="27">
        <f t="shared" si="13"/>
        <v>285872.05</v>
      </c>
      <c r="Y16" s="27">
        <f t="shared" si="13"/>
        <v>285277.03000000003</v>
      </c>
      <c r="Z16" s="27">
        <f t="shared" si="13"/>
        <v>268971.03999999998</v>
      </c>
      <c r="AA16" s="27">
        <f t="shared" si="13"/>
        <v>280707.12</v>
      </c>
      <c r="AB16" s="27">
        <f t="shared" si="13"/>
        <v>132376.36415939001</v>
      </c>
      <c r="AC16" s="27">
        <f t="shared" si="13"/>
        <v>10083.5</v>
      </c>
      <c r="AD16" s="27">
        <f t="shared" si="9"/>
        <v>209037.49</v>
      </c>
      <c r="AE16" s="27">
        <f t="shared" si="9"/>
        <v>572372.72</v>
      </c>
      <c r="AF16" s="27">
        <f t="shared" si="9"/>
        <v>524888.58000000007</v>
      </c>
      <c r="AG16" s="27">
        <f t="shared" si="9"/>
        <v>576712.71000000008</v>
      </c>
      <c r="AH16" s="27">
        <f t="shared" si="9"/>
        <v>732386.26000000013</v>
      </c>
      <c r="AI16" s="21">
        <f t="shared" si="4"/>
        <v>155673.55000000005</v>
      </c>
      <c r="AJ16" s="27">
        <f>N20</f>
        <v>906644.52532789984</v>
      </c>
      <c r="AK16" s="22">
        <f t="shared" si="5"/>
        <v>174258.26532789972</v>
      </c>
      <c r="AL16" s="27">
        <f>O20</f>
        <v>973788.47976212983</v>
      </c>
      <c r="AM16" s="22">
        <f t="shared" si="6"/>
        <v>67143.954434229992</v>
      </c>
      <c r="AN16" s="88">
        <f t="shared" si="10"/>
        <v>1174353.8087519598</v>
      </c>
      <c r="AO16" s="27">
        <f t="shared" si="10"/>
        <v>1196678.9446747999</v>
      </c>
      <c r="AP16" s="27">
        <f t="shared" si="10"/>
        <v>1220492.5235682901</v>
      </c>
      <c r="AQ16" s="89">
        <f t="shared" si="10"/>
        <v>1241552.5190652502</v>
      </c>
    </row>
    <row r="17" spans="1:51" ht="24.75" customHeight="1" x14ac:dyDescent="0.25">
      <c r="A17" s="28" t="s">
        <v>33</v>
      </c>
      <c r="B17" s="33" t="str">
        <f>IFERROR((B16-#REF!)/#REF!,"")</f>
        <v/>
      </c>
      <c r="C17" s="33">
        <f t="shared" ref="C17" si="14">IFERROR((C16-B16)/B16,"")</f>
        <v>4.8144607216672158E-2</v>
      </c>
      <c r="D17" s="33">
        <f t="shared" ref="D17" si="15">IFERROR((D16-C16)/C16,"")</f>
        <v>3.5981452906749596E-2</v>
      </c>
      <c r="E17" s="33">
        <f t="shared" ref="E17" si="16">IFERROR((E16-D16)/D16,"")</f>
        <v>2.656836961369174E-3</v>
      </c>
      <c r="F17" s="33">
        <f t="shared" ref="F17" si="17">IFERROR((F16-E16)/E16,"")</f>
        <v>6.2849709133443926E-2</v>
      </c>
      <c r="G17" s="33">
        <f t="shared" ref="G17" si="18">IFERROR((G16-F16)/F16,"")</f>
        <v>-7.0970319308561763E-2</v>
      </c>
      <c r="H17" s="33">
        <f t="shared" ref="H17" si="19">IFERROR((H16-G16)/G16,"")</f>
        <v>-5.7870619099533088E-2</v>
      </c>
      <c r="I17" s="33">
        <f t="shared" ref="I17:S17" si="20">IFERROR((I16-H16)/H16,"")</f>
        <v>6.7777366516913948E-2</v>
      </c>
      <c r="J17" s="33">
        <f t="shared" si="20"/>
        <v>5.2358719626914595E-2</v>
      </c>
      <c r="K17" s="33">
        <f t="shared" si="20"/>
        <v>-9.8036704806897645E-3</v>
      </c>
      <c r="L17" s="33">
        <f t="shared" si="20"/>
        <v>0.31400472072874147</v>
      </c>
      <c r="M17" s="33">
        <f t="shared" si="20"/>
        <v>-2.7129017984764449E-2</v>
      </c>
      <c r="N17" s="33">
        <f t="shared" si="20"/>
        <v>0.18425074545410086</v>
      </c>
      <c r="O17" s="33">
        <f t="shared" si="20"/>
        <v>0.20883391049711766</v>
      </c>
      <c r="P17" s="33">
        <f t="shared" si="20"/>
        <v>8.0977308184472838E-2</v>
      </c>
      <c r="Q17" s="33">
        <f t="shared" si="20"/>
        <v>2.1762966124762022E-2</v>
      </c>
      <c r="R17" s="33">
        <f t="shared" si="20"/>
        <v>7.8569125693435798E-3</v>
      </c>
      <c r="S17" s="34">
        <f t="shared" si="20"/>
        <v>2.5778236003205786E-2</v>
      </c>
      <c r="T17" s="35"/>
      <c r="U17" s="36"/>
      <c r="V17" s="26" t="s">
        <v>34</v>
      </c>
      <c r="W17" s="27">
        <f t="shared" ref="W17:AC17" si="21">B21</f>
        <v>13720797.510000002</v>
      </c>
      <c r="X17" s="27">
        <f>C21</f>
        <v>14000951.339999998</v>
      </c>
      <c r="Y17" s="27">
        <f t="shared" si="21"/>
        <v>14639434.609999999</v>
      </c>
      <c r="Z17" s="27">
        <f t="shared" si="21"/>
        <v>14483553.73</v>
      </c>
      <c r="AA17" s="27">
        <f t="shared" si="21"/>
        <v>14004045.790000003</v>
      </c>
      <c r="AB17" s="27">
        <f t="shared" si="21"/>
        <v>17254807.187179897</v>
      </c>
      <c r="AC17" s="27">
        <f t="shared" si="21"/>
        <v>16960746.09</v>
      </c>
      <c r="AD17" s="27">
        <f t="shared" si="9"/>
        <v>17011245.700000003</v>
      </c>
      <c r="AE17" s="27">
        <f t="shared" si="9"/>
        <v>18622422.630000003</v>
      </c>
      <c r="AF17" s="27">
        <f t="shared" si="9"/>
        <v>20001126.609999999</v>
      </c>
      <c r="AG17" s="27">
        <f t="shared" si="9"/>
        <v>21006426.220000003</v>
      </c>
      <c r="AH17" s="27">
        <f t="shared" si="9"/>
        <v>26248320.75</v>
      </c>
      <c r="AI17" s="21">
        <f t="shared" si="4"/>
        <v>5241894.5299999975</v>
      </c>
      <c r="AJ17" s="27">
        <f>N21</f>
        <v>26573366.500489473</v>
      </c>
      <c r="AK17" s="22">
        <f t="shared" si="5"/>
        <v>325045.75048947334</v>
      </c>
      <c r="AL17" s="27">
        <f>O21</f>
        <v>37578329</v>
      </c>
      <c r="AM17" s="22">
        <f t="shared" si="6"/>
        <v>11004962.499510527</v>
      </c>
      <c r="AN17" s="88">
        <f t="shared" si="10"/>
        <v>39987785</v>
      </c>
      <c r="AO17" s="27">
        <f t="shared" si="10"/>
        <v>41671421</v>
      </c>
      <c r="AP17" s="27">
        <f t="shared" si="10"/>
        <v>43246462</v>
      </c>
      <c r="AQ17" s="89">
        <f t="shared" si="10"/>
        <v>44665274</v>
      </c>
    </row>
    <row r="18" spans="1:51" ht="24.75" customHeight="1" x14ac:dyDescent="0.25">
      <c r="A18" s="37" t="s">
        <v>35</v>
      </c>
      <c r="B18" s="98"/>
      <c r="C18" s="98"/>
      <c r="D18" s="98"/>
      <c r="E18" s="98"/>
      <c r="F18" s="98"/>
      <c r="G18" s="98"/>
      <c r="H18" s="38"/>
      <c r="I18" s="38"/>
      <c r="J18" s="38"/>
      <c r="K18" s="38"/>
      <c r="L18" s="38"/>
      <c r="M18" s="38"/>
      <c r="N18" s="38" t="str">
        <f>IFERROR((N16-INDEX(H16:N16,1,MATCH(RebaseYear,H11:N11,0)))/INDEX(H16:N16,1,MATCH(RebaseYear,H11:N11,0)),"")</f>
        <v/>
      </c>
      <c r="O18" s="38" t="str">
        <f>IFERROR((O16-INDEX(H16:O16,1,MATCH(RebaseYear,H11:O11,0)))/INDEX(H16:O16,1,MATCH(RebaseYear,H11:O11,0)),"")</f>
        <v/>
      </c>
      <c r="P18" s="38" t="str">
        <f>IFERROR((P16-INDEX(H16:P16,1,MATCH(RebaseYear,H11:P11,0)))/INDEX(H16:P16,1,MATCH(RebaseYear,H11:P11,0)),"")</f>
        <v/>
      </c>
      <c r="Q18" s="38" t="str">
        <f>IFERROR((Q16-INDEX(H16:Q16,1,MATCH(RebaseYear,H11:Q11,0)))/INDEX(H16:Q16,1,MATCH(RebaseYear,H11:Q11,0)),"")</f>
        <v/>
      </c>
      <c r="R18" s="38" t="str">
        <f>IFERROR((R16-INDEX(H16:R16,1,MATCH(RebaseYear,H11:R11,0)))/INDEX(H16:R16,1,MATCH(RebaseYear,H11:R11,0)),"")</f>
        <v/>
      </c>
      <c r="S18" s="39" t="str">
        <f>IFERROR((S16-INDEX(H16:S16,1,MATCH(RebaseYear,H11:S11,0)))/INDEX(H16:S16,1,MATCH(RebaseYear,H11:S11,0)),"")</f>
        <v/>
      </c>
      <c r="T18" s="36"/>
      <c r="U18" s="36"/>
      <c r="V18" s="26" t="s">
        <v>36</v>
      </c>
      <c r="W18" s="27">
        <f t="shared" ref="W18:AC18" si="22">B25</f>
        <v>36796359.68</v>
      </c>
      <c r="X18" s="27">
        <f t="shared" si="22"/>
        <v>37828573.060000002</v>
      </c>
      <c r="Y18" s="27">
        <f t="shared" si="22"/>
        <v>39306879.25</v>
      </c>
      <c r="Z18" s="27">
        <f t="shared" si="22"/>
        <v>40061321.700000003</v>
      </c>
      <c r="AA18" s="27">
        <f t="shared" si="22"/>
        <v>38629272.970000006</v>
      </c>
      <c r="AB18" s="27">
        <f t="shared" si="22"/>
        <v>41284628.150942996</v>
      </c>
      <c r="AC18" s="27">
        <f t="shared" si="22"/>
        <v>42304135.609999999</v>
      </c>
      <c r="AD18" s="27">
        <f>I25</f>
        <v>42915709.740000002</v>
      </c>
      <c r="AE18" s="27">
        <f>J25</f>
        <v>44918465.210000001</v>
      </c>
      <c r="AF18" s="27">
        <f>K25</f>
        <v>46662193.710000001</v>
      </c>
      <c r="AG18" s="27">
        <f>L25</f>
        <v>53600375.480000004</v>
      </c>
      <c r="AH18" s="27">
        <f>M25</f>
        <v>61025229.43</v>
      </c>
      <c r="AI18" s="21">
        <f t="shared" si="4"/>
        <v>7424853.9499999955</v>
      </c>
      <c r="AJ18" s="27">
        <f>N25</f>
        <v>64091179.426605999</v>
      </c>
      <c r="AK18" s="22">
        <f t="shared" si="5"/>
        <v>3065949.9966059998</v>
      </c>
      <c r="AL18" s="27">
        <f>O25</f>
        <v>80865586.692337647</v>
      </c>
      <c r="AM18" s="22">
        <f t="shared" si="6"/>
        <v>16774407.265731648</v>
      </c>
      <c r="AN18" s="88">
        <f>P25</f>
        <v>87466667.112040937</v>
      </c>
      <c r="AO18" s="27">
        <f>Q25</f>
        <v>89431853.835352182</v>
      </c>
      <c r="AP18" s="27">
        <f>R25</f>
        <v>91337641.523420751</v>
      </c>
      <c r="AQ18" s="89">
        <f>S25</f>
        <v>93763346.04855454</v>
      </c>
    </row>
    <row r="19" spans="1:51" ht="24.75" customHeight="1" x14ac:dyDescent="0.25">
      <c r="A19" s="28" t="s">
        <v>37</v>
      </c>
      <c r="B19" s="24">
        <v>9010057.5300000012</v>
      </c>
      <c r="C19" s="24">
        <v>9076697.040000001</v>
      </c>
      <c r="D19" s="24">
        <v>9396641.370000001</v>
      </c>
      <c r="E19" s="24">
        <v>10283456.59</v>
      </c>
      <c r="F19" s="24">
        <v>8374841.4500000002</v>
      </c>
      <c r="G19" s="24">
        <v>9061139.1798105203</v>
      </c>
      <c r="H19" s="24">
        <v>11355586.779999999</v>
      </c>
      <c r="I19" s="24">
        <v>10770334.309999999</v>
      </c>
      <c r="J19" s="24">
        <v>10017118.899999999</v>
      </c>
      <c r="K19" s="24">
        <v>10583609.41</v>
      </c>
      <c r="L19" s="24">
        <v>11581087.32</v>
      </c>
      <c r="M19" s="24">
        <v>14162785.849999998</v>
      </c>
      <c r="N19" s="24">
        <v>13066207.046844071</v>
      </c>
      <c r="O19" s="24">
        <v>13851521.50658321</v>
      </c>
      <c r="P19" s="24">
        <v>15537808.686378179</v>
      </c>
      <c r="Q19" s="24">
        <v>15127459.196973702</v>
      </c>
      <c r="R19" s="24">
        <v>15187400.08723622</v>
      </c>
      <c r="S19" s="79">
        <v>15356493.36948235</v>
      </c>
      <c r="T19" s="40"/>
      <c r="U19" s="25"/>
      <c r="V19" s="26" t="s">
        <v>38</v>
      </c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24"/>
      <c r="AI19" s="41"/>
      <c r="AJ19" s="24"/>
      <c r="AK19" s="42"/>
      <c r="AL19" s="84"/>
      <c r="AM19" s="42"/>
      <c r="AN19" s="84"/>
      <c r="AO19" s="24"/>
      <c r="AP19" s="24"/>
      <c r="AQ19" s="80"/>
    </row>
    <row r="20" spans="1:51" ht="24.75" customHeight="1" x14ac:dyDescent="0.25">
      <c r="A20" s="28" t="s">
        <v>39</v>
      </c>
      <c r="B20" s="24">
        <v>264877.77</v>
      </c>
      <c r="C20" s="24">
        <v>285872.05</v>
      </c>
      <c r="D20" s="24">
        <v>285277.03000000003</v>
      </c>
      <c r="E20" s="24">
        <v>268971.03999999998</v>
      </c>
      <c r="F20" s="24">
        <v>280707.12</v>
      </c>
      <c r="G20" s="24">
        <v>132376.36415939001</v>
      </c>
      <c r="H20" s="24">
        <v>10083.5</v>
      </c>
      <c r="I20" s="24">
        <v>209037.49</v>
      </c>
      <c r="J20" s="24">
        <v>572372.72</v>
      </c>
      <c r="K20" s="24">
        <v>524888.58000000007</v>
      </c>
      <c r="L20" s="24">
        <v>576712.71000000008</v>
      </c>
      <c r="M20" s="24">
        <v>732386.26000000013</v>
      </c>
      <c r="N20" s="24">
        <v>906644.52532789984</v>
      </c>
      <c r="O20" s="24">
        <v>973788.47976212983</v>
      </c>
      <c r="P20" s="24">
        <v>1174353.8087519598</v>
      </c>
      <c r="Q20" s="24">
        <v>1196678.9446747999</v>
      </c>
      <c r="R20" s="24">
        <v>1220492.5235682901</v>
      </c>
      <c r="S20" s="80">
        <v>1241552.5190652502</v>
      </c>
      <c r="T20" s="40"/>
      <c r="U20" s="25"/>
      <c r="V20" s="26" t="s">
        <v>40</v>
      </c>
      <c r="W20" s="21">
        <f t="shared" ref="W20:AC20" si="23">IF(W11&lt;RebaseYear, 0, W18-W19)</f>
        <v>36796359.68</v>
      </c>
      <c r="X20" s="21">
        <f t="shared" si="23"/>
        <v>37828573.060000002</v>
      </c>
      <c r="Y20" s="21">
        <f t="shared" si="23"/>
        <v>39306879.25</v>
      </c>
      <c r="Z20" s="21">
        <f t="shared" si="23"/>
        <v>40061321.700000003</v>
      </c>
      <c r="AA20" s="21">
        <f t="shared" si="23"/>
        <v>38629272.970000006</v>
      </c>
      <c r="AB20" s="21">
        <f t="shared" si="23"/>
        <v>41284628.150942996</v>
      </c>
      <c r="AC20" s="21">
        <f t="shared" si="23"/>
        <v>42304135.609999999</v>
      </c>
      <c r="AD20" s="21">
        <f t="shared" ref="AD20:AJ20" si="24">IF(AD11&lt;RebaseYear, 0, AD18-AD19)</f>
        <v>42915709.740000002</v>
      </c>
      <c r="AE20" s="21">
        <f t="shared" si="24"/>
        <v>44918465.210000001</v>
      </c>
      <c r="AF20" s="21">
        <f t="shared" si="24"/>
        <v>46662193.710000001</v>
      </c>
      <c r="AG20" s="21">
        <f t="shared" si="24"/>
        <v>53600375.480000004</v>
      </c>
      <c r="AH20" s="21">
        <f t="shared" si="24"/>
        <v>61025229.43</v>
      </c>
      <c r="AI20" s="21">
        <f t="shared" si="24"/>
        <v>7424853.9499999955</v>
      </c>
      <c r="AJ20" s="21">
        <f t="shared" si="24"/>
        <v>64091179.426605999</v>
      </c>
      <c r="AK20" s="22">
        <f t="shared" ref="AK20:AQ20" si="25">IF(AK11&lt;RebaseYear, 0, AK18-AK19)</f>
        <v>3065949.9966059998</v>
      </c>
      <c r="AL20" s="21">
        <f t="shared" si="25"/>
        <v>80865586.692337647</v>
      </c>
      <c r="AM20" s="22">
        <f t="shared" si="25"/>
        <v>16774407.265731648</v>
      </c>
      <c r="AN20" s="21">
        <f t="shared" si="25"/>
        <v>87466667.112040937</v>
      </c>
      <c r="AO20" s="21">
        <f t="shared" si="25"/>
        <v>89431853.835352182</v>
      </c>
      <c r="AP20" s="21">
        <f t="shared" si="25"/>
        <v>91337641.523420751</v>
      </c>
      <c r="AQ20" s="89">
        <f t="shared" si="25"/>
        <v>93763346.04855454</v>
      </c>
    </row>
    <row r="21" spans="1:51" s="47" customFormat="1" ht="24.75" customHeight="1" x14ac:dyDescent="0.25">
      <c r="A21" s="43" t="s">
        <v>41</v>
      </c>
      <c r="B21" s="24">
        <v>13720797.510000002</v>
      </c>
      <c r="C21" s="24">
        <v>14000951.339999998</v>
      </c>
      <c r="D21" s="24">
        <v>14639434.609999999</v>
      </c>
      <c r="E21" s="24">
        <v>14483553.73</v>
      </c>
      <c r="F21" s="24">
        <v>14004045.790000003</v>
      </c>
      <c r="G21" s="24">
        <v>17254807.187179897</v>
      </c>
      <c r="H21" s="24">
        <v>16960746.09</v>
      </c>
      <c r="I21" s="24">
        <v>17011245.700000003</v>
      </c>
      <c r="J21" s="24">
        <v>18622422.630000003</v>
      </c>
      <c r="K21" s="24">
        <v>20001126.609999999</v>
      </c>
      <c r="L21" s="24">
        <v>21006426.220000003</v>
      </c>
      <c r="M21" s="24">
        <v>26248320.75</v>
      </c>
      <c r="N21" s="24">
        <v>26573366.500489473</v>
      </c>
      <c r="O21" s="24">
        <v>37578329</v>
      </c>
      <c r="P21" s="24">
        <v>39987785</v>
      </c>
      <c r="Q21" s="24">
        <v>41671421</v>
      </c>
      <c r="R21" s="24">
        <v>43246462</v>
      </c>
      <c r="S21" s="80">
        <v>44665274</v>
      </c>
      <c r="T21" s="40"/>
      <c r="U21" s="25"/>
      <c r="V21" s="44" t="s">
        <v>42</v>
      </c>
      <c r="W21" s="45"/>
      <c r="X21" s="45">
        <f>X20-W20</f>
        <v>1032213.3800000027</v>
      </c>
      <c r="Y21" s="45">
        <f t="shared" ref="Y21:AA21" si="26">Y20-X20</f>
        <v>1478306.1899999976</v>
      </c>
      <c r="Z21" s="45">
        <f t="shared" si="26"/>
        <v>754442.45000000298</v>
      </c>
      <c r="AA21" s="45">
        <f t="shared" si="26"/>
        <v>-1432048.7299999967</v>
      </c>
      <c r="AB21" s="45">
        <f>AB20-AA20</f>
        <v>2655355.1809429899</v>
      </c>
      <c r="AC21" s="45">
        <f t="shared" ref="AC21" si="27">IF(AC11&lt;=RebaseYear, 0, AC20-AB20)</f>
        <v>1019507.4590570033</v>
      </c>
      <c r="AD21" s="45">
        <f t="shared" ref="AD21:AI21" si="28">IF(AD11&lt;=RebaseYear, 0, AD20-AC20)</f>
        <v>611574.13000000268</v>
      </c>
      <c r="AE21" s="45">
        <f t="shared" si="28"/>
        <v>2002755.4699999988</v>
      </c>
      <c r="AF21" s="45">
        <f t="shared" si="28"/>
        <v>1743728.5</v>
      </c>
      <c r="AG21" s="45">
        <f t="shared" si="28"/>
        <v>6938181.7700000033</v>
      </c>
      <c r="AH21" s="45">
        <f t="shared" si="28"/>
        <v>7424853.9499999955</v>
      </c>
      <c r="AI21" s="45">
        <f t="shared" si="28"/>
        <v>0</v>
      </c>
      <c r="AJ21" s="45">
        <f>IF(AJ11&lt;=RebaseYear, 0, AJ20-AH20)</f>
        <v>3065949.9966059998</v>
      </c>
      <c r="AK21" s="46"/>
      <c r="AL21" s="45">
        <f>IF(AL11&lt;=RebaseYear, 0, AL20-AJ20)</f>
        <v>16774407.265731648</v>
      </c>
      <c r="AM21" s="46"/>
      <c r="AN21" s="45">
        <f>AN20-AL20</f>
        <v>6601080.4197032899</v>
      </c>
      <c r="AO21" s="45">
        <f>AO20-AN20</f>
        <v>1965186.7233112454</v>
      </c>
      <c r="AP21" s="45">
        <f t="shared" ref="AP21:AQ21" si="29">AP20-AO20</f>
        <v>1905787.6880685687</v>
      </c>
      <c r="AQ21" s="90">
        <f t="shared" si="29"/>
        <v>2425704.5251337886</v>
      </c>
    </row>
    <row r="22" spans="1:51" s="47" customFormat="1" ht="24.75" customHeight="1" x14ac:dyDescent="0.25">
      <c r="A22" s="48" t="s">
        <v>31</v>
      </c>
      <c r="B22" s="49">
        <f t="shared" ref="B22:G22" si="30">SUM(B19:B21)</f>
        <v>22995732.810000002</v>
      </c>
      <c r="C22" s="49">
        <f t="shared" si="30"/>
        <v>23363520.43</v>
      </c>
      <c r="D22" s="49">
        <f t="shared" si="30"/>
        <v>24321353.009999998</v>
      </c>
      <c r="E22" s="49">
        <f t="shared" si="30"/>
        <v>25035981.359999999</v>
      </c>
      <c r="F22" s="49">
        <f t="shared" si="30"/>
        <v>22659594.360000003</v>
      </c>
      <c r="G22" s="49">
        <f t="shared" si="30"/>
        <v>26448322.731149808</v>
      </c>
      <c r="H22" s="49">
        <f t="shared" ref="H22:S22" si="31">SUM(H19:H21)</f>
        <v>28326416.369999997</v>
      </c>
      <c r="I22" s="49">
        <f t="shared" si="31"/>
        <v>27990617.5</v>
      </c>
      <c r="J22" s="49">
        <f t="shared" si="31"/>
        <v>29211914.25</v>
      </c>
      <c r="K22" s="49">
        <f t="shared" si="31"/>
        <v>31109624.600000001</v>
      </c>
      <c r="L22" s="49">
        <f t="shared" si="31"/>
        <v>33164226.250000004</v>
      </c>
      <c r="M22" s="49">
        <f t="shared" si="31"/>
        <v>41143492.859999999</v>
      </c>
      <c r="N22" s="49">
        <f t="shared" si="31"/>
        <v>40546218.072661445</v>
      </c>
      <c r="O22" s="49">
        <f t="shared" si="31"/>
        <v>52403638.986345336</v>
      </c>
      <c r="P22" s="49">
        <f t="shared" si="31"/>
        <v>56699947.495130137</v>
      </c>
      <c r="Q22" s="49">
        <f t="shared" si="31"/>
        <v>57995559.141648501</v>
      </c>
      <c r="R22" s="49">
        <f t="shared" si="31"/>
        <v>59654354.610804513</v>
      </c>
      <c r="S22" s="50">
        <f t="shared" si="31"/>
        <v>61263319.888547599</v>
      </c>
      <c r="T22" s="40"/>
      <c r="U22" s="25"/>
      <c r="V22" s="44" t="s">
        <v>43</v>
      </c>
      <c r="W22" s="51"/>
      <c r="X22" s="51">
        <f t="shared" ref="X22:AC22" si="32">X21/W20</f>
        <v>2.8052051588164133E-2</v>
      </c>
      <c r="Y22" s="51">
        <f t="shared" si="32"/>
        <v>3.9079089440018054E-2</v>
      </c>
      <c r="Z22" s="51">
        <f t="shared" si="32"/>
        <v>1.919364916257001E-2</v>
      </c>
      <c r="AA22" s="51">
        <f t="shared" si="32"/>
        <v>-3.5746417472791385E-2</v>
      </c>
      <c r="AB22" s="51">
        <f t="shared" si="32"/>
        <v>6.8739455257290846E-2</v>
      </c>
      <c r="AC22" s="51">
        <f t="shared" si="32"/>
        <v>2.469460195522474E-2</v>
      </c>
      <c r="AD22" s="51">
        <f>AD21/AC20</f>
        <v>1.4456603856371826E-2</v>
      </c>
      <c r="AE22" s="51">
        <f>AE21/AD20</f>
        <v>4.666718742701606E-2</v>
      </c>
      <c r="AF22" s="51">
        <f>AF21/AE20</f>
        <v>3.8819859312820004E-2</v>
      </c>
      <c r="AG22" s="51">
        <f>AG21/AF20</f>
        <v>0.14868957540059047</v>
      </c>
      <c r="AH22" s="51">
        <f>AH21/AG20</f>
        <v>0.13852242420895808</v>
      </c>
      <c r="AI22" s="51"/>
      <c r="AJ22" s="51">
        <f>AJ21/AH20</f>
        <v>5.024069594237001E-2</v>
      </c>
      <c r="AK22" s="46"/>
      <c r="AL22" s="51">
        <f>AL21/AJ20</f>
        <v>0.26172723634990763</v>
      </c>
      <c r="AM22" s="46"/>
      <c r="AN22" s="51">
        <f>AN21/AL20</f>
        <v>8.1630279204154582E-2</v>
      </c>
      <c r="AO22" s="51">
        <f>AO21/AN20</f>
        <v>2.2467835899062302E-2</v>
      </c>
      <c r="AP22" s="51">
        <f>AP21/AO20</f>
        <v>2.130994278143003E-2</v>
      </c>
      <c r="AQ22" s="91">
        <f>AQ21/AP20</f>
        <v>2.6557555950377707E-2</v>
      </c>
    </row>
    <row r="23" spans="1:51" ht="24.75" customHeight="1" x14ac:dyDescent="0.25">
      <c r="A23" s="28" t="s">
        <v>33</v>
      </c>
      <c r="B23" s="34" t="str">
        <f>IFERROR((B22-#REF!)/#REF!,"")</f>
        <v/>
      </c>
      <c r="C23" s="34">
        <f t="shared" ref="C23" si="33">IFERROR((C22-B22)/B22,"")</f>
        <v>1.5993733404314908E-2</v>
      </c>
      <c r="D23" s="34">
        <f t="shared" ref="D23" si="34">IFERROR((D22-C22)/C22,"")</f>
        <v>4.099692864651041E-2</v>
      </c>
      <c r="E23" s="34">
        <f t="shared" ref="E23" si="35">IFERROR((E22-D22)/D22,"")</f>
        <v>2.9382754721999801E-2</v>
      </c>
      <c r="F23" s="34">
        <f t="shared" ref="F23" si="36">IFERROR((F22-E22)/E22,"")</f>
        <v>-9.4918867602160423E-2</v>
      </c>
      <c r="G23" s="34">
        <f t="shared" ref="G23" si="37">IFERROR((G22-F22)/F22,"")</f>
        <v>0.16720195035079188</v>
      </c>
      <c r="H23" s="34">
        <f t="shared" ref="H23" si="38">IFERROR((H22-G22)/G22,"")</f>
        <v>7.1009933519838822E-2</v>
      </c>
      <c r="I23" s="34">
        <f t="shared" ref="I23:S23" si="39">IFERROR((I22-H22)/H22,"")</f>
        <v>-1.1854618869319308E-2</v>
      </c>
      <c r="J23" s="34">
        <f t="shared" si="39"/>
        <v>4.3632361808380968E-2</v>
      </c>
      <c r="K23" s="34">
        <f t="shared" si="39"/>
        <v>6.4963573895195914E-2</v>
      </c>
      <c r="L23" s="34">
        <f t="shared" si="39"/>
        <v>6.604392294724129E-2</v>
      </c>
      <c r="M23" s="34">
        <f t="shared" si="39"/>
        <v>0.24059860615623424</v>
      </c>
      <c r="N23" s="34">
        <f t="shared" si="39"/>
        <v>-1.4516871218759109E-2</v>
      </c>
      <c r="O23" s="34">
        <f t="shared" si="39"/>
        <v>0.29244209391945325</v>
      </c>
      <c r="P23" s="34">
        <f t="shared" si="39"/>
        <v>8.1984926846478678E-2</v>
      </c>
      <c r="Q23" s="34">
        <f t="shared" si="39"/>
        <v>2.2850314749050561E-2</v>
      </c>
      <c r="R23" s="34">
        <f t="shared" si="39"/>
        <v>2.8602111846263361E-2</v>
      </c>
      <c r="S23" s="34">
        <f t="shared" si="39"/>
        <v>2.6971463998567386E-2</v>
      </c>
      <c r="T23" s="40"/>
      <c r="U23" s="25"/>
      <c r="V23" s="26" t="s">
        <v>44</v>
      </c>
      <c r="W23" s="41"/>
      <c r="X23" s="41"/>
      <c r="Y23" s="41"/>
      <c r="Z23" s="41"/>
      <c r="AA23" s="41"/>
      <c r="AB23" s="41"/>
      <c r="AC23" s="52"/>
      <c r="AD23" s="52"/>
      <c r="AE23" s="52"/>
      <c r="AF23" s="52"/>
      <c r="AG23" s="52"/>
      <c r="AH23" s="52"/>
      <c r="AI23" s="52"/>
      <c r="AJ23" s="53"/>
      <c r="AK23" s="54"/>
      <c r="AL23" s="53">
        <f>(AL20-AG20)/AG20</f>
        <v>0.50867575027550238</v>
      </c>
      <c r="AM23" s="54"/>
      <c r="AN23" s="26"/>
      <c r="AO23" s="52"/>
      <c r="AP23" s="27"/>
      <c r="AQ23" s="54"/>
    </row>
    <row r="24" spans="1:51" ht="24.75" customHeight="1" x14ac:dyDescent="0.25">
      <c r="A24" s="28" t="s">
        <v>35</v>
      </c>
      <c r="B24" s="99"/>
      <c r="C24" s="99"/>
      <c r="D24" s="99"/>
      <c r="E24" s="99"/>
      <c r="F24" s="99"/>
      <c r="G24" s="99"/>
      <c r="H24" s="55"/>
      <c r="I24" s="55"/>
      <c r="J24" s="55"/>
      <c r="K24" s="55"/>
      <c r="L24" s="55"/>
      <c r="M24" s="55"/>
      <c r="N24" s="55" t="str">
        <f>IFERROR((N22-INDEX(H22:N22,1,MATCH(RebaseYear,H11:N11,0)))/INDEX(H22:N22,1,MATCH(RebaseYear,H11:N11,0)),"")</f>
        <v/>
      </c>
      <c r="O24" s="55" t="str">
        <f>IFERROR((O22-INDEX(H22:O22,1,MATCH(RebaseYear,H11:O11,0)))/INDEX(H22:O22,1,MATCH(RebaseYear,H11:O11,0)),"")</f>
        <v/>
      </c>
      <c r="P24" s="55" t="str">
        <f>IFERROR((P22-INDEX(H22:P22,1,MATCH(RebaseYear,H11:P11,0)))/INDEX(H22:P22,1,MATCH(RebaseYear,H11:P11,0)),"")</f>
        <v/>
      </c>
      <c r="Q24" s="55" t="str">
        <f>IFERROR((Q22-INDEX(H22:Q22,1,MATCH(RebaseYear,H11:Q11,0)))/INDEX(H22:Q22,1,MATCH(RebaseYear,H11:Q11,0)),"")</f>
        <v/>
      </c>
      <c r="R24" s="55" t="str">
        <f>IFERROR((R22-INDEX(H22:R22,1,MATCH(RebaseYear,H11:R11,0)))/INDEX(H22:R22,1,MATCH(RebaseYear,H11:R11,0)),"")</f>
        <v/>
      </c>
      <c r="S24" s="39" t="str">
        <f>IFERROR((S22-INDEX(H22:S22,1,MATCH(RebaseYear,H11:S11,0)))/INDEX(H22:S22,1,MATCH(RebaseYear,H11:S11,0)),"")</f>
        <v/>
      </c>
      <c r="T24" s="36"/>
      <c r="U24" s="36"/>
      <c r="V24" s="26" t="s">
        <v>45</v>
      </c>
      <c r="W24" s="41"/>
      <c r="X24" s="41"/>
      <c r="Y24" s="41"/>
      <c r="Z24" s="41"/>
      <c r="AA24" s="41"/>
      <c r="AB24" s="41"/>
      <c r="AC24" s="52"/>
      <c r="AD24" s="52"/>
      <c r="AE24" s="52"/>
      <c r="AF24" s="52"/>
      <c r="AG24" s="52"/>
      <c r="AH24" s="52"/>
      <c r="AI24" s="52"/>
      <c r="AJ24" s="53">
        <f>AVERAGE(AC22:AJ22)</f>
        <v>6.6012992586193017E-2</v>
      </c>
      <c r="AK24" s="56"/>
      <c r="AL24" s="53">
        <f>AVERAGE(AC22:AL22)</f>
        <v>9.0477273056657342E-2</v>
      </c>
      <c r="AM24" s="56"/>
      <c r="AN24" s="26"/>
      <c r="AO24" s="52"/>
      <c r="AP24" s="27"/>
      <c r="AQ24" s="56"/>
    </row>
    <row r="25" spans="1:51" ht="24.75" customHeight="1" thickBot="1" x14ac:dyDescent="0.3">
      <c r="A25" s="29" t="s">
        <v>46</v>
      </c>
      <c r="B25" s="30">
        <f t="shared" ref="B25:G25" si="40">SUM(B22,B16)</f>
        <v>36796359.68</v>
      </c>
      <c r="C25" s="30">
        <f t="shared" si="40"/>
        <v>37828573.060000002</v>
      </c>
      <c r="D25" s="30">
        <f t="shared" si="40"/>
        <v>39306879.25</v>
      </c>
      <c r="E25" s="30">
        <f t="shared" si="40"/>
        <v>40061321.700000003</v>
      </c>
      <c r="F25" s="30">
        <f t="shared" si="40"/>
        <v>38629272.970000006</v>
      </c>
      <c r="G25" s="30">
        <f t="shared" si="40"/>
        <v>41284628.150942996</v>
      </c>
      <c r="H25" s="30">
        <f>SUM(H22,H16)</f>
        <v>42304135.609999999</v>
      </c>
      <c r="I25" s="30">
        <f>SUM(I22,I16)</f>
        <v>42915709.740000002</v>
      </c>
      <c r="J25" s="30">
        <f>SUM(J22,J16)</f>
        <v>44918465.210000001</v>
      </c>
      <c r="K25" s="30">
        <f t="shared" ref="K25:S25" si="41">SUM(K22,K16)</f>
        <v>46662193.710000001</v>
      </c>
      <c r="L25" s="30">
        <f t="shared" si="41"/>
        <v>53600375.480000004</v>
      </c>
      <c r="M25" s="30">
        <f t="shared" si="41"/>
        <v>61025229.43</v>
      </c>
      <c r="N25" s="30">
        <f t="shared" si="41"/>
        <v>64091179.426605999</v>
      </c>
      <c r="O25" s="30">
        <f t="shared" si="41"/>
        <v>80865586.692337647</v>
      </c>
      <c r="P25" s="30">
        <f t="shared" si="41"/>
        <v>87466667.112040937</v>
      </c>
      <c r="Q25" s="30">
        <f t="shared" si="41"/>
        <v>89431853.835352182</v>
      </c>
      <c r="R25" s="30">
        <f t="shared" si="41"/>
        <v>91337641.523420751</v>
      </c>
      <c r="S25" s="31">
        <f t="shared" si="41"/>
        <v>93763346.04855454</v>
      </c>
      <c r="T25" s="32"/>
      <c r="U25" s="32"/>
      <c r="V25" s="60" t="s">
        <v>47</v>
      </c>
      <c r="W25" s="102"/>
      <c r="X25" s="102"/>
      <c r="Y25" s="102"/>
      <c r="Z25" s="102"/>
      <c r="AA25" s="102"/>
      <c r="AB25" s="102"/>
      <c r="AC25" s="93"/>
      <c r="AD25" s="93"/>
      <c r="AE25" s="93"/>
      <c r="AF25" s="93"/>
      <c r="AG25" s="93"/>
      <c r="AH25" s="93"/>
      <c r="AI25" s="93"/>
      <c r="AJ25" s="93"/>
      <c r="AK25" s="92"/>
      <c r="AL25" s="93"/>
      <c r="AM25" s="92">
        <f>((AL20/AC20)^(1/7))-1</f>
        <v>9.6976373048058173E-2</v>
      </c>
      <c r="AN25" s="60"/>
      <c r="AO25" s="93"/>
      <c r="AP25" s="94"/>
      <c r="AQ25" s="92"/>
    </row>
    <row r="26" spans="1:51" ht="24.75" customHeight="1" thickBot="1" x14ac:dyDescent="0.3">
      <c r="A26" s="57" t="s">
        <v>33</v>
      </c>
      <c r="B26" s="100"/>
      <c r="C26" s="58">
        <f t="shared" ref="C26" si="42">IFERROR((C25-B25)/B25,"")</f>
        <v>2.8052051588164133E-2</v>
      </c>
      <c r="D26" s="58">
        <f t="shared" ref="D26" si="43">IFERROR((D25-C25)/C25,"")</f>
        <v>3.9079089440018054E-2</v>
      </c>
      <c r="E26" s="58">
        <f t="shared" ref="E26" si="44">IFERROR((E25-D25)/D25,"")</f>
        <v>1.919364916257001E-2</v>
      </c>
      <c r="F26" s="58">
        <f t="shared" ref="F26" si="45">IFERROR((F25-E25)/E25,"")</f>
        <v>-3.5746417472791385E-2</v>
      </c>
      <c r="G26" s="58">
        <f t="shared" ref="G26" si="46">IFERROR((G25-F25)/F25,"")</f>
        <v>6.8739455257290846E-2</v>
      </c>
      <c r="H26" s="58">
        <f t="shared" ref="H26" si="47">IFERROR((H25-G25)/G25,"")</f>
        <v>2.469460195522474E-2</v>
      </c>
      <c r="I26" s="58">
        <f t="shared" ref="I26:S26" si="48">IFERROR((I25-H25)/H25,"")</f>
        <v>1.4456603856371826E-2</v>
      </c>
      <c r="J26" s="58">
        <f t="shared" si="48"/>
        <v>4.666718742701606E-2</v>
      </c>
      <c r="K26" s="58">
        <f t="shared" si="48"/>
        <v>3.8819859312820004E-2</v>
      </c>
      <c r="L26" s="58">
        <f t="shared" si="48"/>
        <v>0.14868957540059047</v>
      </c>
      <c r="M26" s="58">
        <f t="shared" si="48"/>
        <v>0.13852242420895808</v>
      </c>
      <c r="N26" s="58">
        <f t="shared" si="48"/>
        <v>5.024069594237001E-2</v>
      </c>
      <c r="O26" s="58">
        <f t="shared" si="48"/>
        <v>0.26172723634990763</v>
      </c>
      <c r="P26" s="58">
        <f t="shared" si="48"/>
        <v>8.1630279204154582E-2</v>
      </c>
      <c r="Q26" s="58">
        <f t="shared" si="48"/>
        <v>2.2467835899062302E-2</v>
      </c>
      <c r="R26" s="58">
        <f t="shared" si="48"/>
        <v>2.130994278143003E-2</v>
      </c>
      <c r="S26" s="59">
        <f t="shared" si="48"/>
        <v>2.6557555950377707E-2</v>
      </c>
      <c r="T26" s="36"/>
      <c r="U26" s="36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</row>
    <row r="27" spans="1:51" x14ac:dyDescent="0.25">
      <c r="A27" s="61"/>
      <c r="B27" s="61"/>
      <c r="C27" s="61"/>
      <c r="D27" s="61"/>
      <c r="E27" s="61"/>
      <c r="F27" s="61"/>
      <c r="G27" s="61"/>
      <c r="H27" s="62"/>
      <c r="I27" s="62"/>
      <c r="J27" s="62"/>
      <c r="K27" s="62"/>
      <c r="L27" s="63"/>
      <c r="M27" s="63"/>
      <c r="N27" s="62"/>
      <c r="O27" s="62"/>
      <c r="P27" s="62"/>
      <c r="Q27" s="62"/>
      <c r="R27" s="62"/>
      <c r="S27" s="62"/>
      <c r="T27" s="64"/>
      <c r="U27" s="64"/>
      <c r="V27" s="64"/>
      <c r="W27" s="64"/>
      <c r="X27" s="70"/>
      <c r="Y27" s="70"/>
      <c r="Z27" s="70"/>
      <c r="AA27" s="70"/>
      <c r="AB27" s="70"/>
      <c r="AC27" s="70"/>
      <c r="AD27" s="64"/>
      <c r="AE27" s="95"/>
      <c r="AF27" s="64"/>
      <c r="AG27" s="64"/>
      <c r="AH27" s="64"/>
      <c r="AI27" s="64"/>
      <c r="AJ27" s="64"/>
      <c r="AK27" s="64"/>
      <c r="AL27" s="64"/>
    </row>
    <row r="28" spans="1:51" ht="15.75" thickBot="1" x14ac:dyDescent="0.3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95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</row>
    <row r="29" spans="1:51" ht="26.25" thickBot="1" x14ac:dyDescent="0.3">
      <c r="A29" s="23"/>
      <c r="B29" s="13" t="str">
        <f t="shared" ref="B29:G29" si="49">B12</f>
        <v>2014 Actuals (RRR)</v>
      </c>
      <c r="C29" s="13" t="str">
        <f t="shared" si="49"/>
        <v>2015 Actuals (RRR)</v>
      </c>
      <c r="D29" s="13" t="str">
        <f t="shared" si="49"/>
        <v>2016 Actuals (RRR)</v>
      </c>
      <c r="E29" s="13" t="str">
        <f t="shared" si="49"/>
        <v>2017 Actuals (RRR)</v>
      </c>
      <c r="F29" s="13" t="str">
        <f t="shared" si="49"/>
        <v>2018 Actuals (RRR)</v>
      </c>
      <c r="G29" s="13" t="str">
        <f t="shared" si="49"/>
        <v>2019 Actuals</v>
      </c>
      <c r="H29" s="13" t="str">
        <f t="shared" ref="H29:S29" si="50">H12</f>
        <v>2020 Actuals</v>
      </c>
      <c r="I29" s="13" t="str">
        <f t="shared" si="50"/>
        <v>2021 Actuals</v>
      </c>
      <c r="J29" s="13" t="str">
        <f t="shared" si="50"/>
        <v>2022 Actuals</v>
      </c>
      <c r="K29" s="13" t="str">
        <f t="shared" si="50"/>
        <v>2023 Actuals</v>
      </c>
      <c r="L29" s="13" t="str">
        <f t="shared" si="50"/>
        <v>2024 Actuals</v>
      </c>
      <c r="M29" s="13" t="str">
        <f t="shared" si="50"/>
        <v>2025 Actuals</v>
      </c>
      <c r="N29" s="14" t="str">
        <f t="shared" si="50"/>
        <v>2026 Bridge Year</v>
      </c>
      <c r="O29" s="14" t="str">
        <f t="shared" si="50"/>
        <v>2027 Test Year</v>
      </c>
      <c r="P29" s="14" t="str">
        <f t="shared" si="50"/>
        <v>2028 Forecast</v>
      </c>
      <c r="Q29" s="14" t="str">
        <f t="shared" si="50"/>
        <v>2029 Forecast</v>
      </c>
      <c r="R29" s="14" t="str">
        <f t="shared" si="50"/>
        <v>2030 Forecast</v>
      </c>
      <c r="S29" s="14" t="str">
        <f t="shared" si="50"/>
        <v>2031 Forecast</v>
      </c>
      <c r="T29" s="64"/>
      <c r="U29" s="64"/>
      <c r="AK29" s="64"/>
    </row>
    <row r="30" spans="1:51" x14ac:dyDescent="0.25">
      <c r="A30" s="28" t="s">
        <v>57</v>
      </c>
      <c r="B30" s="65">
        <v>8614032.6999999993</v>
      </c>
      <c r="C30" s="65">
        <v>8948088.5500000007</v>
      </c>
      <c r="D30" s="65">
        <v>9339533.3900000006</v>
      </c>
      <c r="E30" s="65">
        <v>9339947.9199999999</v>
      </c>
      <c r="F30" s="65">
        <v>10138803.890000001</v>
      </c>
      <c r="G30" s="65">
        <v>9736211.8025048412</v>
      </c>
      <c r="H30" s="65">
        <f t="shared" ref="H30:S31" si="51">H14</f>
        <v>9748687.0300000031</v>
      </c>
      <c r="I30" s="65">
        <f t="shared" si="51"/>
        <v>10180786.590000002</v>
      </c>
      <c r="J30" s="65">
        <f t="shared" si="51"/>
        <v>11638182.449999999</v>
      </c>
      <c r="K30" s="65">
        <f t="shared" si="51"/>
        <v>11348932.559999999</v>
      </c>
      <c r="L30" s="65">
        <f t="shared" si="51"/>
        <v>12992985.529999999</v>
      </c>
      <c r="M30" s="65">
        <f t="shared" si="51"/>
        <v>12109873.880000001</v>
      </c>
      <c r="N30" s="65">
        <f t="shared" si="51"/>
        <v>17019714.552592028</v>
      </c>
      <c r="O30" s="65">
        <f t="shared" si="51"/>
        <v>21300363.636417922</v>
      </c>
      <c r="P30" s="65">
        <f t="shared" si="51"/>
        <v>22213707.726745728</v>
      </c>
      <c r="Q30" s="65">
        <f t="shared" si="51"/>
        <v>22796570.817364153</v>
      </c>
      <c r="R30" s="65">
        <f t="shared" si="51"/>
        <v>22813368.711721502</v>
      </c>
      <c r="S30" s="66">
        <f t="shared" si="51"/>
        <v>23290842.517583612</v>
      </c>
      <c r="T30" s="64"/>
      <c r="U30" s="64"/>
      <c r="AK30" s="64"/>
    </row>
    <row r="31" spans="1:51" x14ac:dyDescent="0.25">
      <c r="A31" s="28" t="s">
        <v>58</v>
      </c>
      <c r="B31" s="65">
        <v>5186594.17</v>
      </c>
      <c r="C31" s="65">
        <v>5516964.0800000001</v>
      </c>
      <c r="D31" s="65">
        <v>5645992.8499999996</v>
      </c>
      <c r="E31" s="65">
        <v>5685392.4199999999</v>
      </c>
      <c r="F31" s="65">
        <v>5830874.7200000007</v>
      </c>
      <c r="G31" s="65">
        <v>5100093.6172883511</v>
      </c>
      <c r="H31" s="65">
        <f t="shared" si="51"/>
        <v>4229032.21</v>
      </c>
      <c r="I31" s="65">
        <f t="shared" si="51"/>
        <v>4744305.6500000004</v>
      </c>
      <c r="J31" s="65">
        <f t="shared" si="51"/>
        <v>4068368.5100000007</v>
      </c>
      <c r="K31" s="65">
        <f t="shared" si="51"/>
        <v>4203636.55</v>
      </c>
      <c r="L31" s="65">
        <f t="shared" si="51"/>
        <v>7443163.7000000002</v>
      </c>
      <c r="M31" s="65">
        <f t="shared" si="51"/>
        <v>7771862.6899999995</v>
      </c>
      <c r="N31" s="65">
        <f t="shared" si="51"/>
        <v>6525246.8013525307</v>
      </c>
      <c r="O31" s="65">
        <f t="shared" si="51"/>
        <v>7161584.0695743887</v>
      </c>
      <c r="P31" s="65">
        <f t="shared" si="51"/>
        <v>8553011.8901650701</v>
      </c>
      <c r="Q31" s="65">
        <f t="shared" si="51"/>
        <v>8639723.8763395306</v>
      </c>
      <c r="R31" s="65">
        <f t="shared" si="51"/>
        <v>8869918.2008947302</v>
      </c>
      <c r="S31" s="66">
        <f t="shared" si="51"/>
        <v>9209183.6424233187</v>
      </c>
      <c r="T31" s="64"/>
      <c r="U31" s="64"/>
      <c r="AK31" s="64"/>
    </row>
    <row r="32" spans="1:51" x14ac:dyDescent="0.25">
      <c r="A32" s="28" t="s">
        <v>59</v>
      </c>
      <c r="B32" s="65">
        <v>9010057.5300000012</v>
      </c>
      <c r="C32" s="65">
        <v>9076697.040000001</v>
      </c>
      <c r="D32" s="65">
        <v>9396641.370000001</v>
      </c>
      <c r="E32" s="65">
        <v>10283456.59</v>
      </c>
      <c r="F32" s="65">
        <v>8374841.4500000002</v>
      </c>
      <c r="G32" s="65">
        <v>9061139.1798105203</v>
      </c>
      <c r="H32" s="65">
        <f t="shared" ref="H32:S34" si="52">H19</f>
        <v>11355586.779999999</v>
      </c>
      <c r="I32" s="65">
        <f t="shared" si="52"/>
        <v>10770334.309999999</v>
      </c>
      <c r="J32" s="65">
        <f t="shared" si="52"/>
        <v>10017118.899999999</v>
      </c>
      <c r="K32" s="65">
        <f t="shared" si="52"/>
        <v>10583609.41</v>
      </c>
      <c r="L32" s="65">
        <f t="shared" si="52"/>
        <v>11581087.32</v>
      </c>
      <c r="M32" s="65">
        <f t="shared" si="52"/>
        <v>14162785.849999998</v>
      </c>
      <c r="N32" s="65">
        <f t="shared" si="52"/>
        <v>13066207.046844071</v>
      </c>
      <c r="O32" s="65">
        <f t="shared" si="52"/>
        <v>13851521.50658321</v>
      </c>
      <c r="P32" s="65">
        <f t="shared" si="52"/>
        <v>15537808.686378179</v>
      </c>
      <c r="Q32" s="65">
        <f t="shared" si="52"/>
        <v>15127459.196973702</v>
      </c>
      <c r="R32" s="65">
        <f t="shared" si="52"/>
        <v>15187400.08723622</v>
      </c>
      <c r="S32" s="66">
        <f t="shared" si="52"/>
        <v>15356493.36948235</v>
      </c>
      <c r="T32" s="64"/>
      <c r="U32" s="64"/>
      <c r="AK32" s="64"/>
    </row>
    <row r="33" spans="1:51" x14ac:dyDescent="0.25">
      <c r="A33" s="28" t="s">
        <v>60</v>
      </c>
      <c r="B33" s="65">
        <v>264877.77</v>
      </c>
      <c r="C33" s="65">
        <v>285872.05</v>
      </c>
      <c r="D33" s="65">
        <v>285277.03000000003</v>
      </c>
      <c r="E33" s="65">
        <v>268971.03999999998</v>
      </c>
      <c r="F33" s="65">
        <v>280707.12</v>
      </c>
      <c r="G33" s="65">
        <v>132376.36415939001</v>
      </c>
      <c r="H33" s="65">
        <f t="shared" si="52"/>
        <v>10083.5</v>
      </c>
      <c r="I33" s="65">
        <f t="shared" si="52"/>
        <v>209037.49</v>
      </c>
      <c r="J33" s="65">
        <f t="shared" si="52"/>
        <v>572372.72</v>
      </c>
      <c r="K33" s="65">
        <f t="shared" si="52"/>
        <v>524888.58000000007</v>
      </c>
      <c r="L33" s="65">
        <f t="shared" si="52"/>
        <v>576712.71000000008</v>
      </c>
      <c r="M33" s="65">
        <f t="shared" si="52"/>
        <v>732386.26000000013</v>
      </c>
      <c r="N33" s="65">
        <f t="shared" si="52"/>
        <v>906644.52532789984</v>
      </c>
      <c r="O33" s="65">
        <f t="shared" si="52"/>
        <v>973788.47976212983</v>
      </c>
      <c r="P33" s="65">
        <f t="shared" si="52"/>
        <v>1174353.8087519598</v>
      </c>
      <c r="Q33" s="65">
        <f t="shared" si="52"/>
        <v>1196678.9446747999</v>
      </c>
      <c r="R33" s="65">
        <f t="shared" si="52"/>
        <v>1220492.5235682901</v>
      </c>
      <c r="S33" s="66">
        <f t="shared" si="52"/>
        <v>1241552.5190652502</v>
      </c>
      <c r="T33" s="64"/>
      <c r="U33" s="64"/>
      <c r="AK33" s="64"/>
    </row>
    <row r="34" spans="1:51" x14ac:dyDescent="0.25">
      <c r="A34" s="28" t="s">
        <v>61</v>
      </c>
      <c r="B34" s="65">
        <v>13720797.510000002</v>
      </c>
      <c r="C34" s="65">
        <v>14000951.339999998</v>
      </c>
      <c r="D34" s="65">
        <v>14639434.609999999</v>
      </c>
      <c r="E34" s="65">
        <v>14483553.73</v>
      </c>
      <c r="F34" s="65">
        <v>14004045.790000003</v>
      </c>
      <c r="G34" s="65">
        <v>17254807.187179897</v>
      </c>
      <c r="H34" s="65">
        <f t="shared" si="52"/>
        <v>16960746.09</v>
      </c>
      <c r="I34" s="65">
        <f t="shared" si="52"/>
        <v>17011245.700000003</v>
      </c>
      <c r="J34" s="65">
        <f t="shared" si="52"/>
        <v>18622422.630000003</v>
      </c>
      <c r="K34" s="65">
        <f t="shared" si="52"/>
        <v>20001126.609999999</v>
      </c>
      <c r="L34" s="65">
        <f t="shared" si="52"/>
        <v>21006426.220000003</v>
      </c>
      <c r="M34" s="65">
        <f t="shared" si="52"/>
        <v>26248320.75</v>
      </c>
      <c r="N34" s="65">
        <f t="shared" si="52"/>
        <v>26573366.500489473</v>
      </c>
      <c r="O34" s="65">
        <f t="shared" si="52"/>
        <v>37578329</v>
      </c>
      <c r="P34" s="65">
        <f t="shared" si="52"/>
        <v>39987785</v>
      </c>
      <c r="Q34" s="65">
        <f t="shared" si="52"/>
        <v>41671421</v>
      </c>
      <c r="R34" s="65">
        <f t="shared" si="52"/>
        <v>43246462</v>
      </c>
      <c r="S34" s="66">
        <f t="shared" si="52"/>
        <v>44665274</v>
      </c>
      <c r="T34" s="64"/>
      <c r="U34" s="64"/>
      <c r="AK34" s="64"/>
    </row>
    <row r="35" spans="1:51" x14ac:dyDescent="0.25">
      <c r="A35" s="29" t="s">
        <v>46</v>
      </c>
      <c r="B35" s="30">
        <f t="shared" ref="B35:G35" si="53">SUM(B30:B34)</f>
        <v>36796359.68</v>
      </c>
      <c r="C35" s="30">
        <f t="shared" si="53"/>
        <v>37828573.060000002</v>
      </c>
      <c r="D35" s="30">
        <f t="shared" si="53"/>
        <v>39306879.25</v>
      </c>
      <c r="E35" s="30">
        <f t="shared" si="53"/>
        <v>40061321.700000003</v>
      </c>
      <c r="F35" s="30">
        <f t="shared" si="53"/>
        <v>38629272.970000006</v>
      </c>
      <c r="G35" s="30">
        <f t="shared" si="53"/>
        <v>41284628.150942996</v>
      </c>
      <c r="H35" s="30">
        <f t="shared" ref="H35:S35" si="54">SUM(H30:H34)</f>
        <v>42304135.609999999</v>
      </c>
      <c r="I35" s="30">
        <f t="shared" si="54"/>
        <v>42915709.740000002</v>
      </c>
      <c r="J35" s="30">
        <f t="shared" si="54"/>
        <v>44918465.210000001</v>
      </c>
      <c r="K35" s="30">
        <f t="shared" si="54"/>
        <v>46662193.710000001</v>
      </c>
      <c r="L35" s="30">
        <f t="shared" si="54"/>
        <v>53600375.480000004</v>
      </c>
      <c r="M35" s="30">
        <f t="shared" si="54"/>
        <v>61025229.43</v>
      </c>
      <c r="N35" s="30">
        <f t="shared" si="54"/>
        <v>64091179.426605999</v>
      </c>
      <c r="O35" s="30">
        <f t="shared" si="54"/>
        <v>80865586.692337662</v>
      </c>
      <c r="P35" s="30">
        <f t="shared" si="54"/>
        <v>87466667.112040937</v>
      </c>
      <c r="Q35" s="30">
        <f t="shared" si="54"/>
        <v>89431853.835352182</v>
      </c>
      <c r="R35" s="30">
        <f t="shared" si="54"/>
        <v>91337641.523420736</v>
      </c>
      <c r="S35" s="31">
        <f t="shared" si="54"/>
        <v>93763346.04855454</v>
      </c>
      <c r="T35" s="67"/>
      <c r="U35" s="64"/>
      <c r="AK35" s="64"/>
    </row>
    <row r="36" spans="1:51" ht="15.75" thickBot="1" x14ac:dyDescent="0.3">
      <c r="A36" s="57" t="s">
        <v>33</v>
      </c>
      <c r="B36" s="68" t="str">
        <f>IFERROR((B35-#REF!)/#REF!,"")</f>
        <v/>
      </c>
      <c r="C36" s="68">
        <f t="shared" ref="C36" si="55">IFERROR((C35-B35)/B35,"")</f>
        <v>2.8052051588164133E-2</v>
      </c>
      <c r="D36" s="68">
        <f t="shared" ref="D36" si="56">IFERROR((D35-C35)/C35,"")</f>
        <v>3.9079089440018054E-2</v>
      </c>
      <c r="E36" s="68">
        <f t="shared" ref="E36" si="57">IFERROR((E35-D35)/D35,"")</f>
        <v>1.919364916257001E-2</v>
      </c>
      <c r="F36" s="68">
        <f t="shared" ref="F36" si="58">IFERROR((F35-E35)/E35,"")</f>
        <v>-3.5746417472791385E-2</v>
      </c>
      <c r="G36" s="68">
        <f t="shared" ref="G36" si="59">IFERROR((G35-F35)/F35,"")</f>
        <v>6.8739455257290846E-2</v>
      </c>
      <c r="H36" s="68">
        <f t="shared" ref="H36" si="60">IFERROR((H35-G35)/G35,"")</f>
        <v>2.469460195522474E-2</v>
      </c>
      <c r="I36" s="68">
        <f t="shared" ref="I36:S36" si="61">IFERROR((I35-H35)/H35,"")</f>
        <v>1.4456603856371826E-2</v>
      </c>
      <c r="J36" s="68">
        <f t="shared" si="61"/>
        <v>4.666718742701606E-2</v>
      </c>
      <c r="K36" s="68">
        <f t="shared" si="61"/>
        <v>3.8819859312820004E-2</v>
      </c>
      <c r="L36" s="69">
        <f t="shared" si="61"/>
        <v>0.14868957540059047</v>
      </c>
      <c r="M36" s="68">
        <f t="shared" si="61"/>
        <v>0.13852242420895808</v>
      </c>
      <c r="N36" s="68">
        <f t="shared" si="61"/>
        <v>5.024069594237001E-2</v>
      </c>
      <c r="O36" s="68">
        <f t="shared" si="61"/>
        <v>0.26172723634990791</v>
      </c>
      <c r="P36" s="68">
        <f t="shared" si="61"/>
        <v>8.1630279204154388E-2</v>
      </c>
      <c r="Q36" s="68">
        <f t="shared" si="61"/>
        <v>2.2467835899062302E-2</v>
      </c>
      <c r="R36" s="68">
        <f t="shared" si="61"/>
        <v>2.1309942781429864E-2</v>
      </c>
      <c r="S36" s="59">
        <f t="shared" si="61"/>
        <v>2.6557555950377874E-2</v>
      </c>
      <c r="T36" s="64"/>
      <c r="U36" s="70"/>
      <c r="AI36" s="71"/>
      <c r="AK36" s="64"/>
    </row>
    <row r="37" spans="1:51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</row>
    <row r="38" spans="1:51" x14ac:dyDescent="0.25">
      <c r="A38" s="72" t="s">
        <v>48</v>
      </c>
      <c r="B38" s="72"/>
      <c r="D38" s="72"/>
      <c r="E38" s="72"/>
      <c r="F38" s="72"/>
      <c r="G38" s="72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</row>
    <row r="39" spans="1:51" x14ac:dyDescent="0.25">
      <c r="A39" s="72"/>
      <c r="B39" s="72"/>
      <c r="C39" s="72"/>
      <c r="D39" s="72"/>
      <c r="E39" s="72"/>
      <c r="F39" s="72"/>
      <c r="G39" s="72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</row>
    <row r="40" spans="1:51" x14ac:dyDescent="0.25">
      <c r="A40" s="74" t="s">
        <v>51</v>
      </c>
      <c r="B40" s="74"/>
      <c r="C40" s="74"/>
      <c r="D40" s="74"/>
      <c r="E40" s="74"/>
      <c r="F40" s="74"/>
      <c r="G40" s="74"/>
      <c r="H40" s="75"/>
      <c r="I40" s="75"/>
      <c r="J40" s="75"/>
      <c r="K40" s="75"/>
      <c r="L40" s="75"/>
      <c r="M40" s="75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</row>
    <row r="41" spans="1:51" x14ac:dyDescent="0.25">
      <c r="A41" s="74" t="s">
        <v>52</v>
      </c>
      <c r="B41" s="74"/>
      <c r="C41" s="74"/>
      <c r="D41" s="74"/>
      <c r="E41" s="74"/>
      <c r="F41" s="74"/>
      <c r="G41" s="74"/>
      <c r="H41" s="75"/>
      <c r="I41" s="75"/>
      <c r="J41" s="75"/>
      <c r="K41" s="75"/>
      <c r="L41" s="75"/>
      <c r="M41" s="75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</row>
    <row r="42" spans="1:51" x14ac:dyDescent="0.25">
      <c r="A42" s="74" t="s">
        <v>53</v>
      </c>
      <c r="B42" s="74"/>
      <c r="C42" s="74"/>
      <c r="D42" s="74"/>
      <c r="E42" s="74"/>
      <c r="F42" s="74"/>
      <c r="G42" s="74"/>
      <c r="H42" s="75"/>
      <c r="I42" s="75"/>
      <c r="J42" s="75"/>
      <c r="K42" s="75"/>
      <c r="L42" s="75"/>
      <c r="M42" s="75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</row>
    <row r="43" spans="1:51" x14ac:dyDescent="0.25">
      <c r="A43" s="74" t="s">
        <v>54</v>
      </c>
      <c r="B43" s="74"/>
      <c r="C43" s="74"/>
      <c r="D43" s="74"/>
      <c r="E43" s="74"/>
      <c r="F43" s="74"/>
      <c r="G43" s="7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</row>
    <row r="44" spans="1:51" ht="14.45" customHeight="1" x14ac:dyDescent="0.25">
      <c r="A44" s="105" t="s">
        <v>55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73"/>
      <c r="P44" s="73"/>
      <c r="Q44" s="73"/>
      <c r="R44" s="73"/>
      <c r="S44" s="73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</row>
    <row r="45" spans="1:51" ht="21.95" customHeight="1" x14ac:dyDescent="0.25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73"/>
      <c r="P45" s="73"/>
      <c r="Q45" s="73"/>
      <c r="R45" s="73"/>
      <c r="S45" s="73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</row>
    <row r="46" spans="1:51" x14ac:dyDescent="0.25">
      <c r="A46" s="103" t="s">
        <v>56</v>
      </c>
      <c r="B46" s="103"/>
      <c r="C46" s="103"/>
      <c r="D46" s="103"/>
      <c r="E46" s="103"/>
      <c r="F46" s="103"/>
      <c r="G46" s="103"/>
      <c r="H46" s="10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</row>
    <row r="47" spans="1:51" x14ac:dyDescent="0.25">
      <c r="A47" s="74"/>
      <c r="B47" s="74"/>
      <c r="C47" s="74"/>
      <c r="D47" s="74"/>
      <c r="E47" s="74"/>
      <c r="F47" s="74"/>
      <c r="G47" s="7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</row>
    <row r="48" spans="1:51" x14ac:dyDescent="0.25">
      <c r="A48" s="74"/>
      <c r="B48" s="74"/>
      <c r="C48" s="74"/>
      <c r="D48" s="74"/>
      <c r="E48" s="74"/>
      <c r="F48" s="74"/>
      <c r="G48" s="7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</row>
    <row r="49" spans="1:5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</row>
    <row r="50" spans="1:5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</row>
    <row r="51" spans="1:5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</row>
    <row r="52" spans="1:5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</row>
    <row r="53" spans="1:5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</row>
    <row r="54" spans="1:51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</row>
    <row r="55" spans="1:51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5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</row>
    <row r="57" spans="1:5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</row>
    <row r="58" spans="1:51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  <row r="59" spans="1:51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</row>
    <row r="60" spans="1:5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</row>
    <row r="61" spans="1:5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</row>
    <row r="62" spans="1:51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</row>
    <row r="63" spans="1:51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</row>
    <row r="64" spans="1:51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</row>
    <row r="65" spans="1:51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</row>
    <row r="66" spans="1:51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</row>
    <row r="67" spans="1:51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</row>
    <row r="68" spans="1:51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</row>
    <row r="69" spans="1:51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</row>
    <row r="70" spans="1:51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</row>
    <row r="71" spans="1:51" x14ac:dyDescent="0.2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</row>
    <row r="72" spans="1:51" x14ac:dyDescent="0.2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</row>
    <row r="73" spans="1:51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</row>
    <row r="74" spans="1:51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</row>
    <row r="75" spans="1:51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</row>
    <row r="76" spans="1:5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</row>
    <row r="77" spans="1:51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</row>
    <row r="78" spans="1:51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</row>
    <row r="79" spans="1:51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</row>
    <row r="80" spans="1:51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</row>
    <row r="81" spans="1:51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</row>
    <row r="82" spans="1:51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</row>
    <row r="83" spans="1:51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</row>
    <row r="84" spans="1:5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</row>
    <row r="85" spans="1:5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</row>
    <row r="86" spans="1:5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</row>
    <row r="87" spans="1:5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</row>
    <row r="88" spans="1:5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</row>
    <row r="89" spans="1:5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</row>
    <row r="90" spans="1:5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</row>
    <row r="91" spans="1:5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</row>
    <row r="92" spans="1:5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</row>
    <row r="93" spans="1:5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</row>
    <row r="94" spans="1:5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</row>
    <row r="95" spans="1:5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</row>
    <row r="96" spans="1:5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</row>
    <row r="97" spans="1:5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</row>
    <row r="98" spans="1:5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</row>
    <row r="99" spans="1:5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</row>
    <row r="100" spans="1:5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</row>
    <row r="101" spans="1:5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</row>
    <row r="102" spans="1:5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</row>
    <row r="103" spans="1:5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</row>
    <row r="104" spans="1:5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</row>
    <row r="105" spans="1:5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</row>
    <row r="106" spans="1:5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</row>
    <row r="107" spans="1:5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</row>
    <row r="108" spans="1:5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</row>
    <row r="109" spans="1:5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</row>
    <row r="110" spans="1:5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</row>
    <row r="111" spans="1:5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</row>
  </sheetData>
  <mergeCells count="5">
    <mergeCell ref="A46:H46"/>
    <mergeCell ref="A9:M9"/>
    <mergeCell ref="A10:M10"/>
    <mergeCell ref="A44:N45"/>
    <mergeCell ref="T12:U12"/>
  </mergeCells>
  <dataValidations count="3">
    <dataValidation allowBlank="1" showInputMessage="1" showErrorMessage="1" promptTitle="Date Format" prompt="E.g:  &quot;August 1, 2011&quot;" sqref="N7:S7" xr:uid="{013E085B-4A41-4A01-BB2C-3BD234FF16C5}"/>
    <dataValidation type="list" allowBlank="1" showInputMessage="1" showErrorMessage="1" sqref="A6:G6" xr:uid="{072F6AD6-413C-4BD0-98CE-98534B2F8E85}">
      <formula1>"Yes,No"</formula1>
    </dataValidation>
    <dataValidation type="list" allowBlank="1" showInputMessage="1" showErrorMessage="1" sqref="B13:S13" xr:uid="{DCED8F83-8A7F-4B70-9877-8A318389E3B1}">
      <formula1>"CGAAP, MIFRS, USGAAP, ASPE"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a95137c-d42e-468e-9f88-48056057fa51">Witness signed off</Status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ZubairStatus xmlns="6a95137c-d42e-468e-9f88-48056057fa51">Witness signed off</ZubairStatus>
    <ExhibitRef xmlns="6a95137c-d42e-468e-9f88-48056057fa51" xsi:nil="true"/>
    <AnchorIRR xmlns="6a95137c-d42e-468e-9f88-48056057fa51">false</AnchorIRR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SEC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4</Ex_x002e_>
    <LincolnStatus xmlns="6a95137c-d42e-468e-9f88-48056057fa51">N/A</LincolnStatus>
    <RegContact xmlns="6a95137c-d42e-468e-9f88-48056057fa51">
      <Value>Susan</Value>
      <Value>Carlisle</Value>
    </RegContact>
    <SaadStatus xmlns="6a95137c-d42e-468e-9f88-48056057fa51">N/A</SaadStatus>
    <Witness_x0028_es_x0029_ xmlns="6a95137c-d42e-468e-9f88-48056057fa51">
      <Value>Zubair</Value>
    </Witness_x0028_es_x0029_>
    <FinanceInputs_x002f_Validation xmlns="6a95137c-d42e-468e-9f88-48056057fa51">N/A</FinanceInputs_x002f_Validation>
    <Confidential xmlns="6a95137c-d42e-468e-9f88-48056057fa51">N/A</Confidential>
    <SME_x0028_s_x0029_ xmlns="6a95137c-d42e-468e-9f88-48056057fa51">Jennifer</SME_x0028_s_x0029_>
    <BradStatus xmlns="6a95137c-d42e-468e-9f88-48056057fa51">N/A</BradStatus>
    <SamStatus xmlns="6a95137c-d42e-468e-9f88-48056057fa51">N/A</SamStatus>
    <BBA_DRP xmlns="6a95137c-d42e-468e-9f88-48056057fa51">
      <UserInfo>
        <DisplayName/>
        <AccountId xsi:nil="true"/>
        <AccountType/>
      </UserInfo>
    </BBA_DRP>
    <Attachment xmlns="6a95137c-d42e-468e-9f88-48056057fa51">true</Attachment>
    <ErinIntervention xmlns="6a95137c-d42e-468e-9f88-48056057fa51">false</ErinIntervention>
    <StatusNotes xmlns="6a95137c-d42e-468e-9f88-48056057fa51">this excel can be reviewed but the IR is not complete - waiting for Eryn/Brad to do 2-k historical to 2014</StatusNotes>
    <GlenWinn xmlns="6a95137c-d42e-468e-9f88-48056057fa51">
      <UserInfo>
        <DisplayName/>
        <AccountId xsi:nil="true"/>
        <AccountType/>
      </UserInfo>
    </GlenWinn>
    <GeneralNotes xmlns="6a95137c-d42e-468e-9f88-48056057fa51" xsi:nil="true"/>
    <IRR xmlns="6a95137c-d42e-468e-9f88-48056057fa51">false</IRR>
    <BBA_Comments xmlns="6a95137c-d42e-468e-9f88-48056057fa51" xsi:nil="true"/>
    <ABlairStatus xmlns="6a95137c-d42e-468e-9f88-48056057fa51">N/A</ABlairStatus>
  </documentManagement>
</p:properties>
</file>

<file path=customXml/itemProps1.xml><?xml version="1.0" encoding="utf-8"?>
<ds:datastoreItem xmlns:ds="http://schemas.openxmlformats.org/officeDocument/2006/customXml" ds:itemID="{AC277E4C-602A-4EFA-BAA5-1EA2CA138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FAE7DB-5EE7-4427-A64C-4B003D57CE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65576-6FF6-43F3-B33A-D7BE86204553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a95137c-d42e-468e-9f88-48056057fa51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App.2-JA OM&amp;A Summary Analys</vt:lpstr>
    </vt:vector>
  </TitlesOfParts>
  <Manager/>
  <Company>Elexicon Energy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Cowles</dc:creator>
  <cp:keywords/>
  <dc:description/>
  <cp:lastModifiedBy>Zubair Islam</cp:lastModifiedBy>
  <cp:revision/>
  <dcterms:created xsi:type="dcterms:W3CDTF">2025-08-25T17:29:16Z</dcterms:created>
  <dcterms:modified xsi:type="dcterms:W3CDTF">2026-05-08T15:41:34Z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  <property fmtid="{D5CDD505-2E9C-101B-9397-08002B2CF9AE}" pid="4" name="Order">
    <vt:r8>18100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LeadPen">
    <vt:lpwstr/>
  </property>
  <property fmtid="{D5CDD505-2E9C-101B-9397-08002B2CF9AE}" pid="12" name="DRP(Elexicon)">
    <vt:lpwstr/>
  </property>
  <property fmtid="{D5CDD505-2E9C-101B-9397-08002B2CF9AE}" pid="13" name="Strategic">
    <vt:bool>false</vt:bool>
  </property>
</Properties>
</file>