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10" documentId="13_ncr:1_{C61899D2-499C-4210-9342-A110643049C7}" xr6:coauthVersionLast="47" xr6:coauthVersionMax="47" xr10:uidLastSave="{E9CAB56F-4858-47AE-A2FB-24A5E6DB21DD}"/>
  <bookViews>
    <workbookView xWindow="-63480" yWindow="-1290" windowWidth="29040" windowHeight="15720" tabRatio="822" xr2:uid="{00000000-000D-0000-FFFF-FFFF00000000}"/>
  </bookViews>
  <sheets>
    <sheet name="Tax" sheetId="1" r:id="rId1"/>
    <sheet name="cap add 16 Q3 proj" sheetId="14" state="hidden" r:id="rId2"/>
  </sheets>
  <definedNames>
    <definedName name="_xlnm.Print_Area" localSheetId="0">Tax!$A$1:$K$130</definedName>
    <definedName name="_xlnm.Print_Titles" localSheetId="0">Tax!$A:$A,Tax!$28:$28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1" l="1"/>
  <c r="C118" i="1"/>
  <c r="B118" i="1"/>
  <c r="C117" i="1"/>
  <c r="B111" i="1"/>
  <c r="F118" i="1"/>
  <c r="E118" i="1"/>
  <c r="B117" i="1"/>
  <c r="B121" i="1"/>
  <c r="B124" i="1"/>
  <c r="G118" i="1"/>
  <c r="H118" i="1"/>
  <c r="I118" i="1"/>
  <c r="J118" i="1"/>
  <c r="K118" i="1"/>
  <c r="C121" i="1"/>
  <c r="D121" i="1"/>
  <c r="G121" i="1"/>
  <c r="B125" i="1" l="1"/>
  <c r="B126" i="1" s="1"/>
  <c r="B128" i="1" s="1"/>
  <c r="K99" i="1"/>
  <c r="J99" i="1"/>
  <c r="I99" i="1"/>
  <c r="B81" i="1"/>
  <c r="E121" i="1" l="1"/>
  <c r="H121" i="1"/>
  <c r="H117" i="1"/>
  <c r="H100" i="1"/>
  <c r="H101" i="1"/>
  <c r="F121" i="1" l="1"/>
  <c r="K13" i="1" l="1"/>
  <c r="J13" i="1"/>
  <c r="K5" i="1"/>
  <c r="J5" i="1"/>
  <c r="J15" i="1" l="1"/>
  <c r="J21" i="1" s="1"/>
  <c r="J24" i="1" s="1"/>
  <c r="K15" i="1"/>
  <c r="K21" i="1" s="1"/>
  <c r="K24" i="1" s="1"/>
  <c r="C81" i="1"/>
  <c r="C83" i="1" s="1"/>
  <c r="C100" i="1"/>
  <c r="B85" i="1"/>
  <c r="B100" i="1" s="1"/>
  <c r="B83" i="1"/>
  <c r="B88" i="1" s="1"/>
  <c r="C97" i="1" l="1"/>
  <c r="C98" i="1" s="1"/>
  <c r="C103" i="1" s="1"/>
  <c r="C104" i="1" s="1"/>
  <c r="C110" i="1" s="1"/>
  <c r="B97" i="1"/>
  <c r="B98" i="1" s="1"/>
  <c r="B103" i="1" s="1"/>
  <c r="B104" i="1" s="1"/>
  <c r="B110" i="1" s="1"/>
  <c r="B90" i="1" l="1"/>
  <c r="B95" i="1" s="1"/>
  <c r="C88" i="1"/>
  <c r="C90" i="1" s="1"/>
  <c r="C95" i="1" s="1"/>
  <c r="C111" i="1" s="1"/>
  <c r="C112" i="1" s="1"/>
  <c r="B112" i="1" l="1"/>
  <c r="K44" i="1" l="1"/>
  <c r="I88" i="1" l="1"/>
  <c r="I33" i="1"/>
  <c r="I37" i="1" l="1"/>
  <c r="I35" i="1"/>
  <c r="I32" i="1"/>
  <c r="I13" i="1" l="1"/>
  <c r="I5" i="1"/>
  <c r="I15" i="1" l="1"/>
  <c r="I21" i="1" s="1"/>
  <c r="I24" i="1" s="1"/>
  <c r="H99" i="1"/>
  <c r="D106" i="1" l="1"/>
  <c r="K102" i="1" l="1"/>
  <c r="J102" i="1"/>
  <c r="I102" i="1"/>
  <c r="K101" i="1"/>
  <c r="J101" i="1"/>
  <c r="I101" i="1"/>
  <c r="K100" i="1"/>
  <c r="J100" i="1"/>
  <c r="I103" i="1" l="1"/>
  <c r="I104" i="1" s="1"/>
  <c r="I110" i="1" s="1"/>
  <c r="I90" i="1"/>
  <c r="I95" i="1" s="1"/>
  <c r="I100" i="1"/>
  <c r="I111" i="1" l="1"/>
  <c r="I114" i="1"/>
  <c r="I112" i="1" l="1"/>
  <c r="J75" i="1"/>
  <c r="K75" i="1"/>
  <c r="K74" i="1" l="1"/>
  <c r="J74" i="1"/>
  <c r="K37" i="1"/>
  <c r="K31" i="1"/>
  <c r="J31" i="1"/>
  <c r="I31" i="1"/>
  <c r="G100" i="1"/>
  <c r="F100" i="1"/>
  <c r="F102" i="1"/>
  <c r="H63" i="1"/>
  <c r="F63" i="1"/>
  <c r="H60" i="1"/>
  <c r="G60" i="1"/>
  <c r="F60" i="1"/>
  <c r="H44" i="1"/>
  <c r="F44" i="1"/>
  <c r="H41" i="1"/>
  <c r="H37" i="1"/>
  <c r="F37" i="1"/>
  <c r="H35" i="1"/>
  <c r="F35" i="1"/>
  <c r="H32" i="1"/>
  <c r="G32" i="1"/>
  <c r="F32" i="1"/>
  <c r="H31" i="1"/>
  <c r="G31" i="1"/>
  <c r="F31" i="1"/>
  <c r="H26" i="1"/>
  <c r="H33" i="1" s="1"/>
  <c r="G26" i="1"/>
  <c r="G33" i="1" s="1"/>
  <c r="F26" i="1"/>
  <c r="F33" i="1" s="1"/>
  <c r="H16" i="1"/>
  <c r="G16" i="1"/>
  <c r="F16" i="1"/>
  <c r="H13" i="1"/>
  <c r="G13" i="1"/>
  <c r="F13" i="1"/>
  <c r="H5" i="1"/>
  <c r="G5" i="1"/>
  <c r="F5" i="1"/>
  <c r="H15" i="1" l="1"/>
  <c r="H21" i="1" s="1"/>
  <c r="H114" i="1" s="1"/>
  <c r="F15" i="1"/>
  <c r="F21" i="1" s="1"/>
  <c r="F114" i="1" s="1"/>
  <c r="G15" i="1"/>
  <c r="G21" i="1" s="1"/>
  <c r="G114" i="1" s="1"/>
  <c r="I29" i="1"/>
  <c r="H24" i="1" l="1"/>
  <c r="H29" i="1" s="1"/>
  <c r="H81" i="1" s="1"/>
  <c r="G24" i="1"/>
  <c r="G29" i="1" s="1"/>
  <c r="G81" i="1" s="1"/>
  <c r="F24" i="1"/>
  <c r="F29" i="1" s="1"/>
  <c r="F81" i="1" s="1"/>
  <c r="F101" i="1" l="1"/>
  <c r="E56" i="1" l="1"/>
  <c r="E31" i="1" l="1"/>
  <c r="E44" i="1" l="1"/>
  <c r="E37" i="1" l="1"/>
  <c r="E32" i="1" l="1"/>
  <c r="E100" i="1" l="1"/>
  <c r="E6" i="1" l="1"/>
  <c r="E35" i="1" l="1"/>
  <c r="E60" i="1" l="1"/>
  <c r="E72" i="1"/>
  <c r="E26" i="1" l="1"/>
  <c r="E33" i="1" l="1"/>
  <c r="E63" i="1" l="1"/>
  <c r="D100" i="1" l="1"/>
  <c r="E13" i="1" l="1"/>
  <c r="E5" i="1"/>
  <c r="E15" i="1" l="1"/>
  <c r="E21" i="1" s="1"/>
  <c r="E114" i="1" s="1"/>
  <c r="E24" i="1" l="1"/>
  <c r="E29" i="1" l="1"/>
  <c r="E81" i="1" s="1"/>
  <c r="D35" i="1" l="1"/>
  <c r="D32" i="1" l="1"/>
  <c r="D13" i="1"/>
  <c r="D71" i="1" l="1"/>
  <c r="D63" i="1" l="1"/>
  <c r="D39" i="1" l="1"/>
  <c r="D37" i="1"/>
  <c r="D26" i="1" l="1"/>
  <c r="D33" i="1" l="1"/>
  <c r="D31" i="1" l="1"/>
  <c r="D5" i="1"/>
  <c r="D15" i="1" l="1"/>
  <c r="D21" i="1" l="1"/>
  <c r="D114" i="1" s="1"/>
  <c r="D29" i="1" l="1"/>
  <c r="D24" i="1"/>
  <c r="C33" i="14" l="1"/>
  <c r="C13" i="14"/>
  <c r="C49" i="14" l="1"/>
  <c r="C57" i="14" s="1"/>
  <c r="G57" i="14" s="1"/>
  <c r="D60" i="1" l="1"/>
  <c r="D81" i="1" s="1"/>
  <c r="I60" i="1" l="1"/>
  <c r="I81" i="1" l="1"/>
  <c r="I83" i="1" s="1"/>
  <c r="K33" i="1" l="1"/>
  <c r="K29" i="1" l="1"/>
  <c r="K114" i="1"/>
  <c r="K60" i="1" l="1"/>
  <c r="J33" i="1" l="1"/>
  <c r="J37" i="1" l="1"/>
  <c r="J29" i="1" l="1"/>
  <c r="J114" i="1" l="1"/>
  <c r="J60" i="1" l="1"/>
  <c r="D117" i="1" l="1"/>
  <c r="D83" i="1"/>
  <c r="D88" i="1" s="1"/>
  <c r="D90" i="1" s="1"/>
  <c r="E83" i="1" l="1"/>
  <c r="E117" i="1"/>
  <c r="D95" i="1"/>
  <c r="D97" i="1"/>
  <c r="D98" i="1" s="1"/>
  <c r="D103" i="1" l="1"/>
  <c r="D104" i="1" s="1"/>
  <c r="D110" i="1" s="1"/>
  <c r="D111" i="1" s="1"/>
  <c r="E97" i="1"/>
  <c r="E98" i="1" s="1"/>
  <c r="E103" i="1" s="1"/>
  <c r="E104" i="1" s="1"/>
  <c r="E110" i="1" s="1"/>
  <c r="E88" i="1"/>
  <c r="E90" i="1" s="1"/>
  <c r="E95" i="1" s="1"/>
  <c r="D112" i="1" l="1"/>
  <c r="E111" i="1"/>
  <c r="F83" i="1" l="1"/>
  <c r="F117" i="1"/>
  <c r="E112" i="1"/>
  <c r="G83" i="1" l="1"/>
  <c r="G117" i="1"/>
  <c r="F88" i="1"/>
  <c r="F90" i="1" s="1"/>
  <c r="F95" i="1" s="1"/>
  <c r="F97" i="1"/>
  <c r="F98" i="1" s="1"/>
  <c r="F103" i="1" s="1"/>
  <c r="F104" i="1" s="1"/>
  <c r="F110" i="1" s="1"/>
  <c r="F111" i="1" l="1"/>
  <c r="H83" i="1"/>
  <c r="G88" i="1"/>
  <c r="G90" i="1" s="1"/>
  <c r="G95" i="1" s="1"/>
  <c r="G97" i="1"/>
  <c r="G98" i="1" s="1"/>
  <c r="G103" i="1" s="1"/>
  <c r="G104" i="1" s="1"/>
  <c r="G110" i="1" s="1"/>
  <c r="H97" i="1" l="1"/>
  <c r="H98" i="1" s="1"/>
  <c r="H103" i="1" s="1"/>
  <c r="H104" i="1" s="1"/>
  <c r="H110" i="1" s="1"/>
  <c r="H88" i="1"/>
  <c r="H90" i="1" s="1"/>
  <c r="H95" i="1" s="1"/>
  <c r="F112" i="1"/>
  <c r="G111" i="1"/>
  <c r="H111" i="1" l="1"/>
  <c r="H112" i="1" s="1"/>
  <c r="G112" i="1"/>
  <c r="I97" i="1" l="1"/>
  <c r="I98" i="1" s="1"/>
  <c r="I117" i="1" l="1"/>
  <c r="I121" i="1" l="1"/>
  <c r="J117" i="1" l="1"/>
  <c r="J121" i="1" l="1"/>
  <c r="K117" i="1" l="1"/>
  <c r="K121" i="1" l="1"/>
  <c r="B129" i="1" l="1"/>
  <c r="K81" i="1" l="1"/>
  <c r="J81" i="1"/>
  <c r="J83" i="1" l="1"/>
  <c r="K83" i="1"/>
  <c r="K97" i="1" l="1"/>
  <c r="K98" i="1" s="1"/>
  <c r="K88" i="1"/>
  <c r="J97" i="1"/>
  <c r="J98" i="1" s="1"/>
  <c r="J88" i="1"/>
  <c r="K103" i="1" l="1"/>
  <c r="K104" i="1" s="1"/>
  <c r="K110" i="1" s="1"/>
  <c r="K90" i="1"/>
  <c r="K95" i="1" s="1"/>
  <c r="J90" i="1"/>
  <c r="J95" i="1" s="1"/>
  <c r="J103" i="1"/>
  <c r="J104" i="1" s="1"/>
  <c r="J110" i="1" s="1"/>
  <c r="J111" i="1" l="1"/>
  <c r="K111" i="1"/>
  <c r="K112" i="1" s="1"/>
  <c r="J112" i="1" l="1"/>
</calcChain>
</file>

<file path=xl/sharedStrings.xml><?xml version="1.0" encoding="utf-8"?>
<sst xmlns="http://schemas.openxmlformats.org/spreadsheetml/2006/main" count="228" uniqueCount="170">
  <si>
    <t>Preliminary Income Statement</t>
  </si>
  <si>
    <t>Commodity cost</t>
  </si>
  <si>
    <t>Distribution revenue</t>
  </si>
  <si>
    <t xml:space="preserve"> </t>
  </si>
  <si>
    <t>Expenses:</t>
  </si>
  <si>
    <t xml:space="preserve">     Administration</t>
  </si>
  <si>
    <t xml:space="preserve">     Customer Service</t>
  </si>
  <si>
    <t xml:space="preserve">     Amortization</t>
  </si>
  <si>
    <t>Total expenses</t>
  </si>
  <si>
    <t>Operating income before the undernoted</t>
  </si>
  <si>
    <t>Other income</t>
  </si>
  <si>
    <t>Regulatory Debit - PPE Adj.</t>
  </si>
  <si>
    <t>Finance Income</t>
  </si>
  <si>
    <t>Unrealized gain/(loss) on swap</t>
  </si>
  <si>
    <t>EBT</t>
  </si>
  <si>
    <t>Payments in lieu of corporation income taxes</t>
  </si>
  <si>
    <t>Additions:</t>
  </si>
  <si>
    <t>Unrealized (gain)/loss on swap</t>
  </si>
  <si>
    <t>SR&amp;ED expenditure deducted per financial statement</t>
  </si>
  <si>
    <t>Non-deductible Meals &amp; Entertainment Expenses</t>
  </si>
  <si>
    <t>Reserves from F/S(EFB) - Balance at The End of Year</t>
  </si>
  <si>
    <t>Health club membership</t>
  </si>
  <si>
    <t>12(1)(X)-CIAC</t>
  </si>
  <si>
    <t>Deductions:</t>
  </si>
  <si>
    <t>Gain on Disposal of Assets per F/S</t>
  </si>
  <si>
    <t>SR&amp;ED expenditure claimed in the year from Form T661</t>
  </si>
  <si>
    <t>CCA</t>
  </si>
  <si>
    <t>Reserves at Beginning of the year (employee future liability)</t>
  </si>
  <si>
    <t>Intangible plant assets</t>
  </si>
  <si>
    <t>Deduct: Donations</t>
  </si>
  <si>
    <t>Taxable income</t>
  </si>
  <si>
    <t>Taxes:</t>
  </si>
  <si>
    <t>Federal Income Tax</t>
  </si>
  <si>
    <t>Deduct:</t>
  </si>
  <si>
    <t>Federal Political Contribution credit</t>
  </si>
  <si>
    <t>Investment Tax credit from schedule 31</t>
  </si>
  <si>
    <t>Federal tax-Part 1</t>
  </si>
  <si>
    <t>Ontario Tax:</t>
  </si>
  <si>
    <t>Net Income ( Loss) for Federal Income Tax Purposes</t>
  </si>
  <si>
    <t>Net Income ( Loss) for Ontario Purposes</t>
  </si>
  <si>
    <t>less: Donations</t>
  </si>
  <si>
    <t>Ontario Income Tax</t>
  </si>
  <si>
    <t>Tax Credit-co-op education</t>
  </si>
  <si>
    <t>Tax Credit-apprenticeship training</t>
  </si>
  <si>
    <t>Net Ontario Income Tax</t>
  </si>
  <si>
    <t>Description</t>
  </si>
  <si>
    <t>Vehicles</t>
  </si>
  <si>
    <t>Total</t>
  </si>
  <si>
    <t>Account</t>
  </si>
  <si>
    <t>CCA class</t>
  </si>
  <si>
    <t>Servc Centre Bldgs</t>
  </si>
  <si>
    <t>Offc Furn &amp; Equip</t>
  </si>
  <si>
    <t>Tools &amp; Equip</t>
  </si>
  <si>
    <t>Comm. Equip</t>
  </si>
  <si>
    <t>SCADA</t>
  </si>
  <si>
    <t>Misc. Equipment</t>
  </si>
  <si>
    <t xml:space="preserve">Comp Sftwre </t>
  </si>
  <si>
    <t>Leasehold Improv</t>
  </si>
  <si>
    <t>Sub Trans Poles and Fixtures</t>
  </si>
  <si>
    <t>Sub Trans Conduct etc Overhead</t>
  </si>
  <si>
    <t>Substations</t>
  </si>
  <si>
    <t>Dist Poles</t>
  </si>
  <si>
    <t>Dist Wire</t>
  </si>
  <si>
    <t>Dist Duct</t>
  </si>
  <si>
    <t>Dist Cable</t>
  </si>
  <si>
    <t>Transformer</t>
  </si>
  <si>
    <t>contributions</t>
  </si>
  <si>
    <t>Services</t>
  </si>
  <si>
    <t>Meters</t>
  </si>
  <si>
    <t xml:space="preserve">  </t>
  </si>
  <si>
    <t>Comp Hdrwre</t>
  </si>
  <si>
    <t>Land</t>
  </si>
  <si>
    <t>N/A</t>
  </si>
  <si>
    <t>Sub trans Conduit UG</t>
  </si>
  <si>
    <t>Sub Trans Cond &amp; Dev</t>
  </si>
  <si>
    <t>Land Rights</t>
  </si>
  <si>
    <t>Bldg &amp; Fixtures</t>
  </si>
  <si>
    <t>TS Equipment</t>
  </si>
  <si>
    <t xml:space="preserve">Land  </t>
  </si>
  <si>
    <t>Stores Equip</t>
  </si>
  <si>
    <t>Test Equip</t>
  </si>
  <si>
    <t>CDM-Inst on Cust Prem</t>
  </si>
  <si>
    <t>Non-Utility Property - Renewables</t>
  </si>
  <si>
    <t>Net Cap exp.</t>
  </si>
  <si>
    <t>Misc int Plant</t>
  </si>
  <si>
    <t>Addback for Regulatory Assets-decrease</t>
  </si>
  <si>
    <t>Pension contribution capitalized for accounting</t>
  </si>
  <si>
    <t>Total Taxes- Cash</t>
  </si>
  <si>
    <t>Charitable Donations</t>
  </si>
  <si>
    <t>Co-op credit-prior year</t>
  </si>
  <si>
    <t>Proceeds on sales recorded for acctg, reduce UCC for tax</t>
  </si>
  <si>
    <t>Ontario SR&amp;ED tax credit(sch 508)-4.5% of Exp. on SR&amp;ED)-sch508</t>
  </si>
  <si>
    <t>Deduction for Regulatory Assets-increase</t>
  </si>
  <si>
    <t>Amortization-vehicles</t>
  </si>
  <si>
    <t>amortization not included in above</t>
  </si>
  <si>
    <t>Golf tournament expenses</t>
  </si>
  <si>
    <t>Amortization-Def Rev(CIAC)</t>
  </si>
  <si>
    <t>Net Income per Financial Statements</t>
  </si>
  <si>
    <t>Deferred Revenue IESO</t>
  </si>
  <si>
    <t xml:space="preserve">     Finance costs</t>
  </si>
  <si>
    <t>Depreciation/Amortization of Tangible/intangible Assets</t>
  </si>
  <si>
    <t>Reserves from F/S(EFB) - Balance at The End of Year(OCI)</t>
  </si>
  <si>
    <t>Regulatory Credit - IFRS/OEB</t>
  </si>
  <si>
    <t>Reserves from F/S(sick leave) - Balance at The End of Year</t>
  </si>
  <si>
    <t>Reserves at Beginning of the year (sick leave)</t>
  </si>
  <si>
    <t>Current period cost (sick leave) capitalized for accounting</t>
  </si>
  <si>
    <t>Other non-current assets rate app-change-increase</t>
  </si>
  <si>
    <t>Other non-current assets rate app-change-decrease</t>
  </si>
  <si>
    <t>Borrowing costs capitalization</t>
  </si>
  <si>
    <t>Land rights</t>
  </si>
  <si>
    <t>based on Q2 projections</t>
  </si>
  <si>
    <t>Projected additions in 2017</t>
  </si>
  <si>
    <t>2017 Capex Forecast</t>
  </si>
  <si>
    <t>As per CAPEX report</t>
  </si>
  <si>
    <t>DIFF</t>
  </si>
  <si>
    <t>Current/Past service cost (POEB) capitalized for accounting</t>
  </si>
  <si>
    <t>13(7.4) election CIAC</t>
  </si>
  <si>
    <t>OITC/ORDTC from prior year-12(1)(x)-4.5% of proxy  before June 1,2016 and 3.5% after May 31, 2016</t>
  </si>
  <si>
    <t>Deferred Revenue Affordability Fund Trust (AFT)</t>
  </si>
  <si>
    <t>Merger expenses-Eligible Capital Property</t>
  </si>
  <si>
    <t>Elexicon Energy Inc.</t>
  </si>
  <si>
    <t>Movement in stranded meters</t>
  </si>
  <si>
    <t xml:space="preserve">     Operating and maintenance</t>
  </si>
  <si>
    <t>Interest on leased asets</t>
  </si>
  <si>
    <t>Lease amortization</t>
  </si>
  <si>
    <t>Lease payments on leased assets</t>
  </si>
  <si>
    <t>Net OM&amp;A deduction-regulatory assets</t>
  </si>
  <si>
    <t>Provision for Income taxes-current</t>
  </si>
  <si>
    <t>Loss on Disposal of Assets per F/S</t>
  </si>
  <si>
    <t>2019                      Apr-Dec           actual tax return</t>
  </si>
  <si>
    <t>Ontario-CMT (Corporate Minimum Tax)</t>
  </si>
  <si>
    <t>Total comprehensive income</t>
  </si>
  <si>
    <t>OCI</t>
  </si>
  <si>
    <t>Commodity revenue</t>
  </si>
  <si>
    <t>2019 accrual not expensed</t>
  </si>
  <si>
    <t>PY Federal SR&amp;ED credit utilized</t>
  </si>
  <si>
    <t>PY donations utilized</t>
  </si>
  <si>
    <t>PY Provincial SR&amp;ED credit utilized</t>
  </si>
  <si>
    <t>PY non capital loss utilized</t>
  </si>
  <si>
    <t>Depreciation on transformer and switchgear stock</t>
  </si>
  <si>
    <t>2020 Tax return</t>
  </si>
  <si>
    <t>2025 Tax proj</t>
  </si>
  <si>
    <t>2026 Tax proj</t>
  </si>
  <si>
    <t>PYnon capital loss utilized</t>
  </si>
  <si>
    <t>Deferred Revenue ICM - Seaton</t>
  </si>
  <si>
    <t>Deferred Revenue ICM - BRT</t>
  </si>
  <si>
    <t>Interest expense limitation</t>
  </si>
  <si>
    <t>2021 amended Tax return</t>
  </si>
  <si>
    <t>2022 amended Tax return</t>
  </si>
  <si>
    <t>2023 tax return</t>
  </si>
  <si>
    <t>Non AIIP CCA</t>
  </si>
  <si>
    <t>Higher(lower) CCA due to AIIP</t>
  </si>
  <si>
    <t>2024 Tax prov</t>
  </si>
  <si>
    <t>2024 Tax return</t>
  </si>
  <si>
    <t>2018 Tax return VCI and WHEC</t>
  </si>
  <si>
    <t>2019 Jan-Mar Tax return VCI and WHEC</t>
  </si>
  <si>
    <t>Cash tax savings</t>
  </si>
  <si>
    <t>tax loss carried back</t>
  </si>
  <si>
    <t>Tax loss carry forward reserved for Elexicon</t>
  </si>
  <si>
    <t>As per PILs model(rounding difference)</t>
  </si>
  <si>
    <t>Accelerated CCA impact(reducing taxable income)</t>
  </si>
  <si>
    <t>Future tax savings in tax loss</t>
  </si>
  <si>
    <t>Totals 2018-2026</t>
  </si>
  <si>
    <t>26.5% statutory rate on higher(lower) CCA due to AIIP</t>
  </si>
  <si>
    <t>Net Income ( Loss) for Income Tax Purposes - with AIIP</t>
  </si>
  <si>
    <t>Net Income ( Loss) for Income Tax Purposes - withouut AIIP</t>
  </si>
  <si>
    <t>Taxable income - withouut AIIP</t>
  </si>
  <si>
    <t>Total Amount in lieu of Income Tax</t>
  </si>
  <si>
    <t>Tax Instalments paid/payable</t>
  </si>
  <si>
    <t>Cash Tax savings due to AIIP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</si>
</sst>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rgb="FFFF0000"/>
      <name val="Times New Roman"/>
      <family val="1"/>
    </font>
    <font>
      <sz val="10"/>
      <color rgb="FF000000"/>
      <name val="Arial"/>
      <family val="2"/>
    </font>
    <font>
      <sz val="9"/>
      <name val="Segoe UI"/>
      <family val="2"/>
    </font>
    <font>
      <sz val="9"/>
      <name val="Segoe UI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b/>
      <u/>
      <sz val="14"/>
      <name val="Times New Roman"/>
      <family val="1"/>
    </font>
    <font>
      <u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5" fontId="5" fillId="0" borderId="0" applyFont="0" applyFill="0" applyBorder="0" applyAlignment="0" applyProtection="0"/>
    <xf numFmtId="0" fontId="6" fillId="0" borderId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165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6" fillId="0" borderId="0">
      <alignment vertical="center"/>
    </xf>
  </cellStyleXfs>
  <cellXfs count="100">
    <xf numFmtId="0" fontId="0" fillId="0" borderId="0" xfId="0"/>
    <xf numFmtId="166" fontId="0" fillId="0" borderId="0" xfId="0" applyNumberFormat="1"/>
    <xf numFmtId="0" fontId="7" fillId="0" borderId="0" xfId="8" applyFont="1"/>
    <xf numFmtId="0" fontId="7" fillId="0" borderId="0" xfId="8" applyFont="1" applyAlignment="1">
      <alignment horizontal="center"/>
    </xf>
    <xf numFmtId="0" fontId="8" fillId="0" borderId="0" xfId="8" applyFont="1"/>
    <xf numFmtId="0" fontId="7" fillId="0" borderId="0" xfId="8" applyFont="1" applyAlignment="1">
      <alignment horizontal="center" wrapText="1"/>
    </xf>
    <xf numFmtId="0" fontId="9" fillId="0" borderId="11" xfId="8" applyFont="1" applyBorder="1"/>
    <xf numFmtId="0" fontId="9" fillId="0" borderId="0" xfId="8" applyFont="1"/>
    <xf numFmtId="167" fontId="9" fillId="0" borderId="0" xfId="9" applyNumberFormat="1" applyFont="1" applyFill="1" applyAlignment="1">
      <alignment wrapText="1"/>
    </xf>
    <xf numFmtId="0" fontId="7" fillId="0" borderId="0" xfId="9" applyNumberFormat="1" applyFont="1" applyFill="1" applyAlignment="1">
      <alignment horizontal="center" wrapText="1"/>
    </xf>
    <xf numFmtId="167" fontId="7" fillId="0" borderId="0" xfId="9" applyNumberFormat="1" applyFont="1" applyFill="1" applyAlignment="1">
      <alignment wrapText="1"/>
    </xf>
    <xf numFmtId="167" fontId="0" fillId="0" borderId="0" xfId="0" applyNumberFormat="1"/>
    <xf numFmtId="167" fontId="9" fillId="0" borderId="10" xfId="9" applyNumberFormat="1" applyFont="1" applyFill="1" applyBorder="1" applyAlignment="1">
      <alignment wrapText="1"/>
    </xf>
    <xf numFmtId="167" fontId="7" fillId="0" borderId="0" xfId="9" applyNumberFormat="1" applyFont="1" applyFill="1" applyAlignment="1">
      <alignment horizontal="center" wrapText="1"/>
    </xf>
    <xf numFmtId="167" fontId="8" fillId="0" borderId="0" xfId="8" applyNumberFormat="1" applyFont="1"/>
    <xf numFmtId="166" fontId="11" fillId="0" borderId="2" xfId="1" applyNumberFormat="1" applyFont="1" applyFill="1" applyBorder="1"/>
    <xf numFmtId="166" fontId="10" fillId="0" borderId="2" xfId="5" applyNumberFormat="1" applyFont="1" applyFill="1" applyBorder="1"/>
    <xf numFmtId="167" fontId="7" fillId="0" borderId="0" xfId="8" applyNumberFormat="1" applyFont="1"/>
    <xf numFmtId="167" fontId="9" fillId="0" borderId="0" xfId="9" applyNumberFormat="1" applyFont="1" applyFill="1" applyBorder="1" applyAlignment="1">
      <alignment wrapText="1"/>
    </xf>
    <xf numFmtId="167" fontId="7" fillId="0" borderId="10" xfId="9" applyNumberFormat="1" applyFont="1" applyFill="1" applyBorder="1" applyAlignment="1">
      <alignment wrapText="1"/>
    </xf>
    <xf numFmtId="166" fontId="2" fillId="0" borderId="0" xfId="1" applyNumberFormat="1" applyFont="1" applyFill="1"/>
    <xf numFmtId="167" fontId="13" fillId="0" borderId="0" xfId="9" applyNumberFormat="1" applyFont="1" applyFill="1" applyAlignment="1">
      <alignment wrapText="1"/>
    </xf>
    <xf numFmtId="166" fontId="0" fillId="0" borderId="0" xfId="1" applyNumberFormat="1" applyFont="1" applyFill="1"/>
    <xf numFmtId="37" fontId="0" fillId="0" borderId="0" xfId="0" applyNumberFormat="1"/>
    <xf numFmtId="166" fontId="11" fillId="0" borderId="2" xfId="5" applyNumberFormat="1" applyFont="1" applyFill="1" applyBorder="1"/>
    <xf numFmtId="166" fontId="11" fillId="0" borderId="0" xfId="1" applyNumberFormat="1" applyFont="1" applyFill="1"/>
    <xf numFmtId="165" fontId="11" fillId="0" borderId="2" xfId="1" applyFont="1" applyFill="1" applyBorder="1"/>
    <xf numFmtId="166" fontId="11" fillId="0" borderId="7" xfId="1" applyNumberFormat="1" applyFont="1" applyFill="1" applyBorder="1"/>
    <xf numFmtId="166" fontId="11" fillId="0" borderId="6" xfId="1" applyNumberFormat="1" applyFont="1" applyFill="1" applyBorder="1"/>
    <xf numFmtId="166" fontId="11" fillId="0" borderId="15" xfId="1" applyNumberFormat="1" applyFont="1" applyFill="1" applyBorder="1"/>
    <xf numFmtId="166" fontId="10" fillId="0" borderId="0" xfId="1" applyNumberFormat="1" applyFont="1" applyFill="1"/>
    <xf numFmtId="166" fontId="11" fillId="0" borderId="0" xfId="1" applyNumberFormat="1" applyFont="1" applyFill="1" applyBorder="1"/>
    <xf numFmtId="166" fontId="11" fillId="0" borderId="13" xfId="5" applyNumberFormat="1" applyFont="1" applyFill="1" applyBorder="1"/>
    <xf numFmtId="166" fontId="11" fillId="0" borderId="5" xfId="1" applyNumberFormat="1" applyFont="1" applyFill="1" applyBorder="1"/>
    <xf numFmtId="166" fontId="11" fillId="0" borderId="18" xfId="1" applyNumberFormat="1" applyFont="1" applyFill="1" applyBorder="1"/>
    <xf numFmtId="166" fontId="11" fillId="0" borderId="9" xfId="1" applyNumberFormat="1" applyFont="1" applyFill="1" applyBorder="1"/>
    <xf numFmtId="10" fontId="11" fillId="0" borderId="0" xfId="2" applyNumberFormat="1" applyFont="1" applyFill="1"/>
    <xf numFmtId="0" fontId="10" fillId="0" borderId="4" xfId="0" applyFont="1" applyBorder="1" applyAlignment="1">
      <alignment horizontal="center" wrapText="1"/>
    </xf>
    <xf numFmtId="0" fontId="10" fillId="0" borderId="9" xfId="3" applyFont="1" applyBorder="1" applyAlignment="1">
      <alignment horizontal="center" wrapText="1"/>
    </xf>
    <xf numFmtId="0" fontId="10" fillId="0" borderId="2" xfId="4" applyFont="1" applyBorder="1" applyAlignment="1">
      <alignment vertical="top" wrapText="1"/>
    </xf>
    <xf numFmtId="0" fontId="10" fillId="0" borderId="2" xfId="4" applyFont="1" applyBorder="1" applyAlignment="1">
      <alignment wrapText="1"/>
    </xf>
    <xf numFmtId="0" fontId="11" fillId="0" borderId="2" xfId="4" applyFont="1" applyBorder="1" applyAlignment="1">
      <alignment wrapText="1"/>
    </xf>
    <xf numFmtId="0" fontId="10" fillId="0" borderId="2" xfId="3" applyFont="1" applyBorder="1" applyAlignment="1">
      <alignment wrapText="1"/>
    </xf>
    <xf numFmtId="0" fontId="4" fillId="0" borderId="2" xfId="0" applyFont="1" applyBorder="1"/>
    <xf numFmtId="0" fontId="11" fillId="0" borderId="2" xfId="4" applyFont="1" applyBorder="1"/>
    <xf numFmtId="0" fontId="12" fillId="0" borderId="2" xfId="4" applyFont="1" applyBorder="1" applyAlignment="1">
      <alignment wrapText="1"/>
    </xf>
    <xf numFmtId="0" fontId="10" fillId="0" borderId="0" xfId="0" applyFont="1" applyAlignment="1">
      <alignment wrapText="1"/>
    </xf>
    <xf numFmtId="0" fontId="4" fillId="0" borderId="10" xfId="0" applyFont="1" applyBorder="1"/>
    <xf numFmtId="0" fontId="4" fillId="0" borderId="0" xfId="0" applyFont="1"/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166" fontId="11" fillId="0" borderId="7" xfId="1" applyNumberFormat="1" applyFont="1" applyFill="1" applyBorder="1" applyAlignment="1">
      <alignment horizontal="right"/>
    </xf>
    <xf numFmtId="0" fontId="11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166" fontId="11" fillId="0" borderId="4" xfId="1" applyNumberFormat="1" applyFont="1" applyFill="1" applyBorder="1"/>
    <xf numFmtId="166" fontId="11" fillId="0" borderId="17" xfId="1" applyNumberFormat="1" applyFont="1" applyFill="1" applyBorder="1"/>
    <xf numFmtId="0" fontId="4" fillId="0" borderId="7" xfId="0" applyFont="1" applyBorder="1"/>
    <xf numFmtId="0" fontId="11" fillId="0" borderId="5" xfId="0" applyFont="1" applyBorder="1" applyAlignment="1">
      <alignment horizontal="left" wrapText="1"/>
    </xf>
    <xf numFmtId="166" fontId="4" fillId="0" borderId="7" xfId="0" applyNumberFormat="1" applyFont="1" applyBorder="1"/>
    <xf numFmtId="37" fontId="11" fillId="0" borderId="0" xfId="0" applyNumberFormat="1" applyFont="1" applyAlignment="1">
      <alignment horizontal="right"/>
    </xf>
    <xf numFmtId="0" fontId="11" fillId="0" borderId="3" xfId="0" applyFont="1" applyBorder="1" applyAlignment="1">
      <alignment horizontal="left" wrapText="1"/>
    </xf>
    <xf numFmtId="166" fontId="11" fillId="0" borderId="19" xfId="1" applyNumberFormat="1" applyFont="1" applyFill="1" applyBorder="1"/>
    <xf numFmtId="0" fontId="11" fillId="0" borderId="0" xfId="0" applyFont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66" fontId="10" fillId="0" borderId="8" xfId="1" applyNumberFormat="1" applyFont="1" applyFill="1" applyBorder="1"/>
    <xf numFmtId="166" fontId="10" fillId="0" borderId="14" xfId="1" applyNumberFormat="1" applyFont="1" applyFill="1" applyBorder="1"/>
    <xf numFmtId="166" fontId="11" fillId="0" borderId="7" xfId="0" applyNumberFormat="1" applyFont="1" applyBorder="1"/>
    <xf numFmtId="0" fontId="11" fillId="0" borderId="7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4" fillId="0" borderId="6" xfId="0" applyFont="1" applyBorder="1"/>
    <xf numFmtId="0" fontId="4" fillId="0" borderId="0" xfId="0" applyFont="1" applyAlignment="1">
      <alignment wrapText="1"/>
    </xf>
    <xf numFmtId="10" fontId="4" fillId="0" borderId="2" xfId="2" applyNumberFormat="1" applyFont="1" applyFill="1" applyBorder="1"/>
    <xf numFmtId="168" fontId="11" fillId="0" borderId="2" xfId="1" applyNumberFormat="1" applyFont="1" applyFill="1" applyBorder="1"/>
    <xf numFmtId="0" fontId="11" fillId="0" borderId="1" xfId="0" applyFont="1" applyBorder="1" applyAlignment="1">
      <alignment horizontal="left" wrapText="1"/>
    </xf>
    <xf numFmtId="0" fontId="17" fillId="0" borderId="0" xfId="0" applyFont="1"/>
    <xf numFmtId="0" fontId="17" fillId="0" borderId="0" xfId="0" applyFont="1" applyAlignment="1">
      <alignment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0" fillId="0" borderId="2" xfId="0" applyFont="1" applyBorder="1" applyAlignment="1">
      <alignment horizontal="center" wrapText="1"/>
    </xf>
    <xf numFmtId="0" fontId="10" fillId="0" borderId="10" xfId="0" applyFont="1" applyBorder="1" applyAlignment="1">
      <alignment wrapText="1"/>
    </xf>
    <xf numFmtId="0" fontId="11" fillId="0" borderId="2" xfId="3" applyFont="1" applyBorder="1" applyAlignment="1">
      <alignment wrapText="1"/>
    </xf>
    <xf numFmtId="166" fontId="11" fillId="0" borderId="12" xfId="5" applyNumberFormat="1" applyFont="1" applyFill="1" applyBorder="1"/>
    <xf numFmtId="166" fontId="11" fillId="0" borderId="16" xfId="5" applyNumberFormat="1" applyFont="1" applyFill="1" applyBorder="1"/>
    <xf numFmtId="166" fontId="11" fillId="0" borderId="2" xfId="1" applyNumberFormat="1" applyFont="1" applyFill="1" applyBorder="1" applyAlignment="1">
      <alignment wrapText="1"/>
    </xf>
    <xf numFmtId="0" fontId="10" fillId="0" borderId="2" xfId="3" applyFont="1" applyBorder="1" applyAlignment="1">
      <alignment horizontal="center" wrapText="1"/>
    </xf>
    <xf numFmtId="0" fontId="11" fillId="0" borderId="2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20" fillId="0" borderId="2" xfId="4" applyFont="1" applyBorder="1" applyAlignment="1">
      <alignment wrapText="1"/>
    </xf>
    <xf numFmtId="166" fontId="11" fillId="0" borderId="7" xfId="5" applyNumberFormat="1" applyFont="1" applyFill="1" applyBorder="1"/>
    <xf numFmtId="166" fontId="11" fillId="0" borderId="18" xfId="5" applyNumberFormat="1" applyFont="1" applyFill="1" applyBorder="1"/>
    <xf numFmtId="0" fontId="10" fillId="0" borderId="6" xfId="3" applyFont="1" applyBorder="1" applyAlignment="1">
      <alignment wrapText="1"/>
    </xf>
    <xf numFmtId="166" fontId="10" fillId="0" borderId="6" xfId="1" applyNumberFormat="1" applyFont="1" applyBorder="1" applyAlignment="1">
      <alignment wrapText="1"/>
    </xf>
    <xf numFmtId="166" fontId="18" fillId="0" borderId="0" xfId="0" applyNumberFormat="1" applyFont="1"/>
    <xf numFmtId="0" fontId="5" fillId="0" borderId="0" xfId="0" applyFont="1" applyAlignment="1">
      <alignment wrapText="1"/>
    </xf>
    <xf numFmtId="166" fontId="21" fillId="0" borderId="0" xfId="1" applyNumberFormat="1" applyFont="1" applyFill="1"/>
    <xf numFmtId="0" fontId="5" fillId="0" borderId="0" xfId="0" applyFont="1"/>
    <xf numFmtId="166" fontId="5" fillId="0" borderId="0" xfId="0" applyNumberFormat="1" applyFont="1"/>
  </cellXfs>
  <cellStyles count="20">
    <cellStyle name="Comma" xfId="1" builtinId="3"/>
    <cellStyle name="Comma 10" xfId="17" xr:uid="{00000000-0005-0000-0000-000001000000}"/>
    <cellStyle name="Comma 13 3" xfId="15" xr:uid="{00000000-0005-0000-0000-000002000000}"/>
    <cellStyle name="Comma 2" xfId="7" xr:uid="{00000000-0005-0000-0000-000003000000}"/>
    <cellStyle name="Comma 3" xfId="5" xr:uid="{00000000-0005-0000-0000-000004000000}"/>
    <cellStyle name="Currency 11" xfId="16" xr:uid="{00000000-0005-0000-0000-000005000000}"/>
    <cellStyle name="Currency 2" xfId="9" xr:uid="{00000000-0005-0000-0000-000006000000}"/>
    <cellStyle name="Normal" xfId="0" builtinId="0"/>
    <cellStyle name="Normal 10" xfId="11" xr:uid="{00000000-0005-0000-0000-000008000000}"/>
    <cellStyle name="Normal 10 3" xfId="18" xr:uid="{00000000-0005-0000-0000-000009000000}"/>
    <cellStyle name="Normal 14" xfId="13" xr:uid="{00000000-0005-0000-0000-00000A000000}"/>
    <cellStyle name="Normal 18" xfId="14" xr:uid="{00000000-0005-0000-0000-00000B000000}"/>
    <cellStyle name="Normal 2" xfId="10" xr:uid="{00000000-0005-0000-0000-00000C000000}"/>
    <cellStyle name="Normal 2 2 2" xfId="8" xr:uid="{00000000-0005-0000-0000-00000D000000}"/>
    <cellStyle name="Normal 3" xfId="6" xr:uid="{00000000-0005-0000-0000-00000E000000}"/>
    <cellStyle name="Normal 4" xfId="19" xr:uid="{00000000-0005-0000-0000-00000F000000}"/>
    <cellStyle name="Normal 6" xfId="12" xr:uid="{00000000-0005-0000-0000-000010000000}"/>
    <cellStyle name="Normal_OM&amp;A March 2006-Downloaded May 11-06" xfId="3" xr:uid="{00000000-0005-0000-0000-000012000000}"/>
    <cellStyle name="Normal_Taxes" xfId="4" xr:uid="{00000000-0005-0000-0000-000013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841080</xdr:colOff>
      <xdr:row>120</xdr:row>
      <xdr:rowOff>0</xdr:rowOff>
    </xdr:from>
    <xdr:to>
      <xdr:col>4</xdr:col>
      <xdr:colOff>841440</xdr:colOff>
      <xdr:row>120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F6224FF5-D09E-B723-E56B-7A40C03BB820}"/>
                </a:ext>
              </a:extLst>
            </xdr14:cNvPr>
            <xdr14:cNvContentPartPr/>
          </xdr14:nvContentPartPr>
          <xdr14:nvPr macro=""/>
          <xdr14:xfrm>
            <a:off x="7373643" y="32511858"/>
            <a:ext cx="36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F6224FF5-D09E-B723-E56B-7A40C03BB82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367523" y="32505738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10T13:58:41.83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24575,'0'0'-8191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9"/>
  <sheetViews>
    <sheetView tabSelected="1" zoomScale="80" zoomScaleNormal="80" zoomScaleSheetLayoutView="85" workbookViewId="0">
      <pane xSplit="1" ySplit="2" topLeftCell="B97" activePane="bottomRight" state="frozen"/>
      <selection pane="topRight" activeCell="B1" sqref="B1"/>
      <selection pane="bottomLeft" activeCell="A3" sqref="A3"/>
      <selection pane="bottomRight" activeCell="L121" sqref="L121"/>
    </sheetView>
  </sheetViews>
  <sheetFormatPr defaultColWidth="9.140625" defaultRowHeight="14.25" x14ac:dyDescent="0.2"/>
  <cols>
    <col min="1" max="1" width="49.85546875" style="72" customWidth="1"/>
    <col min="2" max="2" width="14.140625" style="72" customWidth="1"/>
    <col min="3" max="3" width="12.42578125" style="72" customWidth="1"/>
    <col min="4" max="4" width="17.85546875" style="48" customWidth="1"/>
    <col min="5" max="5" width="15.85546875" style="48" bestFit="1" customWidth="1"/>
    <col min="6" max="11" width="15.85546875" style="25" bestFit="1" customWidth="1"/>
    <col min="12" max="16384" width="9.140625" style="48"/>
  </cols>
  <sheetData>
    <row r="1" spans="1:11" ht="15" x14ac:dyDescent="0.25">
      <c r="A1" s="82" t="s">
        <v>120</v>
      </c>
      <c r="B1" s="46"/>
      <c r="C1" s="46"/>
      <c r="D1" s="47"/>
      <c r="E1" s="47"/>
    </row>
    <row r="2" spans="1:11" ht="60" x14ac:dyDescent="0.25">
      <c r="A2" s="49" t="s">
        <v>0</v>
      </c>
      <c r="B2" s="37" t="s">
        <v>154</v>
      </c>
      <c r="C2" s="37" t="s">
        <v>155</v>
      </c>
      <c r="D2" s="50" t="s">
        <v>129</v>
      </c>
      <c r="E2" s="37" t="s">
        <v>140</v>
      </c>
      <c r="F2" s="37" t="s">
        <v>147</v>
      </c>
      <c r="G2" s="37" t="s">
        <v>148</v>
      </c>
      <c r="H2" s="37" t="s">
        <v>149</v>
      </c>
      <c r="I2" s="37" t="s">
        <v>153</v>
      </c>
      <c r="J2" s="37" t="s">
        <v>141</v>
      </c>
      <c r="K2" s="37" t="s">
        <v>142</v>
      </c>
    </row>
    <row r="3" spans="1:11" x14ac:dyDescent="0.2">
      <c r="A3" s="51" t="s">
        <v>133</v>
      </c>
      <c r="B3" s="52"/>
      <c r="C3" s="52"/>
      <c r="D3" s="27">
        <v>294933975</v>
      </c>
      <c r="E3" s="27">
        <v>472647991</v>
      </c>
      <c r="F3" s="27">
        <v>414874804</v>
      </c>
      <c r="G3" s="27">
        <v>418355604</v>
      </c>
      <c r="H3" s="27">
        <v>406873362</v>
      </c>
      <c r="I3" s="27">
        <v>447347278</v>
      </c>
      <c r="J3" s="53">
        <v>487712349.82868004</v>
      </c>
      <c r="K3" s="27">
        <v>518005054.96741676</v>
      </c>
    </row>
    <row r="4" spans="1:11" x14ac:dyDescent="0.2">
      <c r="A4" s="54" t="s">
        <v>1</v>
      </c>
      <c r="B4" s="54"/>
      <c r="C4" s="54"/>
      <c r="D4" s="28">
        <v>-294933977</v>
      </c>
      <c r="E4" s="28">
        <v>-472647888</v>
      </c>
      <c r="F4" s="28">
        <v>-414874335</v>
      </c>
      <c r="G4" s="28">
        <v>-418355604</v>
      </c>
      <c r="H4" s="28">
        <v>-406873361</v>
      </c>
      <c r="I4" s="28">
        <v>-447347278</v>
      </c>
      <c r="J4" s="53">
        <v>-487712349.82868004</v>
      </c>
      <c r="K4" s="28">
        <v>-518005054.96741676</v>
      </c>
    </row>
    <row r="5" spans="1:11" ht="15" x14ac:dyDescent="0.25">
      <c r="A5" s="55" t="s">
        <v>3</v>
      </c>
      <c r="B5" s="55"/>
      <c r="C5" s="55"/>
      <c r="D5" s="27">
        <f t="shared" ref="D5:I5" si="0">D3+D4</f>
        <v>-2</v>
      </c>
      <c r="E5" s="27">
        <f t="shared" si="0"/>
        <v>103</v>
      </c>
      <c r="F5" s="27">
        <f t="shared" si="0"/>
        <v>469</v>
      </c>
      <c r="G5" s="56">
        <f t="shared" si="0"/>
        <v>0</v>
      </c>
      <c r="H5" s="27">
        <f t="shared" si="0"/>
        <v>1</v>
      </c>
      <c r="I5" s="57">
        <f t="shared" si="0"/>
        <v>0</v>
      </c>
      <c r="J5" s="57">
        <f>J3+J4</f>
        <v>0</v>
      </c>
      <c r="K5" s="27">
        <f t="shared" ref="K5" si="1">K3+K4</f>
        <v>0</v>
      </c>
    </row>
    <row r="6" spans="1:11" ht="15" x14ac:dyDescent="0.25">
      <c r="A6" s="55" t="s">
        <v>2</v>
      </c>
      <c r="B6" s="55"/>
      <c r="C6" s="55"/>
      <c r="D6" s="27">
        <v>58090215</v>
      </c>
      <c r="E6" s="27">
        <f>80495348-1208843</f>
        <v>79286505</v>
      </c>
      <c r="F6" s="27">
        <v>81932099</v>
      </c>
      <c r="G6" s="27">
        <v>83371004</v>
      </c>
      <c r="H6" s="27">
        <v>93573338</v>
      </c>
      <c r="I6" s="27">
        <v>99593235</v>
      </c>
      <c r="J6" s="34">
        <v>100353428.99999999</v>
      </c>
      <c r="K6" s="27">
        <v>107668135</v>
      </c>
    </row>
    <row r="7" spans="1:11" x14ac:dyDescent="0.2">
      <c r="A7" s="52" t="s">
        <v>4</v>
      </c>
      <c r="B7" s="52"/>
      <c r="C7" s="52"/>
      <c r="D7" s="58"/>
      <c r="E7" s="58"/>
      <c r="F7" s="27"/>
      <c r="G7" s="27"/>
      <c r="H7" s="27"/>
      <c r="I7" s="27"/>
      <c r="J7" s="34"/>
      <c r="K7" s="27"/>
    </row>
    <row r="8" spans="1:11" x14ac:dyDescent="0.2">
      <c r="A8" s="52" t="s">
        <v>122</v>
      </c>
      <c r="B8" s="52"/>
      <c r="C8" s="52"/>
      <c r="D8" s="27">
        <v>-12185369</v>
      </c>
      <c r="E8" s="27">
        <v>-14261726</v>
      </c>
      <c r="F8" s="27">
        <v>-15202818</v>
      </c>
      <c r="G8" s="27">
        <v>-16174425</v>
      </c>
      <c r="H8" s="27">
        <v>-15852596</v>
      </c>
      <c r="I8" s="27">
        <v>-20748045</v>
      </c>
      <c r="J8" s="33">
        <v>-59372176.30663728</v>
      </c>
      <c r="K8" s="27">
        <v>-63054322.895821311</v>
      </c>
    </row>
    <row r="9" spans="1:11" x14ac:dyDescent="0.2">
      <c r="A9" s="52" t="s">
        <v>5</v>
      </c>
      <c r="B9" s="52"/>
      <c r="C9" s="52"/>
      <c r="D9" s="27">
        <v>-14445727</v>
      </c>
      <c r="E9" s="27">
        <v>-18688578</v>
      </c>
      <c r="F9" s="27">
        <v>-18352995</v>
      </c>
      <c r="G9" s="27">
        <v>-20429074</v>
      </c>
      <c r="H9" s="27">
        <v>-21667794</v>
      </c>
      <c r="I9" s="27">
        <v>-23479306</v>
      </c>
      <c r="J9" s="33"/>
      <c r="K9" s="27">
        <v>0</v>
      </c>
    </row>
    <row r="10" spans="1:11" x14ac:dyDescent="0.2">
      <c r="A10" s="52" t="s">
        <v>6</v>
      </c>
      <c r="B10" s="52"/>
      <c r="C10" s="52"/>
      <c r="D10" s="27">
        <v>-7459222</v>
      </c>
      <c r="E10" s="27">
        <v>-11355587</v>
      </c>
      <c r="F10" s="27">
        <v>-10770334</v>
      </c>
      <c r="G10" s="27">
        <v>-10023190</v>
      </c>
      <c r="H10" s="27">
        <v>-10583609</v>
      </c>
      <c r="I10" s="27">
        <v>-11581087</v>
      </c>
      <c r="J10" s="33"/>
      <c r="K10" s="27">
        <v>0</v>
      </c>
    </row>
    <row r="11" spans="1:11" x14ac:dyDescent="0.2">
      <c r="A11" s="54" t="s">
        <v>7</v>
      </c>
      <c r="B11" s="54"/>
      <c r="C11" s="54"/>
      <c r="D11" s="28">
        <v>-13523269</v>
      </c>
      <c r="E11" s="28">
        <v>-19221868</v>
      </c>
      <c r="F11" s="28">
        <v>-20671199</v>
      </c>
      <c r="G11" s="27">
        <v>-22571859</v>
      </c>
      <c r="H11" s="27">
        <v>-24499133</v>
      </c>
      <c r="I11" s="33">
        <v>-26530009</v>
      </c>
      <c r="J11" s="33">
        <v>-22945864.640000008</v>
      </c>
      <c r="K11" s="33">
        <v>-23263461.520000014</v>
      </c>
    </row>
    <row r="12" spans="1:11" x14ac:dyDescent="0.2">
      <c r="A12" s="52" t="s">
        <v>99</v>
      </c>
      <c r="B12" s="52"/>
      <c r="C12" s="52"/>
      <c r="D12" s="27">
        <v>-5324287</v>
      </c>
      <c r="E12" s="27">
        <v>-6561917</v>
      </c>
      <c r="F12" s="27">
        <v>-6226093</v>
      </c>
      <c r="G12" s="28">
        <v>-9235886</v>
      </c>
      <c r="H12" s="28">
        <v>-16822366</v>
      </c>
      <c r="I12" s="28">
        <v>-16998971</v>
      </c>
      <c r="J12" s="35">
        <v>-15496718.127600001</v>
      </c>
      <c r="K12" s="28">
        <v>-13911963.714200001</v>
      </c>
    </row>
    <row r="13" spans="1:11" ht="15" x14ac:dyDescent="0.25">
      <c r="A13" s="55" t="s">
        <v>8</v>
      </c>
      <c r="B13" s="55"/>
      <c r="C13" s="55"/>
      <c r="D13" s="27">
        <f t="shared" ref="D13:I13" si="2">SUM(D8:D12)</f>
        <v>-52937874</v>
      </c>
      <c r="E13" s="27">
        <f t="shared" si="2"/>
        <v>-70089676</v>
      </c>
      <c r="F13" s="27">
        <f t="shared" si="2"/>
        <v>-71223439</v>
      </c>
      <c r="G13" s="33">
        <f t="shared" si="2"/>
        <v>-78434434</v>
      </c>
      <c r="H13" s="27">
        <f t="shared" si="2"/>
        <v>-89425498</v>
      </c>
      <c r="I13" s="27">
        <f t="shared" si="2"/>
        <v>-99337418</v>
      </c>
      <c r="J13" s="34">
        <f t="shared" ref="J13:K13" si="3">SUM(J8:J12)</f>
        <v>-97814759.074237287</v>
      </c>
      <c r="K13" s="27">
        <f t="shared" si="3"/>
        <v>-100229748.13002133</v>
      </c>
    </row>
    <row r="14" spans="1:11" ht="15" x14ac:dyDescent="0.25">
      <c r="A14" s="55"/>
      <c r="B14" s="55"/>
      <c r="C14" s="55"/>
      <c r="D14" s="58"/>
      <c r="E14" s="58"/>
      <c r="F14" s="27"/>
      <c r="G14" s="27"/>
      <c r="H14" s="27"/>
      <c r="I14" s="27"/>
      <c r="J14" s="34"/>
      <c r="K14" s="27"/>
    </row>
    <row r="15" spans="1:11" x14ac:dyDescent="0.2">
      <c r="A15" s="52" t="s">
        <v>9</v>
      </c>
      <c r="B15" s="52"/>
      <c r="C15" s="52"/>
      <c r="D15" s="27">
        <f t="shared" ref="D15:K15" si="4">D5+D6+D13</f>
        <v>5152339</v>
      </c>
      <c r="E15" s="27">
        <f t="shared" si="4"/>
        <v>9196932</v>
      </c>
      <c r="F15" s="27">
        <f t="shared" si="4"/>
        <v>10709129</v>
      </c>
      <c r="G15" s="27">
        <f t="shared" si="4"/>
        <v>4936570</v>
      </c>
      <c r="H15" s="27">
        <f t="shared" si="4"/>
        <v>4147841</v>
      </c>
      <c r="I15" s="27">
        <f t="shared" si="4"/>
        <v>255817</v>
      </c>
      <c r="J15" s="27">
        <f t="shared" si="4"/>
        <v>2538669.9257626981</v>
      </c>
      <c r="K15" s="27">
        <f t="shared" si="4"/>
        <v>7438386.8699786663</v>
      </c>
    </row>
    <row r="16" spans="1:11" x14ac:dyDescent="0.2">
      <c r="A16" s="59" t="s">
        <v>10</v>
      </c>
      <c r="B16" s="59"/>
      <c r="C16" s="59"/>
      <c r="D16" s="27">
        <v>2575034</v>
      </c>
      <c r="E16" s="27">
        <v>6066396</v>
      </c>
      <c r="F16" s="27">
        <f>5751493-474611</f>
        <v>5276882</v>
      </c>
      <c r="G16" s="27">
        <f>7916447-1160015</f>
        <v>6756432</v>
      </c>
      <c r="H16" s="27">
        <f>8072752-1047241</f>
        <v>7025511</v>
      </c>
      <c r="I16" s="27">
        <v>9309901</v>
      </c>
      <c r="J16" s="34">
        <v>3918256.2681480097</v>
      </c>
      <c r="K16" s="27">
        <v>4034846.0781332096</v>
      </c>
    </row>
    <row r="17" spans="1:11" x14ac:dyDescent="0.2">
      <c r="A17" s="59" t="s">
        <v>11</v>
      </c>
      <c r="B17" s="59"/>
      <c r="C17" s="59"/>
      <c r="D17" s="60"/>
      <c r="E17" s="60"/>
      <c r="F17" s="27"/>
      <c r="G17" s="27"/>
      <c r="H17" s="27"/>
      <c r="I17" s="27"/>
      <c r="J17" s="34"/>
      <c r="K17" s="27"/>
    </row>
    <row r="18" spans="1:11" x14ac:dyDescent="0.2">
      <c r="A18" s="59" t="s">
        <v>102</v>
      </c>
      <c r="B18" s="59"/>
      <c r="C18" s="59"/>
      <c r="D18" s="27"/>
      <c r="E18" s="27"/>
      <c r="F18" s="27"/>
      <c r="G18" s="27"/>
      <c r="H18" s="27">
        <v>0</v>
      </c>
      <c r="I18" s="27">
        <v>0</v>
      </c>
      <c r="J18" s="34">
        <v>0</v>
      </c>
      <c r="K18" s="27">
        <v>0</v>
      </c>
    </row>
    <row r="19" spans="1:11" x14ac:dyDescent="0.2">
      <c r="A19" s="59" t="s">
        <v>12</v>
      </c>
      <c r="B19" s="59"/>
      <c r="C19" s="59"/>
      <c r="D19" s="27">
        <v>305349</v>
      </c>
      <c r="E19" s="27">
        <v>257052</v>
      </c>
      <c r="F19" s="27">
        <v>172098</v>
      </c>
      <c r="G19" s="27">
        <v>803493</v>
      </c>
      <c r="H19" s="61">
        <v>1928819</v>
      </c>
      <c r="I19" s="27">
        <v>1619272</v>
      </c>
      <c r="J19" s="34">
        <v>0</v>
      </c>
      <c r="K19" s="27">
        <v>0</v>
      </c>
    </row>
    <row r="20" spans="1:11" x14ac:dyDescent="0.2">
      <c r="A20" s="62" t="s">
        <v>13</v>
      </c>
      <c r="B20" s="62"/>
      <c r="C20" s="62"/>
      <c r="D20" s="28">
        <v>-82436</v>
      </c>
      <c r="E20" s="28">
        <v>-3465541</v>
      </c>
      <c r="F20" s="27">
        <v>2963297</v>
      </c>
      <c r="G20" s="27">
        <v>6481739</v>
      </c>
      <c r="H20" s="27">
        <v>-11081361</v>
      </c>
      <c r="I20" s="27">
        <v>-1207766</v>
      </c>
      <c r="J20" s="34">
        <v>50000</v>
      </c>
      <c r="K20" s="27">
        <v>0</v>
      </c>
    </row>
    <row r="21" spans="1:11" ht="15" x14ac:dyDescent="0.25">
      <c r="A21" s="55" t="s">
        <v>14</v>
      </c>
      <c r="B21" s="55"/>
      <c r="C21" s="89"/>
      <c r="D21" s="56">
        <f t="shared" ref="D21:K21" si="5">SUM(D15:D20)</f>
        <v>7950286</v>
      </c>
      <c r="E21" s="56">
        <f t="shared" si="5"/>
        <v>12054839</v>
      </c>
      <c r="F21" s="56">
        <f t="shared" si="5"/>
        <v>19121406</v>
      </c>
      <c r="G21" s="56">
        <f t="shared" si="5"/>
        <v>18978234</v>
      </c>
      <c r="H21" s="56">
        <f t="shared" si="5"/>
        <v>2020810</v>
      </c>
      <c r="I21" s="56">
        <f t="shared" si="5"/>
        <v>9977224</v>
      </c>
      <c r="J21" s="63">
        <f t="shared" si="5"/>
        <v>6506926.1939107077</v>
      </c>
      <c r="K21" s="56">
        <f t="shared" si="5"/>
        <v>11473232.948111877</v>
      </c>
    </row>
    <row r="22" spans="1:11" x14ac:dyDescent="0.2">
      <c r="A22" s="64" t="s">
        <v>15</v>
      </c>
      <c r="B22" s="59"/>
      <c r="C22" s="64"/>
      <c r="D22" s="27">
        <v>-387993</v>
      </c>
      <c r="E22" s="27">
        <v>603908</v>
      </c>
      <c r="F22" s="27">
        <v>-655137</v>
      </c>
      <c r="G22" s="27">
        <v>-1269258</v>
      </c>
      <c r="H22" s="27">
        <v>4155163</v>
      </c>
      <c r="I22" s="27">
        <v>-2012518</v>
      </c>
      <c r="J22" s="34"/>
      <c r="K22" s="27">
        <v>0</v>
      </c>
    </row>
    <row r="23" spans="1:11" x14ac:dyDescent="0.2">
      <c r="A23" s="64" t="s">
        <v>132</v>
      </c>
      <c r="B23" s="62"/>
      <c r="C23" s="64"/>
      <c r="D23" s="28">
        <v>-488701</v>
      </c>
      <c r="E23" s="27">
        <v>-983435</v>
      </c>
      <c r="F23" s="27">
        <v>550377</v>
      </c>
      <c r="G23" s="27">
        <v>4358539</v>
      </c>
      <c r="H23" s="27">
        <v>-620557</v>
      </c>
      <c r="I23" s="27">
        <v>-79551</v>
      </c>
      <c r="J23" s="34">
        <v>251000</v>
      </c>
      <c r="K23" s="27">
        <v>0</v>
      </c>
    </row>
    <row r="24" spans="1:11" ht="15.75" thickBot="1" x14ac:dyDescent="0.3">
      <c r="A24" s="65" t="s">
        <v>131</v>
      </c>
      <c r="B24" s="65"/>
      <c r="C24" s="65"/>
      <c r="D24" s="66">
        <f>+D21+D22+D23</f>
        <v>7073592</v>
      </c>
      <c r="E24" s="66">
        <f>+E21+E22+E23</f>
        <v>11675312</v>
      </c>
      <c r="F24" s="66">
        <f>+F21+F22+F23</f>
        <v>19016646</v>
      </c>
      <c r="G24" s="66">
        <f>+G21+G22+G23</f>
        <v>22067515</v>
      </c>
      <c r="H24" s="66">
        <f>+H21+H22+H23</f>
        <v>5555416</v>
      </c>
      <c r="I24" s="66">
        <f t="shared" ref="I24:K24" si="6">+I21+I22+I23</f>
        <v>7885155</v>
      </c>
      <c r="J24" s="67">
        <f t="shared" si="6"/>
        <v>6757926.1939107077</v>
      </c>
      <c r="K24" s="66">
        <f t="shared" si="6"/>
        <v>11473232.948111877</v>
      </c>
    </row>
    <row r="25" spans="1:11" ht="15.75" thickTop="1" x14ac:dyDescent="0.25">
      <c r="A25" s="55"/>
      <c r="B25" s="55"/>
      <c r="C25" s="55"/>
      <c r="D25" s="68"/>
      <c r="E25" s="68"/>
      <c r="F25" s="29"/>
      <c r="G25" s="27"/>
      <c r="H25" s="31"/>
      <c r="I25" s="31"/>
      <c r="J25" s="31"/>
      <c r="K25" s="31"/>
    </row>
    <row r="26" spans="1:11" x14ac:dyDescent="0.2">
      <c r="A26" s="69"/>
      <c r="B26" s="69"/>
      <c r="C26" s="69"/>
      <c r="D26" s="27">
        <f>(197435+157752+221755+20907)</f>
        <v>597849</v>
      </c>
      <c r="E26" s="27">
        <f>296736+208525+342271+27952</f>
        <v>875484</v>
      </c>
      <c r="F26" s="27">
        <f>288946+202134+397588+27876</f>
        <v>916544</v>
      </c>
      <c r="G26" s="27">
        <f>301256+192851+456414+27876+216735</f>
        <v>1195132</v>
      </c>
      <c r="H26" s="31">
        <f>350619+187398+505938+24303+177155</f>
        <v>1245413</v>
      </c>
      <c r="I26" s="31">
        <v>1241914</v>
      </c>
      <c r="J26" s="31">
        <v>1217668.7628333333</v>
      </c>
      <c r="K26" s="31">
        <v>1350029.3637000001</v>
      </c>
    </row>
    <row r="27" spans="1:11" x14ac:dyDescent="0.2">
      <c r="A27" s="70"/>
      <c r="B27" s="70"/>
      <c r="C27" s="70"/>
      <c r="D27" s="71"/>
      <c r="E27" s="58"/>
      <c r="F27" s="28"/>
      <c r="G27" s="28"/>
      <c r="H27" s="31"/>
      <c r="I27" s="31"/>
      <c r="J27" s="31"/>
      <c r="K27" s="31"/>
    </row>
    <row r="28" spans="1:11" s="72" customFormat="1" ht="45" x14ac:dyDescent="0.25">
      <c r="A28" s="38" t="s">
        <v>3</v>
      </c>
      <c r="B28" s="87"/>
      <c r="C28" s="87"/>
      <c r="D28" s="81" t="s">
        <v>129</v>
      </c>
      <c r="E28" s="81" t="s">
        <v>140</v>
      </c>
      <c r="F28" s="81" t="s">
        <v>147</v>
      </c>
      <c r="G28" s="81" t="s">
        <v>148</v>
      </c>
      <c r="H28" s="81" t="s">
        <v>149</v>
      </c>
      <c r="I28" s="81" t="s">
        <v>152</v>
      </c>
      <c r="J28" s="81" t="s">
        <v>141</v>
      </c>
      <c r="K28" s="81" t="s">
        <v>142</v>
      </c>
    </row>
    <row r="29" spans="1:11" ht="15" x14ac:dyDescent="0.2">
      <c r="A29" s="39" t="s">
        <v>97</v>
      </c>
      <c r="B29" s="39"/>
      <c r="C29" s="39"/>
      <c r="D29" s="15">
        <f>D21+D22</f>
        <v>7562293</v>
      </c>
      <c r="E29" s="15">
        <f t="shared" ref="E29:K29" si="7">E24</f>
        <v>11675312</v>
      </c>
      <c r="F29" s="15">
        <f t="shared" si="7"/>
        <v>19016646</v>
      </c>
      <c r="G29" s="15">
        <f t="shared" si="7"/>
        <v>22067515</v>
      </c>
      <c r="H29" s="15">
        <f t="shared" si="7"/>
        <v>5555416</v>
      </c>
      <c r="I29" s="15">
        <f t="shared" si="7"/>
        <v>7885155</v>
      </c>
      <c r="J29" s="15">
        <f t="shared" si="7"/>
        <v>6757926.1939107077</v>
      </c>
      <c r="K29" s="15">
        <f t="shared" si="7"/>
        <v>11473232.948111877</v>
      </c>
    </row>
    <row r="30" spans="1:11" ht="15" x14ac:dyDescent="0.25">
      <c r="A30" s="40" t="s">
        <v>16</v>
      </c>
      <c r="B30" s="40"/>
      <c r="C30" s="40"/>
      <c r="D30" s="73"/>
      <c r="E30" s="73"/>
      <c r="F30" s="15"/>
      <c r="G30" s="15"/>
      <c r="H30" s="15"/>
      <c r="I30" s="15"/>
      <c r="J30" s="15"/>
      <c r="K30" s="15"/>
    </row>
    <row r="31" spans="1:11" x14ac:dyDescent="0.2">
      <c r="A31" s="41" t="s">
        <v>127</v>
      </c>
      <c r="B31" s="41"/>
      <c r="C31" s="41"/>
      <c r="D31" s="15">
        <f t="shared" ref="D31:K31" si="8">-D22</f>
        <v>387993</v>
      </c>
      <c r="E31" s="15">
        <f t="shared" si="8"/>
        <v>-603908</v>
      </c>
      <c r="F31" s="15">
        <f t="shared" si="8"/>
        <v>655137</v>
      </c>
      <c r="G31" s="15">
        <f t="shared" si="8"/>
        <v>1269258</v>
      </c>
      <c r="H31" s="15">
        <f t="shared" si="8"/>
        <v>-4155163</v>
      </c>
      <c r="I31" s="15">
        <f t="shared" si="8"/>
        <v>2012518</v>
      </c>
      <c r="J31" s="15">
        <f t="shared" si="8"/>
        <v>0</v>
      </c>
      <c r="K31" s="15">
        <f t="shared" si="8"/>
        <v>0</v>
      </c>
    </row>
    <row r="32" spans="1:11" ht="28.5" x14ac:dyDescent="0.2">
      <c r="A32" s="41" t="s">
        <v>100</v>
      </c>
      <c r="B32" s="41"/>
      <c r="C32" s="41"/>
      <c r="D32" s="15">
        <f>-D11</f>
        <v>13523269</v>
      </c>
      <c r="E32" s="15">
        <f>-E11</f>
        <v>19221868</v>
      </c>
      <c r="F32" s="15">
        <f>-F11</f>
        <v>20671199</v>
      </c>
      <c r="G32" s="15">
        <f>-G11</f>
        <v>22571859</v>
      </c>
      <c r="H32" s="15">
        <f>-H11</f>
        <v>24499133</v>
      </c>
      <c r="I32" s="15">
        <f>-I11-1407758</f>
        <v>25122251</v>
      </c>
      <c r="J32" s="74">
        <v>0</v>
      </c>
      <c r="K32" s="74">
        <v>0</v>
      </c>
    </row>
    <row r="33" spans="1:11" x14ac:dyDescent="0.2">
      <c r="A33" s="75" t="s">
        <v>93</v>
      </c>
      <c r="B33" s="88"/>
      <c r="C33" s="88"/>
      <c r="D33" s="74">
        <f>D26*24%</f>
        <v>143483.75999999998</v>
      </c>
      <c r="E33" s="74">
        <f>E26*(100-62)%</f>
        <v>332683.92</v>
      </c>
      <c r="F33" s="74">
        <f>F26*(100-33)%</f>
        <v>614084.48</v>
      </c>
      <c r="G33" s="74">
        <f>G26*(100-64)%</f>
        <v>430247.51999999996</v>
      </c>
      <c r="H33" s="74">
        <f>H26*(100-60)%</f>
        <v>498165.2</v>
      </c>
      <c r="I33" s="74">
        <f>I26*(100-63)%</f>
        <v>459508.18</v>
      </c>
      <c r="J33" s="74">
        <f>J26*(100-63)%</f>
        <v>450537.4422483333</v>
      </c>
      <c r="K33" s="74">
        <f>K26*(100-63)%</f>
        <v>499510.86456900003</v>
      </c>
    </row>
    <row r="34" spans="1:11" x14ac:dyDescent="0.2">
      <c r="A34" s="75" t="s">
        <v>96</v>
      </c>
      <c r="B34" s="88"/>
      <c r="C34" s="88"/>
      <c r="D34" s="15">
        <v>-1043816.05</v>
      </c>
      <c r="E34" s="15">
        <v>-1767068</v>
      </c>
      <c r="F34" s="15">
        <v>-2174241</v>
      </c>
      <c r="G34" s="15">
        <v>-2532964</v>
      </c>
      <c r="H34" s="15">
        <v>-2936237.1800000016</v>
      </c>
      <c r="I34" s="15">
        <v>-3399533</v>
      </c>
      <c r="J34" s="15">
        <v>0</v>
      </c>
      <c r="K34" s="15">
        <v>0</v>
      </c>
    </row>
    <row r="35" spans="1:11" ht="23.45" customHeight="1" x14ac:dyDescent="0.2">
      <c r="A35" s="41" t="s">
        <v>94</v>
      </c>
      <c r="B35" s="41"/>
      <c r="C35" s="41"/>
      <c r="D35" s="15">
        <f>24925+14464-78056</f>
        <v>-38667</v>
      </c>
      <c r="E35" s="15">
        <f>8961+2147+19329+17922+4294+5358-30975</f>
        <v>27036</v>
      </c>
      <c r="F35" s="15">
        <f>19276+26809+6424+5538-22125</f>
        <v>35922</v>
      </c>
      <c r="G35" s="15">
        <v>-11536</v>
      </c>
      <c r="H35" s="15">
        <f>19276+26809+6424+8931-45706</f>
        <v>15734</v>
      </c>
      <c r="I35" s="15">
        <f>19329+26883+6442+3572</f>
        <v>56226</v>
      </c>
      <c r="J35" s="15"/>
      <c r="K35" s="15">
        <v>0</v>
      </c>
    </row>
    <row r="36" spans="1:11" x14ac:dyDescent="0.2">
      <c r="A36" s="41" t="s">
        <v>88</v>
      </c>
      <c r="B36" s="41"/>
      <c r="C36" s="41"/>
      <c r="D36" s="15">
        <v>257547.98</v>
      </c>
      <c r="E36" s="15">
        <v>430449</v>
      </c>
      <c r="F36" s="15">
        <v>468680</v>
      </c>
      <c r="G36" s="15">
        <v>431187</v>
      </c>
      <c r="H36" s="15">
        <v>455616</v>
      </c>
      <c r="I36" s="15">
        <v>370799</v>
      </c>
      <c r="J36" s="15">
        <v>0</v>
      </c>
      <c r="K36" s="15">
        <v>0</v>
      </c>
    </row>
    <row r="37" spans="1:11" x14ac:dyDescent="0.2">
      <c r="A37" s="41" t="s">
        <v>17</v>
      </c>
      <c r="B37" s="41"/>
      <c r="C37" s="41"/>
      <c r="D37" s="15">
        <f>-D20</f>
        <v>82436</v>
      </c>
      <c r="E37" s="15">
        <f>-E20</f>
        <v>3465541</v>
      </c>
      <c r="F37" s="15">
        <f>-F20</f>
        <v>-2963297</v>
      </c>
      <c r="G37" s="15">
        <v>-6481739</v>
      </c>
      <c r="H37" s="15">
        <f>-H20</f>
        <v>11081361</v>
      </c>
      <c r="I37" s="15">
        <f>-I20</f>
        <v>1207766</v>
      </c>
      <c r="J37" s="15">
        <f>-J20</f>
        <v>-50000</v>
      </c>
      <c r="K37" s="15">
        <f>-K20</f>
        <v>0</v>
      </c>
    </row>
    <row r="38" spans="1:11" ht="28.5" x14ac:dyDescent="0.2">
      <c r="A38" s="41" t="s">
        <v>18</v>
      </c>
      <c r="B38" s="41"/>
      <c r="C38" s="41"/>
      <c r="D38" s="15">
        <v>392910</v>
      </c>
      <c r="E38" s="15">
        <v>917935</v>
      </c>
      <c r="F38" s="15">
        <v>757829</v>
      </c>
      <c r="G38" s="26">
        <v>1177504</v>
      </c>
      <c r="H38" s="26">
        <v>1088649</v>
      </c>
      <c r="I38" s="15">
        <v>1914750</v>
      </c>
      <c r="J38" s="15">
        <v>0</v>
      </c>
      <c r="K38" s="15">
        <v>0</v>
      </c>
    </row>
    <row r="39" spans="1:11" x14ac:dyDescent="0.2">
      <c r="A39" s="41" t="s">
        <v>98</v>
      </c>
      <c r="B39" s="41"/>
      <c r="C39" s="41"/>
      <c r="D39" s="15">
        <f>1615407.57-1589488</f>
        <v>25919.570000000065</v>
      </c>
      <c r="E39" s="15">
        <v>0</v>
      </c>
      <c r="F39" s="15">
        <v>5177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</row>
    <row r="40" spans="1:11" x14ac:dyDescent="0.2">
      <c r="A40" s="41" t="s">
        <v>144</v>
      </c>
      <c r="B40" s="41"/>
      <c r="C40" s="41"/>
      <c r="D40" s="15"/>
      <c r="E40" s="15"/>
      <c r="F40" s="15"/>
      <c r="G40" s="15">
        <v>3156929</v>
      </c>
      <c r="H40" s="15"/>
      <c r="I40" s="15"/>
      <c r="J40" s="15"/>
      <c r="K40" s="15"/>
    </row>
    <row r="41" spans="1:11" x14ac:dyDescent="0.2">
      <c r="A41" s="41" t="s">
        <v>145</v>
      </c>
      <c r="B41" s="41"/>
      <c r="C41" s="41"/>
      <c r="D41" s="15"/>
      <c r="E41" s="15"/>
      <c r="F41" s="15"/>
      <c r="G41" s="15">
        <v>270905</v>
      </c>
      <c r="H41" s="15">
        <f>394349-270905</f>
        <v>123444</v>
      </c>
      <c r="I41" s="15">
        <v>0</v>
      </c>
      <c r="J41" s="15">
        <v>0</v>
      </c>
      <c r="K41" s="15"/>
    </row>
    <row r="42" spans="1:11" x14ac:dyDescent="0.2">
      <c r="A42" s="41" t="s">
        <v>19</v>
      </c>
      <c r="B42" s="41"/>
      <c r="C42" s="41"/>
      <c r="D42" s="15">
        <v>22739.80388230089</v>
      </c>
      <c r="E42" s="15">
        <v>12181</v>
      </c>
      <c r="F42" s="15">
        <v>10774.912900000005</v>
      </c>
      <c r="G42" s="15">
        <v>33254</v>
      </c>
      <c r="H42" s="15">
        <v>59642.179999999986</v>
      </c>
      <c r="I42" s="15">
        <v>83666.710000000079</v>
      </c>
      <c r="J42" s="15">
        <v>83666.710000000079</v>
      </c>
      <c r="K42" s="15">
        <v>83666.710000000079</v>
      </c>
    </row>
    <row r="43" spans="1:11" ht="28.5" x14ac:dyDescent="0.2">
      <c r="A43" s="41" t="s">
        <v>20</v>
      </c>
      <c r="B43" s="41"/>
      <c r="C43" s="41"/>
      <c r="D43" s="15">
        <v>9494930</v>
      </c>
      <c r="E43" s="15">
        <v>10102812</v>
      </c>
      <c r="F43" s="15">
        <v>9785910</v>
      </c>
      <c r="G43" s="15">
        <v>5815591</v>
      </c>
      <c r="H43" s="15">
        <v>6355191</v>
      </c>
      <c r="I43" s="15">
        <v>6389107</v>
      </c>
      <c r="J43" s="15">
        <v>6528075</v>
      </c>
      <c r="K43" s="15">
        <v>6723917.25</v>
      </c>
    </row>
    <row r="44" spans="1:11" ht="28.5" x14ac:dyDescent="0.2">
      <c r="A44" s="41" t="s">
        <v>101</v>
      </c>
      <c r="B44" s="41"/>
      <c r="C44" s="41"/>
      <c r="D44" s="43"/>
      <c r="E44" s="15">
        <f>-E23</f>
        <v>983435</v>
      </c>
      <c r="F44" s="15">
        <f>-F23</f>
        <v>-550377</v>
      </c>
      <c r="G44" s="15">
        <v>-4358539</v>
      </c>
      <c r="H44" s="15">
        <f>-H23</f>
        <v>620557</v>
      </c>
      <c r="I44" s="15">
        <v>79551</v>
      </c>
      <c r="J44" s="15">
        <v>-251000</v>
      </c>
      <c r="K44" s="15">
        <f>-K23</f>
        <v>0</v>
      </c>
    </row>
    <row r="45" spans="1:11" ht="28.5" x14ac:dyDescent="0.2">
      <c r="A45" s="41" t="s">
        <v>103</v>
      </c>
      <c r="B45" s="41"/>
      <c r="C45" s="41"/>
      <c r="D45" s="15">
        <v>1005700</v>
      </c>
      <c r="E45" s="15">
        <v>1083800</v>
      </c>
      <c r="F45" s="15">
        <v>995317</v>
      </c>
      <c r="G45" s="15">
        <v>1109799.93</v>
      </c>
      <c r="H45" s="15">
        <v>1093700</v>
      </c>
      <c r="I45" s="15">
        <v>1007700</v>
      </c>
      <c r="J45" s="15">
        <v>947000</v>
      </c>
      <c r="K45" s="15">
        <v>975410</v>
      </c>
    </row>
    <row r="46" spans="1:11" x14ac:dyDescent="0.2">
      <c r="A46" s="41" t="s">
        <v>119</v>
      </c>
      <c r="B46" s="41"/>
      <c r="C46" s="41"/>
      <c r="D46" s="15"/>
      <c r="E46" s="15"/>
      <c r="F46" s="15"/>
      <c r="G46" s="15"/>
      <c r="H46" s="15"/>
      <c r="I46" s="15"/>
      <c r="J46" s="15"/>
      <c r="K46" s="15"/>
    </row>
    <row r="47" spans="1:11" x14ac:dyDescent="0.2">
      <c r="A47" s="41" t="s">
        <v>89</v>
      </c>
      <c r="B47" s="41"/>
      <c r="C47" s="41"/>
      <c r="D47" s="15">
        <v>0</v>
      </c>
      <c r="E47" s="15">
        <v>0</v>
      </c>
      <c r="F47" s="15">
        <v>2880</v>
      </c>
      <c r="G47" s="15">
        <v>4296</v>
      </c>
      <c r="H47" s="15">
        <v>12000</v>
      </c>
      <c r="I47" s="15">
        <v>3000</v>
      </c>
      <c r="J47" s="15">
        <v>56613</v>
      </c>
      <c r="K47" s="15">
        <v>3000</v>
      </c>
    </row>
    <row r="48" spans="1:11" x14ac:dyDescent="0.2">
      <c r="A48" s="41" t="s">
        <v>128</v>
      </c>
      <c r="B48" s="41"/>
      <c r="C48" s="41"/>
      <c r="D48" s="15">
        <v>259055</v>
      </c>
      <c r="E48" s="15"/>
      <c r="F48" s="15"/>
      <c r="G48" s="15"/>
      <c r="H48" s="15"/>
      <c r="I48" s="15"/>
      <c r="J48" s="15"/>
      <c r="K48" s="15"/>
    </row>
    <row r="49" spans="1:11" x14ac:dyDescent="0.2">
      <c r="A49" s="41" t="s">
        <v>21</v>
      </c>
      <c r="B49" s="41"/>
      <c r="C49" s="41"/>
      <c r="D49" s="15">
        <v>6507.4979999999996</v>
      </c>
      <c r="E49" s="15">
        <v>6499</v>
      </c>
      <c r="F49" s="15">
        <v>6701.1317999999992</v>
      </c>
      <c r="G49" s="15">
        <v>55790</v>
      </c>
      <c r="H49" s="15">
        <v>33709</v>
      </c>
      <c r="I49" s="15">
        <v>50510.782000000007</v>
      </c>
      <c r="J49" s="15">
        <v>50510.782000000007</v>
      </c>
      <c r="K49" s="15">
        <v>50510.782000000007</v>
      </c>
    </row>
    <row r="50" spans="1:11" ht="42.75" x14ac:dyDescent="0.2">
      <c r="A50" s="41" t="s">
        <v>117</v>
      </c>
      <c r="B50" s="41"/>
      <c r="C50" s="41"/>
      <c r="D50" s="15">
        <v>3462</v>
      </c>
      <c r="E50" s="15"/>
      <c r="F50" s="15">
        <v>18467</v>
      </c>
      <c r="G50" s="15">
        <v>15506</v>
      </c>
      <c r="H50" s="15">
        <v>23526</v>
      </c>
      <c r="I50" s="15">
        <v>26067</v>
      </c>
      <c r="J50" s="15"/>
      <c r="K50" s="15"/>
    </row>
    <row r="51" spans="1:11" x14ac:dyDescent="0.2">
      <c r="A51" s="41" t="s">
        <v>134</v>
      </c>
      <c r="B51" s="41"/>
      <c r="C51" s="41"/>
      <c r="D51" s="43"/>
      <c r="E51" s="15">
        <v>527290</v>
      </c>
      <c r="F51" s="15"/>
      <c r="G51" s="15"/>
      <c r="H51" s="15"/>
      <c r="I51" s="15"/>
      <c r="J51" s="15"/>
      <c r="K51" s="15"/>
    </row>
    <row r="52" spans="1:11" x14ac:dyDescent="0.2">
      <c r="A52" s="41" t="s">
        <v>95</v>
      </c>
      <c r="B52" s="41"/>
      <c r="C52" s="41"/>
      <c r="D52" s="15">
        <v>98866</v>
      </c>
      <c r="E52" s="15"/>
      <c r="F52" s="15"/>
      <c r="G52" s="15"/>
      <c r="H52" s="15">
        <v>40801</v>
      </c>
      <c r="I52" s="15">
        <v>29273.090000000215</v>
      </c>
      <c r="J52" s="15">
        <v>29273.090000000215</v>
      </c>
      <c r="K52" s="15">
        <v>29273.090000000215</v>
      </c>
    </row>
    <row r="53" spans="1:11" x14ac:dyDescent="0.2">
      <c r="A53" s="41" t="s">
        <v>22</v>
      </c>
      <c r="B53" s="41"/>
      <c r="C53" s="41"/>
      <c r="D53" s="15">
        <v>14265773</v>
      </c>
      <c r="E53" s="15">
        <v>16341413.509999998</v>
      </c>
      <c r="F53" s="15">
        <v>15664640</v>
      </c>
      <c r="G53" s="15">
        <v>14340150.889999993</v>
      </c>
      <c r="H53" s="15">
        <v>15399409</v>
      </c>
      <c r="I53" s="15">
        <v>9763651.7699999958</v>
      </c>
      <c r="J53" s="15">
        <v>35584089.137599997</v>
      </c>
      <c r="K53" s="15">
        <v>16412909.833369998</v>
      </c>
    </row>
    <row r="54" spans="1:11" ht="28.5" x14ac:dyDescent="0.2">
      <c r="A54" s="41" t="s">
        <v>107</v>
      </c>
      <c r="B54" s="41"/>
      <c r="C54" s="41"/>
      <c r="D54" s="15">
        <v>5730</v>
      </c>
      <c r="E54" s="15"/>
      <c r="F54" s="15"/>
      <c r="G54" s="15"/>
      <c r="H54" s="15"/>
      <c r="I54" s="15"/>
      <c r="J54" s="15"/>
      <c r="K54" s="15"/>
    </row>
    <row r="55" spans="1:11" x14ac:dyDescent="0.2">
      <c r="A55" s="41" t="s">
        <v>121</v>
      </c>
      <c r="B55" s="41"/>
      <c r="C55" s="41"/>
      <c r="D55" s="15">
        <v>300731.64</v>
      </c>
      <c r="E55" s="15"/>
      <c r="F55" s="15"/>
      <c r="G55" s="15"/>
      <c r="H55" s="15"/>
      <c r="I55" s="15"/>
      <c r="J55" s="15"/>
      <c r="K55" s="15"/>
    </row>
    <row r="56" spans="1:11" x14ac:dyDescent="0.2">
      <c r="A56" s="41" t="s">
        <v>123</v>
      </c>
      <c r="B56" s="41"/>
      <c r="C56" s="41"/>
      <c r="D56" s="15"/>
      <c r="E56" s="15">
        <f>72557+2445</f>
        <v>75002</v>
      </c>
      <c r="F56" s="15">
        <v>52838</v>
      </c>
      <c r="G56" s="15">
        <v>36721</v>
      </c>
      <c r="H56" s="15">
        <v>24829.162746964746</v>
      </c>
      <c r="I56" s="15">
        <v>16060</v>
      </c>
      <c r="J56" s="15">
        <v>9306.7905516028441</v>
      </c>
      <c r="K56" s="15">
        <v>4794.8329142686316</v>
      </c>
    </row>
    <row r="57" spans="1:11" x14ac:dyDescent="0.2">
      <c r="A57" s="41" t="s">
        <v>124</v>
      </c>
      <c r="B57" s="41"/>
      <c r="C57" s="41"/>
      <c r="D57" s="15"/>
      <c r="E57" s="15">
        <v>0</v>
      </c>
      <c r="F57" s="15">
        <v>0</v>
      </c>
      <c r="G57" s="15"/>
      <c r="H57" s="15"/>
      <c r="I57" s="15"/>
      <c r="J57" s="15"/>
      <c r="K57" s="15"/>
    </row>
    <row r="58" spans="1:11" x14ac:dyDescent="0.2">
      <c r="A58" s="41" t="s">
        <v>85</v>
      </c>
      <c r="B58" s="41"/>
      <c r="C58" s="41"/>
      <c r="D58" s="15">
        <v>1359136</v>
      </c>
      <c r="E58" s="15">
        <v>42976</v>
      </c>
      <c r="F58" s="15">
        <v>2011752</v>
      </c>
      <c r="G58" s="15">
        <v>70121</v>
      </c>
      <c r="H58" s="15">
        <v>3391338</v>
      </c>
      <c r="I58" s="15">
        <v>0</v>
      </c>
      <c r="J58" s="15">
        <v>0</v>
      </c>
      <c r="K58" s="15">
        <v>0</v>
      </c>
    </row>
    <row r="59" spans="1:11" ht="15" x14ac:dyDescent="0.25">
      <c r="A59" s="42" t="s">
        <v>23</v>
      </c>
      <c r="B59" s="42"/>
      <c r="C59" s="42"/>
      <c r="D59" s="43"/>
      <c r="E59" s="43"/>
      <c r="F59" s="15"/>
      <c r="G59" s="15"/>
      <c r="H59" s="15"/>
      <c r="I59" s="15"/>
      <c r="J59" s="15"/>
      <c r="K59" s="15"/>
    </row>
    <row r="60" spans="1:11" x14ac:dyDescent="0.2">
      <c r="A60" s="41" t="s">
        <v>116</v>
      </c>
      <c r="B60" s="41"/>
      <c r="C60" s="41"/>
      <c r="D60" s="15">
        <f t="shared" ref="D60:K60" si="9">-D53</f>
        <v>-14265773</v>
      </c>
      <c r="E60" s="15">
        <f t="shared" si="9"/>
        <v>-16341413.509999998</v>
      </c>
      <c r="F60" s="15">
        <f t="shared" si="9"/>
        <v>-15664640</v>
      </c>
      <c r="G60" s="15">
        <f t="shared" si="9"/>
        <v>-14340150.889999993</v>
      </c>
      <c r="H60" s="15">
        <f t="shared" si="9"/>
        <v>-15399409</v>
      </c>
      <c r="I60" s="15">
        <f t="shared" si="9"/>
        <v>-9763651.7699999958</v>
      </c>
      <c r="J60" s="15">
        <f t="shared" si="9"/>
        <v>-35584089.137599997</v>
      </c>
      <c r="K60" s="15">
        <f t="shared" si="9"/>
        <v>-16412909.833369998</v>
      </c>
    </row>
    <row r="61" spans="1:11" x14ac:dyDescent="0.2">
      <c r="A61" s="41" t="s">
        <v>24</v>
      </c>
      <c r="B61" s="41"/>
      <c r="C61" s="41"/>
      <c r="D61" s="15">
        <v>-99066</v>
      </c>
      <c r="E61" s="15">
        <v>-23167</v>
      </c>
      <c r="F61" s="15">
        <v>-49240</v>
      </c>
      <c r="G61" s="15">
        <v>-193124</v>
      </c>
      <c r="H61" s="15">
        <v>-99036</v>
      </c>
      <c r="I61" s="15">
        <v>-44476.1</v>
      </c>
      <c r="J61" s="15">
        <v>-44476.1</v>
      </c>
      <c r="K61" s="15">
        <v>-44476</v>
      </c>
    </row>
    <row r="62" spans="1:11" ht="28.5" x14ac:dyDescent="0.2">
      <c r="A62" s="41" t="s">
        <v>25</v>
      </c>
      <c r="B62" s="41"/>
      <c r="C62" s="41"/>
      <c r="D62" s="15">
        <v>-724628</v>
      </c>
      <c r="E62" s="15">
        <v>-1273416</v>
      </c>
      <c r="F62" s="15">
        <v>-1255414</v>
      </c>
      <c r="G62" s="15">
        <v>-1793616</v>
      </c>
      <c r="H62" s="15">
        <v>-1748675</v>
      </c>
      <c r="I62" s="15">
        <v>-2240336</v>
      </c>
      <c r="J62" s="15">
        <v>1171333.3999999999</v>
      </c>
      <c r="K62" s="15">
        <v>1171333.3999999999</v>
      </c>
    </row>
    <row r="63" spans="1:11" x14ac:dyDescent="0.2">
      <c r="A63" s="41" t="s">
        <v>86</v>
      </c>
      <c r="B63" s="41"/>
      <c r="C63" s="41"/>
      <c r="D63" s="15">
        <f>-(1670956+498404)*32%</f>
        <v>-694195.20000000007</v>
      </c>
      <c r="E63" s="15">
        <f>-2814978*37%</f>
        <v>-1041541.86</v>
      </c>
      <c r="F63" s="15">
        <f>-2874886*34%</f>
        <v>-977461.24000000011</v>
      </c>
      <c r="G63" s="15">
        <v>-865505.58</v>
      </c>
      <c r="H63" s="15">
        <f>-3144512*26%</f>
        <v>-817573.12</v>
      </c>
      <c r="I63" s="15">
        <v>-1091133</v>
      </c>
      <c r="J63" s="15">
        <v>-1179158.3999999999</v>
      </c>
      <c r="K63" s="15">
        <v>-1214533.152</v>
      </c>
    </row>
    <row r="64" spans="1:11" x14ac:dyDescent="0.2">
      <c r="A64" s="41" t="s">
        <v>26</v>
      </c>
      <c r="B64" s="15">
        <v>-23661828</v>
      </c>
      <c r="C64" s="15">
        <v>-5427441</v>
      </c>
      <c r="D64" s="15">
        <v>-20588787.016516056</v>
      </c>
      <c r="E64" s="15">
        <v>-29341230.543177679</v>
      </c>
      <c r="F64" s="15">
        <v>-31251905.604996301</v>
      </c>
      <c r="G64" s="15">
        <v>-38118866.218861394</v>
      </c>
      <c r="H64" s="15">
        <v>-36216184.050452203</v>
      </c>
      <c r="I64" s="15">
        <v>-32570775.384818908</v>
      </c>
      <c r="J64" s="15">
        <v>-36365389.120986998</v>
      </c>
      <c r="K64" s="15">
        <v>-36647508.408521868</v>
      </c>
    </row>
    <row r="65" spans="1:11" ht="28.5" x14ac:dyDescent="0.2">
      <c r="A65" s="41" t="s">
        <v>27</v>
      </c>
      <c r="B65" s="41"/>
      <c r="C65" s="41"/>
      <c r="D65" s="15">
        <v>-8826498</v>
      </c>
      <c r="E65" s="15">
        <v>-9494930</v>
      </c>
      <c r="F65" s="15">
        <v>-10102810</v>
      </c>
      <c r="G65" s="15">
        <v>-9785910</v>
      </c>
      <c r="H65" s="15">
        <v>-5815591</v>
      </c>
      <c r="I65" s="15">
        <v>-6355190</v>
      </c>
      <c r="J65" s="15">
        <v>-6389107</v>
      </c>
      <c r="K65" s="15">
        <v>-6528075</v>
      </c>
    </row>
    <row r="66" spans="1:11" x14ac:dyDescent="0.2">
      <c r="A66" s="41" t="s">
        <v>104</v>
      </c>
      <c r="B66" s="41"/>
      <c r="C66" s="41"/>
      <c r="D66" s="15">
        <v>-886725</v>
      </c>
      <c r="E66" s="15">
        <v>-1005700</v>
      </c>
      <c r="F66" s="15">
        <v>-1083800.0380895995</v>
      </c>
      <c r="G66" s="15">
        <v>-995317</v>
      </c>
      <c r="H66" s="15">
        <v>-1109799.93</v>
      </c>
      <c r="I66" s="15">
        <v>-1093700</v>
      </c>
      <c r="J66" s="15">
        <v>-1007700</v>
      </c>
      <c r="K66" s="15">
        <v>-947000</v>
      </c>
    </row>
    <row r="67" spans="1:11" ht="28.5" x14ac:dyDescent="0.2">
      <c r="A67" s="41" t="s">
        <v>115</v>
      </c>
      <c r="B67" s="41"/>
      <c r="C67" s="41"/>
      <c r="D67" s="15">
        <v>-144745.60000000001</v>
      </c>
      <c r="E67" s="15">
        <v>25442</v>
      </c>
      <c r="F67" s="15">
        <v>-164501.18000000002</v>
      </c>
      <c r="G67" s="15">
        <v>-46485.549999999996</v>
      </c>
      <c r="H67" s="15">
        <v>6618.8200000000006</v>
      </c>
      <c r="I67" s="15">
        <v>16180.199999999999</v>
      </c>
      <c r="J67" s="15">
        <v>-41690.400000000001</v>
      </c>
      <c r="K67" s="15">
        <v>-42941.112000000001</v>
      </c>
    </row>
    <row r="68" spans="1:11" ht="28.5" x14ac:dyDescent="0.2">
      <c r="A68" s="41" t="s">
        <v>105</v>
      </c>
      <c r="B68" s="41"/>
      <c r="C68" s="41"/>
      <c r="D68" s="15">
        <v>-29148.322873495166</v>
      </c>
      <c r="E68" s="15">
        <v>-28897</v>
      </c>
      <c r="F68" s="15">
        <v>30084</v>
      </c>
      <c r="G68" s="15">
        <v>-99298.9</v>
      </c>
      <c r="H68" s="15">
        <v>18615.981799999998</v>
      </c>
      <c r="I68" s="15">
        <v>7442.7</v>
      </c>
      <c r="J68" s="15">
        <v>18210</v>
      </c>
      <c r="K68" s="15">
        <v>-8523</v>
      </c>
    </row>
    <row r="69" spans="1:11" x14ac:dyDescent="0.2">
      <c r="A69" s="41" t="s">
        <v>108</v>
      </c>
      <c r="B69" s="41"/>
      <c r="C69" s="41"/>
      <c r="D69" s="15">
        <v>-413060</v>
      </c>
      <c r="E69" s="15">
        <v>-645875</v>
      </c>
      <c r="F69" s="15">
        <v>-722154</v>
      </c>
      <c r="G69" s="15">
        <v>-1051698</v>
      </c>
      <c r="H69" s="15">
        <v>-886628</v>
      </c>
      <c r="I69" s="15">
        <v>-974514</v>
      </c>
      <c r="J69" s="15">
        <v>-1443197.6657999998</v>
      </c>
      <c r="K69" s="15">
        <v>-1457797.9098299998</v>
      </c>
    </row>
    <row r="70" spans="1:11" x14ac:dyDescent="0.2">
      <c r="A70" s="41" t="s">
        <v>28</v>
      </c>
      <c r="B70" s="41"/>
      <c r="C70" s="41"/>
      <c r="D70" s="15">
        <v>-1001200.6099999994</v>
      </c>
      <c r="E70" s="15">
        <v>-2685573</v>
      </c>
      <c r="F70" s="15">
        <v>-263141</v>
      </c>
      <c r="G70" s="15">
        <v>-218311.8200000003</v>
      </c>
      <c r="H70" s="15">
        <v>-310063.09999999905</v>
      </c>
      <c r="I70" s="15">
        <v>0</v>
      </c>
      <c r="J70" s="15">
        <v>-4062100</v>
      </c>
      <c r="K70" s="15">
        <v>0</v>
      </c>
    </row>
    <row r="71" spans="1:11" ht="28.5" x14ac:dyDescent="0.2">
      <c r="A71" s="41" t="s">
        <v>90</v>
      </c>
      <c r="B71" s="41"/>
      <c r="C71" s="41"/>
      <c r="D71" s="15">
        <f>-105814-9526</f>
        <v>-115340</v>
      </c>
      <c r="E71" s="15">
        <v>-107472</v>
      </c>
      <c r="F71" s="15">
        <v>-134542</v>
      </c>
      <c r="G71" s="15">
        <v>-179041</v>
      </c>
      <c r="H71" s="15">
        <v>-391446</v>
      </c>
      <c r="I71" s="15">
        <v>-271941</v>
      </c>
      <c r="J71" s="15">
        <v>-298910</v>
      </c>
      <c r="K71" s="15">
        <v>-298910</v>
      </c>
    </row>
    <row r="72" spans="1:11" ht="15.95" customHeight="1" x14ac:dyDescent="0.2">
      <c r="A72" s="41" t="s">
        <v>98</v>
      </c>
      <c r="B72" s="41"/>
      <c r="C72" s="41"/>
      <c r="D72" s="15"/>
      <c r="E72" s="15">
        <f>1614776-1615408</f>
        <v>-632</v>
      </c>
      <c r="F72" s="15">
        <v>0</v>
      </c>
      <c r="G72" s="15"/>
      <c r="H72" s="15"/>
      <c r="I72" s="15">
        <v>-1619953</v>
      </c>
      <c r="J72" s="15"/>
      <c r="K72" s="15"/>
    </row>
    <row r="73" spans="1:11" ht="15.95" customHeight="1" x14ac:dyDescent="0.2">
      <c r="A73" s="41" t="s">
        <v>118</v>
      </c>
      <c r="B73" s="41"/>
      <c r="C73" s="41"/>
      <c r="D73" s="15">
        <v>-516131</v>
      </c>
      <c r="E73" s="15">
        <v>-3132</v>
      </c>
      <c r="F73" s="15">
        <v>-30750</v>
      </c>
      <c r="G73" s="15"/>
      <c r="H73" s="15"/>
      <c r="I73" s="15">
        <v>0</v>
      </c>
      <c r="J73" s="15"/>
      <c r="K73" s="15"/>
    </row>
    <row r="74" spans="1:11" x14ac:dyDescent="0.2">
      <c r="A74" s="41" t="s">
        <v>144</v>
      </c>
      <c r="B74" s="41"/>
      <c r="C74" s="41"/>
      <c r="D74" s="15"/>
      <c r="E74" s="15"/>
      <c r="F74" s="15"/>
      <c r="G74" s="15"/>
      <c r="H74" s="15">
        <v>-69722</v>
      </c>
      <c r="I74" s="15">
        <v>-69165</v>
      </c>
      <c r="J74" s="15">
        <f t="shared" ref="J74:K74" si="10">-5810*12</f>
        <v>-69720</v>
      </c>
      <c r="K74" s="15">
        <f t="shared" si="10"/>
        <v>-69720</v>
      </c>
    </row>
    <row r="75" spans="1:11" x14ac:dyDescent="0.2">
      <c r="A75" s="41" t="s">
        <v>145</v>
      </c>
      <c r="B75" s="41"/>
      <c r="C75" s="41"/>
      <c r="D75" s="15"/>
      <c r="E75" s="15"/>
      <c r="F75" s="15"/>
      <c r="G75" s="15"/>
      <c r="H75" s="15"/>
      <c r="I75" s="15">
        <v>-9895</v>
      </c>
      <c r="J75" s="15">
        <f t="shared" ref="J75:K75" si="11">-825*12</f>
        <v>-9900</v>
      </c>
      <c r="K75" s="15">
        <f t="shared" si="11"/>
        <v>-9900</v>
      </c>
    </row>
    <row r="76" spans="1:11" ht="27" customHeight="1" x14ac:dyDescent="0.2">
      <c r="A76" s="41" t="s">
        <v>139</v>
      </c>
      <c r="B76" s="41"/>
      <c r="C76" s="41"/>
      <c r="D76" s="15"/>
      <c r="E76" s="15">
        <v>-327136</v>
      </c>
      <c r="F76" s="15"/>
      <c r="G76" s="15"/>
      <c r="H76" s="15"/>
      <c r="I76" s="15"/>
      <c r="J76" s="15"/>
      <c r="K76" s="15"/>
    </row>
    <row r="77" spans="1:11" x14ac:dyDescent="0.2">
      <c r="A77" s="44" t="s">
        <v>92</v>
      </c>
      <c r="B77" s="44"/>
      <c r="C77" s="44"/>
      <c r="D77" s="15"/>
      <c r="E77" s="15"/>
      <c r="F77" s="15"/>
      <c r="G77" s="15"/>
      <c r="H77" s="15"/>
      <c r="I77" s="15">
        <v>-3958725</v>
      </c>
      <c r="J77" s="15">
        <v>-21212422.399999999</v>
      </c>
      <c r="K77" s="15">
        <v>2427583.1499999957</v>
      </c>
    </row>
    <row r="78" spans="1:11" x14ac:dyDescent="0.2">
      <c r="A78" s="41" t="s">
        <v>126</v>
      </c>
      <c r="B78" s="41"/>
      <c r="C78" s="41"/>
      <c r="D78" s="15">
        <v>-23039</v>
      </c>
      <c r="E78" s="15"/>
      <c r="F78" s="15"/>
      <c r="G78" s="15"/>
      <c r="H78" s="15"/>
      <c r="I78" s="15"/>
      <c r="J78" s="15"/>
      <c r="K78" s="15"/>
    </row>
    <row r="79" spans="1:11" x14ac:dyDescent="0.2">
      <c r="A79" s="44" t="s">
        <v>125</v>
      </c>
      <c r="B79" s="44"/>
      <c r="C79" s="44"/>
      <c r="D79" s="15"/>
      <c r="E79" s="15">
        <v>-550270</v>
      </c>
      <c r="F79" s="15">
        <v>-356994</v>
      </c>
      <c r="G79" s="15">
        <v>-260285.97999999995</v>
      </c>
      <c r="H79" s="15">
        <v>-202018.69999999998</v>
      </c>
      <c r="I79" s="15">
        <v>-140394.06</v>
      </c>
      <c r="J79" s="15">
        <v>-104033.52055160285</v>
      </c>
      <c r="K79" s="15">
        <v>-76184.75291426864</v>
      </c>
    </row>
    <row r="80" spans="1:11" x14ac:dyDescent="0.2">
      <c r="A80" s="44" t="s">
        <v>106</v>
      </c>
      <c r="B80" s="44"/>
      <c r="C80" s="44"/>
      <c r="D80" s="15"/>
      <c r="E80" s="15"/>
      <c r="F80" s="15"/>
      <c r="G80" s="15"/>
      <c r="H80" s="15"/>
      <c r="I80" s="15">
        <v>-1906082</v>
      </c>
      <c r="J80" s="15"/>
      <c r="K80" s="15"/>
    </row>
    <row r="81" spans="1:11" ht="30" x14ac:dyDescent="0.25">
      <c r="A81" s="40" t="s">
        <v>164</v>
      </c>
      <c r="B81" s="15">
        <f>4364473+4053488</f>
        <v>8417961</v>
      </c>
      <c r="C81" s="24">
        <f>-354963-280115</f>
        <v>-635078</v>
      </c>
      <c r="D81" s="24">
        <f>SUM(D29:D80)</f>
        <v>-212336.54750724696</v>
      </c>
      <c r="E81" s="24">
        <f t="shared" ref="E81:K81" si="12">SUM(E29:E80)</f>
        <v>30313.516822323203</v>
      </c>
      <c r="F81" s="24">
        <f t="shared" si="12"/>
        <v>3058770.4616140984</v>
      </c>
      <c r="G81" s="24">
        <f t="shared" si="12"/>
        <v>-8475754.5988613889</v>
      </c>
      <c r="H81" s="24">
        <f t="shared" si="12"/>
        <v>239909.26409476282</v>
      </c>
      <c r="I81" s="24">
        <f t="shared" si="12"/>
        <v>-9008280.8828189075</v>
      </c>
      <c r="J81" s="24">
        <f t="shared" si="12"/>
        <v>-56426352.198627949</v>
      </c>
      <c r="K81" s="24">
        <f t="shared" si="12"/>
        <v>-23903336.307670992</v>
      </c>
    </row>
    <row r="82" spans="1:11" x14ac:dyDescent="0.2">
      <c r="A82" s="41" t="s">
        <v>146</v>
      </c>
      <c r="B82" s="41"/>
      <c r="C82" s="41"/>
      <c r="D82" s="15">
        <v>0</v>
      </c>
      <c r="E82" s="15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</row>
    <row r="83" spans="1:11" ht="30" x14ac:dyDescent="0.25">
      <c r="A83" s="40" t="s">
        <v>165</v>
      </c>
      <c r="B83" s="24">
        <f t="shared" ref="B83:H83" si="13">B81+B116</f>
        <v>8865728.0424879976</v>
      </c>
      <c r="C83" s="24">
        <f t="shared" si="13"/>
        <v>-581511.69743576273</v>
      </c>
      <c r="D83" s="24">
        <f t="shared" si="13"/>
        <v>2624572.0359990355</v>
      </c>
      <c r="E83" s="24">
        <f t="shared" si="13"/>
        <v>3365018.4563251063</v>
      </c>
      <c r="F83" s="24">
        <f t="shared" si="13"/>
        <v>6616041.3342191577</v>
      </c>
      <c r="G83" s="24">
        <f t="shared" si="13"/>
        <v>-1259105.0516535705</v>
      </c>
      <c r="H83" s="24">
        <f t="shared" si="13"/>
        <v>3034512.3270652373</v>
      </c>
      <c r="I83" s="24">
        <f t="shared" ref="I83:K83" si="14">+I81+I82</f>
        <v>-9008280.8828189075</v>
      </c>
      <c r="J83" s="24">
        <f t="shared" si="14"/>
        <v>-56426352.198627949</v>
      </c>
      <c r="K83" s="24">
        <f t="shared" si="14"/>
        <v>-23903336.307670992</v>
      </c>
    </row>
    <row r="84" spans="1:11" x14ac:dyDescent="0.2">
      <c r="A84" s="41" t="s">
        <v>136</v>
      </c>
      <c r="B84" s="41"/>
      <c r="C84" s="41"/>
      <c r="D84" s="15"/>
      <c r="E84" s="15"/>
      <c r="F84" s="15"/>
      <c r="G84" s="15"/>
      <c r="H84" s="15">
        <v>-430587</v>
      </c>
      <c r="I84" s="15"/>
      <c r="J84" s="15"/>
      <c r="K84" s="15"/>
    </row>
    <row r="85" spans="1:11" x14ac:dyDescent="0.2">
      <c r="A85" s="41" t="s">
        <v>29</v>
      </c>
      <c r="B85" s="15">
        <f>-226455-44900</f>
        <v>-271355</v>
      </c>
      <c r="C85" s="41"/>
      <c r="D85" s="15">
        <v>-108455</v>
      </c>
      <c r="E85" s="15">
        <v>-378451.78</v>
      </c>
      <c r="F85" s="15">
        <v>-423718</v>
      </c>
      <c r="G85" s="15">
        <v>0</v>
      </c>
      <c r="H85" s="15">
        <v>-448116</v>
      </c>
      <c r="I85" s="15">
        <v>0</v>
      </c>
      <c r="J85" s="15">
        <v>0</v>
      </c>
      <c r="K85" s="15">
        <v>0</v>
      </c>
    </row>
    <row r="86" spans="1:11" x14ac:dyDescent="0.2">
      <c r="A86" s="41" t="s">
        <v>138</v>
      </c>
      <c r="B86" s="41"/>
      <c r="C86" s="41"/>
      <c r="D86" s="43"/>
      <c r="E86" s="43"/>
      <c r="F86" s="15">
        <v>0</v>
      </c>
      <c r="G86" s="15"/>
      <c r="H86" s="15">
        <v>-1259105.0516535705</v>
      </c>
      <c r="I86" s="15">
        <v>0</v>
      </c>
      <c r="J86" s="15"/>
      <c r="K86" s="15"/>
    </row>
    <row r="87" spans="1:11" x14ac:dyDescent="0.2">
      <c r="A87" s="41" t="s">
        <v>138</v>
      </c>
      <c r="B87" s="41"/>
      <c r="C87" s="41"/>
      <c r="D87" s="15"/>
      <c r="E87" s="15">
        <v>0</v>
      </c>
      <c r="F87" s="24">
        <v>0</v>
      </c>
      <c r="G87" s="43"/>
      <c r="H87" s="43"/>
      <c r="I87" s="43"/>
      <c r="J87" s="43"/>
      <c r="K87" s="43"/>
    </row>
    <row r="88" spans="1:11" ht="15" x14ac:dyDescent="0.25">
      <c r="A88" s="40" t="s">
        <v>166</v>
      </c>
      <c r="B88" s="24">
        <f>SUM(B83:B87)</f>
        <v>8594373.0424879976</v>
      </c>
      <c r="C88" s="24">
        <f t="shared" ref="C88" si="15">SUM(C83:C87)</f>
        <v>-581511.69743576273</v>
      </c>
      <c r="D88" s="24">
        <f>SUM(D83:D87)</f>
        <v>2516117.0359990355</v>
      </c>
      <c r="E88" s="24">
        <f>SUM(E83:E87)</f>
        <v>2986566.6763251061</v>
      </c>
      <c r="F88" s="24">
        <f>SUM(F83:F87)</f>
        <v>6192323.3342191577</v>
      </c>
      <c r="G88" s="24">
        <f>SUM(G83:G87)</f>
        <v>-1259105.0516535705</v>
      </c>
      <c r="H88" s="24">
        <f>SUM(H83:H87)</f>
        <v>896704.27541166684</v>
      </c>
      <c r="I88" s="24">
        <f>IF(SUM(I84:I87)&lt;=0,0,SUM(I83:I87))</f>
        <v>0</v>
      </c>
      <c r="J88" s="24">
        <f t="shared" ref="J88:K88" si="16">IF(SUM(J83:J87)&lt;=0,0,SUM(J83:J87))</f>
        <v>0</v>
      </c>
      <c r="K88" s="24">
        <f t="shared" si="16"/>
        <v>0</v>
      </c>
    </row>
    <row r="89" spans="1:11" x14ac:dyDescent="0.2">
      <c r="A89" s="90" t="s">
        <v>31</v>
      </c>
      <c r="B89" s="90"/>
      <c r="C89" s="90"/>
      <c r="D89" s="24"/>
      <c r="E89" s="24"/>
      <c r="F89" s="15"/>
      <c r="G89" s="15"/>
      <c r="H89" s="15"/>
      <c r="I89" s="15"/>
      <c r="J89" s="15"/>
      <c r="K89" s="15"/>
    </row>
    <row r="90" spans="1:11" ht="15" x14ac:dyDescent="0.25">
      <c r="A90" s="40" t="s">
        <v>32</v>
      </c>
      <c r="B90" s="16">
        <f t="shared" ref="B90" si="17">IF(B88&gt;0,B88*15%,0)</f>
        <v>1289155.9563731996</v>
      </c>
      <c r="C90" s="16">
        <f>IF(C88&gt;0,C88*15%,0)</f>
        <v>0</v>
      </c>
      <c r="D90" s="16">
        <f>IF(D88&gt;0,D88*15%,0)</f>
        <v>377417.55539985531</v>
      </c>
      <c r="E90" s="16">
        <f>IF(E88&gt;0,E88*15%,0)</f>
        <v>447985.00144876592</v>
      </c>
      <c r="F90" s="16">
        <f>IF(F88&gt;0,F88*15%,0)</f>
        <v>928848.50013287365</v>
      </c>
      <c r="G90" s="16">
        <f>IF(G88&gt;0,G88*15%,0)</f>
        <v>0</v>
      </c>
      <c r="H90" s="16">
        <f t="shared" ref="H90:K90" si="18">IF(H88&gt;0,H88*15%,0)</f>
        <v>134505.64131175002</v>
      </c>
      <c r="I90" s="16">
        <f t="shared" si="18"/>
        <v>0</v>
      </c>
      <c r="J90" s="16">
        <f t="shared" si="18"/>
        <v>0</v>
      </c>
      <c r="K90" s="16">
        <f t="shared" si="18"/>
        <v>0</v>
      </c>
    </row>
    <row r="91" spans="1:11" ht="15" x14ac:dyDescent="0.25">
      <c r="A91" s="41" t="s">
        <v>33</v>
      </c>
      <c r="B91" s="40"/>
      <c r="C91" s="40"/>
      <c r="D91" s="43"/>
      <c r="E91" s="43"/>
      <c r="F91" s="15"/>
      <c r="G91" s="15"/>
      <c r="H91" s="15"/>
      <c r="I91" s="15"/>
      <c r="J91" s="15"/>
      <c r="K91" s="15"/>
    </row>
    <row r="92" spans="1:11" x14ac:dyDescent="0.2">
      <c r="A92" s="41" t="s">
        <v>34</v>
      </c>
      <c r="B92" s="41"/>
      <c r="C92" s="41"/>
      <c r="D92" s="43"/>
      <c r="E92" s="43"/>
      <c r="F92" s="15"/>
      <c r="G92" s="15"/>
      <c r="H92" s="15"/>
      <c r="I92" s="15"/>
      <c r="J92" s="15"/>
      <c r="K92" s="15"/>
    </row>
    <row r="93" spans="1:11" s="76" customFormat="1" x14ac:dyDescent="0.2">
      <c r="A93" s="41" t="s">
        <v>35</v>
      </c>
      <c r="B93" s="24">
        <v>-202498</v>
      </c>
      <c r="C93" s="41">
        <v>0</v>
      </c>
      <c r="D93" s="24">
        <v>-169955</v>
      </c>
      <c r="E93" s="24">
        <v>-268004</v>
      </c>
      <c r="F93" s="15">
        <v>-244158</v>
      </c>
      <c r="G93" s="15">
        <v>0</v>
      </c>
      <c r="H93" s="15">
        <v>-130223</v>
      </c>
      <c r="I93" s="15">
        <v>0</v>
      </c>
      <c r="J93" s="15">
        <v>0</v>
      </c>
      <c r="K93" s="15">
        <v>0</v>
      </c>
    </row>
    <row r="94" spans="1:11" s="76" customFormat="1" x14ac:dyDescent="0.2">
      <c r="A94" s="41" t="s">
        <v>135</v>
      </c>
      <c r="B94" s="41"/>
      <c r="C94" s="41"/>
      <c r="D94" s="24"/>
      <c r="E94" s="24">
        <v>0</v>
      </c>
      <c r="F94" s="15"/>
      <c r="G94" s="15"/>
      <c r="H94" s="15"/>
      <c r="I94" s="15"/>
      <c r="J94" s="15"/>
      <c r="K94" s="15"/>
    </row>
    <row r="95" spans="1:11" s="76" customFormat="1" x14ac:dyDescent="0.2">
      <c r="A95" s="41" t="s">
        <v>36</v>
      </c>
      <c r="B95" s="24">
        <f t="shared" ref="B95" si="19">IF(B90&gt;0,SUM(B90:B94),0)</f>
        <v>1086657.9563731996</v>
      </c>
      <c r="C95" s="24">
        <f>IF(C90&gt;0,SUM(C90:C94),0)</f>
        <v>0</v>
      </c>
      <c r="D95" s="24">
        <f>IF(D90&gt;0,SUM(D90:D94),0)</f>
        <v>207462.55539985531</v>
      </c>
      <c r="E95" s="24">
        <f>IF(E90&gt;0,SUM(E90:E94),0)</f>
        <v>179981.00144876592</v>
      </c>
      <c r="F95" s="24">
        <f>IF(F90&gt;0,SUM(F90:F94),0)</f>
        <v>684690.50013287365</v>
      </c>
      <c r="G95" s="24">
        <f>IF(G90&gt;0,SUM(G90:G94),0)</f>
        <v>0</v>
      </c>
      <c r="H95" s="24">
        <f t="shared" ref="H95:K95" si="20">IF(H90&gt;0,SUM(H90:H94),0)</f>
        <v>4282.6413117500197</v>
      </c>
      <c r="I95" s="24">
        <f t="shared" si="20"/>
        <v>0</v>
      </c>
      <c r="J95" s="24">
        <f t="shared" si="20"/>
        <v>0</v>
      </c>
      <c r="K95" s="24">
        <f t="shared" si="20"/>
        <v>0</v>
      </c>
    </row>
    <row r="96" spans="1:11" ht="15" x14ac:dyDescent="0.25">
      <c r="A96" s="45" t="s">
        <v>37</v>
      </c>
      <c r="B96" s="45"/>
      <c r="C96" s="45"/>
      <c r="D96" s="43"/>
      <c r="E96" s="43"/>
      <c r="F96" s="15"/>
      <c r="G96" s="15"/>
      <c r="H96" s="15"/>
      <c r="I96" s="15"/>
      <c r="J96" s="15"/>
      <c r="K96" s="15"/>
    </row>
    <row r="97" spans="1:11" ht="28.5" x14ac:dyDescent="0.2">
      <c r="A97" s="41" t="s">
        <v>38</v>
      </c>
      <c r="B97" s="24">
        <f t="shared" ref="B97:C97" si="21">B83</f>
        <v>8865728.0424879976</v>
      </c>
      <c r="C97" s="24">
        <f t="shared" si="21"/>
        <v>-581511.69743576273</v>
      </c>
      <c r="D97" s="24">
        <f t="shared" ref="D97:K97" si="22">D83</f>
        <v>2624572.0359990355</v>
      </c>
      <c r="E97" s="24">
        <f t="shared" si="22"/>
        <v>3365018.4563251063</v>
      </c>
      <c r="F97" s="24">
        <f t="shared" si="22"/>
        <v>6616041.3342191577</v>
      </c>
      <c r="G97" s="24">
        <f t="shared" si="22"/>
        <v>-1259105.0516535705</v>
      </c>
      <c r="H97" s="24">
        <f t="shared" si="22"/>
        <v>3034512.3270652373</v>
      </c>
      <c r="I97" s="24">
        <f t="shared" si="22"/>
        <v>-9008280.8828189075</v>
      </c>
      <c r="J97" s="24">
        <f t="shared" si="22"/>
        <v>-56426352.198627949</v>
      </c>
      <c r="K97" s="24">
        <f t="shared" si="22"/>
        <v>-23903336.307670992</v>
      </c>
    </row>
    <row r="98" spans="1:11" x14ac:dyDescent="0.2">
      <c r="A98" s="41" t="s">
        <v>39</v>
      </c>
      <c r="B98" s="24">
        <f>SUM(B97:B97)</f>
        <v>8865728.0424879976</v>
      </c>
      <c r="C98" s="24">
        <f>SUM(C97:C97)</f>
        <v>-581511.69743576273</v>
      </c>
      <c r="D98" s="24">
        <f>SUM(D97:D97)</f>
        <v>2624572.0359990355</v>
      </c>
      <c r="E98" s="24">
        <f>E97</f>
        <v>3365018.4563251063</v>
      </c>
      <c r="F98" s="24">
        <f>F97</f>
        <v>6616041.3342191577</v>
      </c>
      <c r="G98" s="24">
        <f>SUM(G97:G97)</f>
        <v>-1259105.0516535705</v>
      </c>
      <c r="H98" s="24">
        <f>SUM(H97:H97)</f>
        <v>3034512.3270652373</v>
      </c>
      <c r="I98" s="24">
        <f>SUM(I97:I97)</f>
        <v>-9008280.8828189075</v>
      </c>
      <c r="J98" s="24">
        <f>SUM(J97:J97)</f>
        <v>-56426352.198627949</v>
      </c>
      <c r="K98" s="24">
        <f>SUM(K97:K97)</f>
        <v>-23903336.307670992</v>
      </c>
    </row>
    <row r="99" spans="1:11" x14ac:dyDescent="0.2">
      <c r="A99" s="41" t="s">
        <v>136</v>
      </c>
      <c r="B99" s="15"/>
      <c r="C99" s="15"/>
      <c r="D99" s="15"/>
      <c r="E99" s="15">
        <v>0</v>
      </c>
      <c r="F99" s="15">
        <v>0</v>
      </c>
      <c r="G99" s="15"/>
      <c r="H99" s="15">
        <f>H84</f>
        <v>-430587</v>
      </c>
      <c r="I99" s="15">
        <f t="shared" ref="I99:K103" si="23">I84</f>
        <v>0</v>
      </c>
      <c r="J99" s="15">
        <f t="shared" si="23"/>
        <v>0</v>
      </c>
      <c r="K99" s="15">
        <f t="shared" si="23"/>
        <v>0</v>
      </c>
    </row>
    <row r="100" spans="1:11" x14ac:dyDescent="0.2">
      <c r="A100" s="41" t="s">
        <v>40</v>
      </c>
      <c r="B100" s="15">
        <f t="shared" ref="B100:G100" si="24">B85</f>
        <v>-271355</v>
      </c>
      <c r="C100" s="15">
        <f t="shared" si="24"/>
        <v>0</v>
      </c>
      <c r="D100" s="15">
        <f t="shared" si="24"/>
        <v>-108455</v>
      </c>
      <c r="E100" s="15">
        <f t="shared" si="24"/>
        <v>-378451.78</v>
      </c>
      <c r="F100" s="15">
        <f t="shared" si="24"/>
        <v>-423718</v>
      </c>
      <c r="G100" s="15">
        <f t="shared" si="24"/>
        <v>0</v>
      </c>
      <c r="H100" s="15">
        <f>H85</f>
        <v>-448116</v>
      </c>
      <c r="I100" s="15">
        <f t="shared" si="23"/>
        <v>0</v>
      </c>
      <c r="J100" s="15">
        <f t="shared" si="23"/>
        <v>0</v>
      </c>
      <c r="K100" s="15">
        <f t="shared" si="23"/>
        <v>0</v>
      </c>
    </row>
    <row r="101" spans="1:11" x14ac:dyDescent="0.2">
      <c r="A101" s="41" t="s">
        <v>143</v>
      </c>
      <c r="B101" s="41"/>
      <c r="C101" s="41"/>
      <c r="D101" s="43"/>
      <c r="E101" s="43"/>
      <c r="F101" s="15">
        <f>F86</f>
        <v>0</v>
      </c>
      <c r="G101" s="43"/>
      <c r="H101" s="15">
        <f>H86</f>
        <v>-1259105.0516535705</v>
      </c>
      <c r="I101" s="15">
        <f t="shared" si="23"/>
        <v>0</v>
      </c>
      <c r="J101" s="15">
        <f t="shared" si="23"/>
        <v>0</v>
      </c>
      <c r="K101" s="15">
        <f t="shared" si="23"/>
        <v>0</v>
      </c>
    </row>
    <row r="102" spans="1:11" x14ac:dyDescent="0.2">
      <c r="A102" s="41" t="s">
        <v>143</v>
      </c>
      <c r="B102" s="41"/>
      <c r="C102" s="41"/>
      <c r="D102" s="43"/>
      <c r="E102" s="43"/>
      <c r="F102" s="15">
        <f>F87</f>
        <v>0</v>
      </c>
      <c r="G102" s="43"/>
      <c r="H102" s="43"/>
      <c r="I102" s="15">
        <f t="shared" si="23"/>
        <v>0</v>
      </c>
      <c r="J102" s="15">
        <f t="shared" si="23"/>
        <v>0</v>
      </c>
      <c r="K102" s="15">
        <f t="shared" si="23"/>
        <v>0</v>
      </c>
    </row>
    <row r="103" spans="1:11" s="76" customFormat="1" x14ac:dyDescent="0.2">
      <c r="A103" s="41" t="s">
        <v>30</v>
      </c>
      <c r="B103" s="24">
        <f t="shared" ref="B103:C103" si="25">SUM(B98:B102)</f>
        <v>8594373.0424879976</v>
      </c>
      <c r="C103" s="24">
        <f t="shared" si="25"/>
        <v>-581511.69743576273</v>
      </c>
      <c r="D103" s="24">
        <f>SUM(D98:D102)</f>
        <v>2516117.0359990355</v>
      </c>
      <c r="E103" s="24">
        <f>IF(SUM(E98:E102)&lt;=0,0,SUM(E98:E102))</f>
        <v>2986566.6763251061</v>
      </c>
      <c r="F103" s="24">
        <f>IF(SUM(F98:F102)&lt;=0,0,SUM(F98:F102))</f>
        <v>6192323.3342191577</v>
      </c>
      <c r="G103" s="24">
        <f>IF(SUM(G98:G102)&lt;=0,0,SUM(G98:G102))</f>
        <v>0</v>
      </c>
      <c r="H103" s="24">
        <f>IF(SUM(H98:H102)&lt;=0,0,SUM(H98:H102))</f>
        <v>896704.27541166684</v>
      </c>
      <c r="I103" s="15">
        <f t="shared" si="23"/>
        <v>0</v>
      </c>
      <c r="J103" s="15">
        <f t="shared" si="23"/>
        <v>0</v>
      </c>
      <c r="K103" s="15">
        <f t="shared" si="23"/>
        <v>0</v>
      </c>
    </row>
    <row r="104" spans="1:11" ht="15" x14ac:dyDescent="0.25">
      <c r="A104" s="40" t="s">
        <v>41</v>
      </c>
      <c r="B104" s="24">
        <f t="shared" ref="B104:C104" si="26">IF(B103&gt;0,B103*11.5%,0)</f>
        <v>988352.89988611976</v>
      </c>
      <c r="C104" s="24">
        <f t="shared" si="26"/>
        <v>0</v>
      </c>
      <c r="D104" s="24">
        <f t="shared" ref="D104:K104" si="27">IF(D103&gt;0,D103*11.5%,0)</f>
        <v>289353.45913988911</v>
      </c>
      <c r="E104" s="24">
        <f t="shared" si="27"/>
        <v>343455.16777738719</v>
      </c>
      <c r="F104" s="24">
        <f t="shared" si="27"/>
        <v>712117.18343520316</v>
      </c>
      <c r="G104" s="24">
        <f t="shared" si="27"/>
        <v>0</v>
      </c>
      <c r="H104" s="24">
        <f t="shared" si="27"/>
        <v>103120.9916723417</v>
      </c>
      <c r="I104" s="24">
        <f t="shared" si="27"/>
        <v>0</v>
      </c>
      <c r="J104" s="24">
        <f t="shared" si="27"/>
        <v>0</v>
      </c>
      <c r="K104" s="24">
        <f t="shared" si="27"/>
        <v>0</v>
      </c>
    </row>
    <row r="105" spans="1:11" ht="15" x14ac:dyDescent="0.25">
      <c r="A105" s="40" t="s">
        <v>33</v>
      </c>
      <c r="B105" s="40"/>
      <c r="C105" s="40"/>
      <c r="D105" s="43"/>
      <c r="E105" s="43"/>
      <c r="F105" s="15"/>
      <c r="G105" s="15"/>
      <c r="H105" s="15"/>
      <c r="I105" s="15"/>
      <c r="J105" s="15"/>
      <c r="K105" s="15"/>
    </row>
    <row r="106" spans="1:11" ht="28.5" x14ac:dyDescent="0.2">
      <c r="A106" s="41" t="s">
        <v>91</v>
      </c>
      <c r="B106" s="24">
        <v>-47996</v>
      </c>
      <c r="C106" s="41">
        <v>0</v>
      </c>
      <c r="D106" s="24">
        <f>-41094</f>
        <v>-41094</v>
      </c>
      <c r="E106" s="24">
        <v>-64802</v>
      </c>
      <c r="F106" s="15">
        <v>-56565</v>
      </c>
      <c r="G106" s="15"/>
      <c r="H106" s="15">
        <v>-86817</v>
      </c>
      <c r="I106" s="15"/>
      <c r="J106" s="15"/>
      <c r="K106" s="15"/>
    </row>
    <row r="107" spans="1:11" x14ac:dyDescent="0.2">
      <c r="A107" s="41" t="s">
        <v>42</v>
      </c>
      <c r="B107" s="24">
        <v>-12000</v>
      </c>
      <c r="C107" s="24">
        <v>-3000</v>
      </c>
      <c r="D107" s="24">
        <v>-3000</v>
      </c>
      <c r="E107" s="24">
        <v>-2880</v>
      </c>
      <c r="F107" s="15">
        <v>-4296</v>
      </c>
      <c r="G107" s="15">
        <v>-12000</v>
      </c>
      <c r="H107" s="15">
        <v>-3000</v>
      </c>
      <c r="I107" s="15">
        <v>-56613</v>
      </c>
      <c r="J107" s="15"/>
      <c r="K107" s="15"/>
    </row>
    <row r="108" spans="1:11" x14ac:dyDescent="0.2">
      <c r="A108" s="41" t="s">
        <v>43</v>
      </c>
      <c r="B108" s="24">
        <v>-6192</v>
      </c>
      <c r="C108" s="24">
        <v>-1233</v>
      </c>
      <c r="D108" s="24">
        <v>-795</v>
      </c>
      <c r="E108" s="24"/>
      <c r="F108" s="15"/>
      <c r="G108" s="15"/>
      <c r="H108" s="15"/>
      <c r="I108" s="15"/>
      <c r="J108" s="15"/>
      <c r="K108" s="15"/>
    </row>
    <row r="109" spans="1:11" x14ac:dyDescent="0.2">
      <c r="A109" s="41" t="s">
        <v>137</v>
      </c>
      <c r="B109" s="41"/>
      <c r="C109" s="41"/>
      <c r="D109" s="24"/>
      <c r="E109" s="24">
        <v>0</v>
      </c>
      <c r="F109" s="15">
        <v>0</v>
      </c>
      <c r="G109" s="15"/>
      <c r="H109" s="15"/>
      <c r="I109" s="15"/>
      <c r="J109" s="15"/>
      <c r="K109" s="15"/>
    </row>
    <row r="110" spans="1:11" ht="15" x14ac:dyDescent="0.25">
      <c r="A110" s="40" t="s">
        <v>44</v>
      </c>
      <c r="B110" s="24">
        <f>IF((B104+B106+B107+B108)&gt;0,(B104+B106+B107+B108),0)</f>
        <v>922164.89988611976</v>
      </c>
      <c r="C110" s="24">
        <f>IF((C104+C106+C107+C108)&gt;0,(C104+C106+C107+C108),0)</f>
        <v>0</v>
      </c>
      <c r="D110" s="24">
        <f>IF((D104+D106+D107+D108)&gt;0,(D104+D106+D107+D108),0)</f>
        <v>244464.45913988911</v>
      </c>
      <c r="E110" s="24">
        <f>IF(SUM(E104:E109)&gt;0,SUM(E104:E109),0)</f>
        <v>275773.16777738719</v>
      </c>
      <c r="F110" s="24">
        <f>IF(SUM(F104:F109)&gt;0,SUM(F104:F109),0)</f>
        <v>651256.18343520316</v>
      </c>
      <c r="G110" s="24">
        <f>IF(SUM(G104:G109)&gt;0,SUM(G104:G109),0)</f>
        <v>0</v>
      </c>
      <c r="H110" s="24">
        <f>IF(SUM(H104:H109)&gt;0,SUM(H104:H109),0)-10020</f>
        <v>3283.9916723416973</v>
      </c>
      <c r="I110" s="24">
        <f>IF(SUM(I104:I109)&gt;0,SUM(I104:I109),0)</f>
        <v>0</v>
      </c>
      <c r="J110" s="24">
        <f>IF(SUM(J104:J109)&gt;0,SUM(J104:J109),0)</f>
        <v>0</v>
      </c>
      <c r="K110" s="24">
        <f>IF(SUM(K104:K109)&gt;0,SUM(K104:K109),0)</f>
        <v>0</v>
      </c>
    </row>
    <row r="111" spans="1:11" x14ac:dyDescent="0.2">
      <c r="A111" s="83" t="s">
        <v>167</v>
      </c>
      <c r="B111" s="24">
        <f>+B95+B110</f>
        <v>2008822.8562593195</v>
      </c>
      <c r="C111" s="24">
        <f t="shared" ref="C111:K111" si="28">+C95+C110</f>
        <v>0</v>
      </c>
      <c r="D111" s="24">
        <f>+D95+D110</f>
        <v>451927.01453974441</v>
      </c>
      <c r="E111" s="24">
        <f t="shared" si="28"/>
        <v>455754.16922615311</v>
      </c>
      <c r="F111" s="24">
        <f t="shared" si="28"/>
        <v>1335946.6835680767</v>
      </c>
      <c r="G111" s="24">
        <f t="shared" si="28"/>
        <v>0</v>
      </c>
      <c r="H111" s="24">
        <f t="shared" si="28"/>
        <v>7566.6329840917169</v>
      </c>
      <c r="I111" s="24">
        <f t="shared" si="28"/>
        <v>0</v>
      </c>
      <c r="J111" s="24">
        <f t="shared" si="28"/>
        <v>0</v>
      </c>
      <c r="K111" s="24">
        <f t="shared" si="28"/>
        <v>0</v>
      </c>
    </row>
    <row r="112" spans="1:11" ht="15" thickBot="1" x14ac:dyDescent="0.25">
      <c r="A112" s="41" t="s">
        <v>87</v>
      </c>
      <c r="B112" s="84">
        <f t="shared" ref="B112" si="29">IF(B111&lt;0,0,B111)</f>
        <v>2008822.8562593195</v>
      </c>
      <c r="C112" s="84">
        <f>IF(C111&lt;0,0,C111)</f>
        <v>0</v>
      </c>
      <c r="D112" s="84">
        <f>IF(D111&lt;0,0,D111)</f>
        <v>451927.01453974441</v>
      </c>
      <c r="E112" s="84">
        <f t="shared" ref="E112:K112" si="30">IF(E111&lt;0,0,E111)</f>
        <v>455754.16922615311</v>
      </c>
      <c r="F112" s="84">
        <f t="shared" si="30"/>
        <v>1335946.6835680767</v>
      </c>
      <c r="G112" s="85">
        <f t="shared" si="30"/>
        <v>0</v>
      </c>
      <c r="H112" s="85">
        <f t="shared" si="30"/>
        <v>7566.6329840917169</v>
      </c>
      <c r="I112" s="85">
        <f t="shared" si="30"/>
        <v>0</v>
      </c>
      <c r="J112" s="24">
        <f t="shared" si="30"/>
        <v>0</v>
      </c>
      <c r="K112" s="24">
        <f t="shared" si="30"/>
        <v>0</v>
      </c>
    </row>
    <row r="113" spans="1:12" ht="15.75" thickTop="1" x14ac:dyDescent="0.25">
      <c r="A113" s="93" t="s">
        <v>168</v>
      </c>
      <c r="B113" s="94">
        <v>2523500</v>
      </c>
      <c r="C113" s="91"/>
      <c r="D113" s="91"/>
      <c r="E113" s="91"/>
      <c r="F113" s="91"/>
      <c r="G113" s="92"/>
      <c r="H113" s="92"/>
      <c r="I113" s="92"/>
      <c r="J113" s="24"/>
      <c r="K113" s="24"/>
    </row>
    <row r="114" spans="1:12" x14ac:dyDescent="0.2">
      <c r="A114" s="83" t="s">
        <v>130</v>
      </c>
      <c r="B114" s="86">
        <v>1890165</v>
      </c>
      <c r="C114" s="86">
        <v>3764</v>
      </c>
      <c r="D114" s="24">
        <f>(D21+D23)*2.7%</f>
        <v>201462.79500000001</v>
      </c>
      <c r="E114" s="24">
        <f t="shared" ref="E114:K114" si="31">(E21+E23)*2.7%+E107</f>
        <v>296047.90800000005</v>
      </c>
      <c r="F114" s="24">
        <f t="shared" si="31"/>
        <v>526842.14100000006</v>
      </c>
      <c r="G114" s="32">
        <f t="shared" si="31"/>
        <v>618092.87100000004</v>
      </c>
      <c r="H114" s="32">
        <f t="shared" si="31"/>
        <v>34806.831000000006</v>
      </c>
      <c r="I114" s="32">
        <f t="shared" si="31"/>
        <v>210624.17100000003</v>
      </c>
      <c r="J114" s="24">
        <f t="shared" si="31"/>
        <v>182464.00723558912</v>
      </c>
      <c r="K114" s="24">
        <f t="shared" si="31"/>
        <v>309777.28959902073</v>
      </c>
    </row>
    <row r="115" spans="1:12" ht="15" x14ac:dyDescent="0.25">
      <c r="A115" s="77"/>
      <c r="B115" s="77"/>
      <c r="C115" s="77"/>
      <c r="D115" s="78"/>
      <c r="E115" s="78"/>
      <c r="F115" s="78"/>
      <c r="G115" s="30"/>
      <c r="H115" s="30"/>
      <c r="I115" s="30"/>
      <c r="J115" s="30"/>
      <c r="K115" s="30"/>
    </row>
    <row r="116" spans="1:12" ht="15.75" x14ac:dyDescent="0.25">
      <c r="A116" s="79" t="s">
        <v>151</v>
      </c>
      <c r="B116" s="97">
        <v>447767.04248799803</v>
      </c>
      <c r="C116" s="97">
        <v>53566.302564237303</v>
      </c>
      <c r="D116" s="97">
        <v>2836908.5835062824</v>
      </c>
      <c r="E116" s="97">
        <v>3334704.9395027831</v>
      </c>
      <c r="F116" s="97">
        <v>3557270.8726050598</v>
      </c>
      <c r="G116" s="97">
        <v>7216649.5472078184</v>
      </c>
      <c r="H116" s="97">
        <v>2794603.0629704744</v>
      </c>
      <c r="I116" s="97">
        <v>-1106834.1497712173</v>
      </c>
      <c r="J116" s="97">
        <v>1032323.8375438601</v>
      </c>
      <c r="K116" s="97">
        <v>-300865.12998577952</v>
      </c>
      <c r="L116" s="98"/>
    </row>
    <row r="117" spans="1:12" ht="15.75" x14ac:dyDescent="0.25">
      <c r="A117" s="96" t="s">
        <v>150</v>
      </c>
      <c r="B117" s="99">
        <f>B64+B116</f>
        <v>-23214060.957512002</v>
      </c>
      <c r="C117" s="99">
        <f>C64+C116</f>
        <v>-5373874.6974357627</v>
      </c>
      <c r="D117" s="99">
        <f t="shared" ref="D117:K117" si="32">D64+D116</f>
        <v>-17751878.433009773</v>
      </c>
      <c r="E117" s="99">
        <f t="shared" si="32"/>
        <v>-26006525.603674896</v>
      </c>
      <c r="F117" s="99">
        <f t="shared" si="32"/>
        <v>-27694634.732391242</v>
      </c>
      <c r="G117" s="99">
        <f t="shared" si="32"/>
        <v>-30902216.671653576</v>
      </c>
      <c r="H117" s="99">
        <f t="shared" si="32"/>
        <v>-33421580.987481728</v>
      </c>
      <c r="I117" s="99">
        <f t="shared" si="32"/>
        <v>-33677609.534590125</v>
      </c>
      <c r="J117" s="99">
        <f t="shared" si="32"/>
        <v>-35333065.283443138</v>
      </c>
      <c r="K117" s="99">
        <f t="shared" si="32"/>
        <v>-36948373.538507648</v>
      </c>
      <c r="L117" s="98"/>
    </row>
    <row r="118" spans="1:12" ht="15.75" x14ac:dyDescent="0.25">
      <c r="A118" s="79" t="s">
        <v>169</v>
      </c>
      <c r="B118" s="95">
        <f>IF(B111-B114&lt;0,0, B111-B114)</f>
        <v>118657.85625931947</v>
      </c>
      <c r="C118" s="95">
        <f>C116*0.265</f>
        <v>14195.070179522885</v>
      </c>
      <c r="D118" s="95">
        <f>IF(D111-D114&lt;0,0, D111-D114)</f>
        <v>250464.2195397444</v>
      </c>
      <c r="E118" s="95">
        <f>IF(E111-E114&lt;0,0, E111-E114)</f>
        <v>159706.26122615306</v>
      </c>
      <c r="F118" s="95">
        <f>IF(F111-F114&lt;0,0, F111-F114)</f>
        <v>809104.54256807663</v>
      </c>
      <c r="G118" s="95">
        <f t="shared" ref="G118:K118" si="33">IF(G111-G114&lt;0,0, G111-G114)</f>
        <v>0</v>
      </c>
      <c r="H118" s="95">
        <f t="shared" si="33"/>
        <v>0</v>
      </c>
      <c r="I118" s="95">
        <f t="shared" si="33"/>
        <v>0</v>
      </c>
      <c r="J118" s="95">
        <f t="shared" si="33"/>
        <v>0</v>
      </c>
      <c r="K118" s="95">
        <f t="shared" si="33"/>
        <v>0</v>
      </c>
      <c r="L118" s="98"/>
    </row>
    <row r="119" spans="1:12" ht="25.5" x14ac:dyDescent="0.2">
      <c r="B119" s="72" t="s">
        <v>3</v>
      </c>
      <c r="C119" s="72" t="s">
        <v>157</v>
      </c>
    </row>
    <row r="121" spans="1:12" ht="31.5" x14ac:dyDescent="0.25">
      <c r="A121" s="79" t="s">
        <v>163</v>
      </c>
      <c r="B121" s="95">
        <f>-B116*0.265</f>
        <v>-118658.26625931948</v>
      </c>
      <c r="C121" s="95">
        <f>-C116*0.265</f>
        <v>-14195.070179522885</v>
      </c>
      <c r="D121" s="95">
        <f>-D116*0.265</f>
        <v>-751780.77462916484</v>
      </c>
      <c r="E121" s="95">
        <f>-E116*0.265</f>
        <v>-883696.8089682376</v>
      </c>
      <c r="F121" s="95">
        <f t="shared" ref="F121:K121" si="34">-F116*0.265</f>
        <v>-942676.7812403409</v>
      </c>
      <c r="G121" s="95">
        <f>-G116*0.265</f>
        <v>-1912412.1300100719</v>
      </c>
      <c r="H121" s="95">
        <f t="shared" si="34"/>
        <v>-740569.81168717577</v>
      </c>
      <c r="I121" s="95">
        <f t="shared" si="34"/>
        <v>293311.04968937259</v>
      </c>
      <c r="J121" s="95">
        <f t="shared" si="34"/>
        <v>-273565.81694912293</v>
      </c>
      <c r="K121" s="95">
        <f t="shared" si="34"/>
        <v>79729.259446231576</v>
      </c>
    </row>
    <row r="123" spans="1:12" ht="18.75" x14ac:dyDescent="0.3">
      <c r="A123" s="80" t="s">
        <v>162</v>
      </c>
    </row>
    <row r="124" spans="1:12" x14ac:dyDescent="0.2">
      <c r="A124" s="25" t="s">
        <v>160</v>
      </c>
      <c r="B124" s="25">
        <f>SUM(B121:K121)</f>
        <v>-5264515.1507873517</v>
      </c>
      <c r="D124" s="25"/>
      <c r="E124" s="25"/>
    </row>
    <row r="125" spans="1:12" ht="15.75" x14ac:dyDescent="0.25">
      <c r="A125" s="25" t="s">
        <v>156</v>
      </c>
      <c r="B125" s="97">
        <f>-SUM(B118:F118)</f>
        <v>-1352127.9497728164</v>
      </c>
      <c r="D125" s="25"/>
      <c r="E125" s="25"/>
    </row>
    <row r="126" spans="1:12" ht="15.75" x14ac:dyDescent="0.25">
      <c r="A126" s="25" t="s">
        <v>161</v>
      </c>
      <c r="B126" s="97">
        <f>B124-B125</f>
        <v>-3912387.2010145355</v>
      </c>
      <c r="D126" s="25"/>
      <c r="E126" s="25"/>
    </row>
    <row r="127" spans="1:12" x14ac:dyDescent="0.2">
      <c r="A127" s="25"/>
      <c r="B127" s="36">
        <v>0.26500000000000001</v>
      </c>
      <c r="D127" s="25"/>
      <c r="E127" s="25"/>
    </row>
    <row r="128" spans="1:12" x14ac:dyDescent="0.2">
      <c r="A128" s="25" t="s">
        <v>158</v>
      </c>
      <c r="B128" s="25">
        <f>B126/B127</f>
        <v>-14763725.286847303</v>
      </c>
      <c r="D128" s="25"/>
      <c r="E128" s="25"/>
    </row>
    <row r="129" spans="1:5" ht="15" x14ac:dyDescent="0.25">
      <c r="A129" s="30" t="s">
        <v>159</v>
      </c>
      <c r="B129" s="30">
        <f>B128+2</f>
        <v>-14763723.286847303</v>
      </c>
      <c r="D129" s="25"/>
      <c r="E129" s="25"/>
    </row>
  </sheetData>
  <printOptions gridLines="1"/>
  <pageMargins left="0.11811023622047245" right="0.11811023622047245" top="0.74803149606299213" bottom="0.74803149606299213" header="0.31496062992125984" footer="0.31496062992125984"/>
  <pageSetup scale="49" fitToWidth="2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7"/>
  <sheetViews>
    <sheetView topLeftCell="A25" workbookViewId="0">
      <selection activeCell="F30" sqref="F30"/>
    </sheetView>
  </sheetViews>
  <sheetFormatPr defaultRowHeight="15" x14ac:dyDescent="0.25"/>
  <cols>
    <col min="1" max="1" width="8.140625" bestFit="1" customWidth="1"/>
    <col min="2" max="2" width="32.140625" bestFit="1" customWidth="1"/>
    <col min="3" max="3" width="14.140625" bestFit="1" customWidth="1"/>
    <col min="4" max="4" width="5.42578125" bestFit="1" customWidth="1"/>
    <col min="5" max="5" width="10.140625" bestFit="1" customWidth="1"/>
    <col min="7" max="7" width="13.140625" bestFit="1" customWidth="1"/>
    <col min="9" max="9" width="12.140625" bestFit="1" customWidth="1"/>
    <col min="10" max="10" width="9.85546875" bestFit="1" customWidth="1"/>
  </cols>
  <sheetData>
    <row r="1" spans="1:5" x14ac:dyDescent="0.25">
      <c r="A1" s="2"/>
      <c r="B1" s="2"/>
      <c r="C1" s="2"/>
      <c r="D1" s="3"/>
    </row>
    <row r="2" spans="1:5" x14ac:dyDescent="0.25">
      <c r="A2" s="4"/>
      <c r="B2" s="2" t="s">
        <v>112</v>
      </c>
      <c r="C2" s="4" t="s">
        <v>3</v>
      </c>
      <c r="D2" s="3"/>
    </row>
    <row r="3" spans="1:5" x14ac:dyDescent="0.25">
      <c r="A3" s="2"/>
      <c r="B3" s="2"/>
      <c r="C3" s="2"/>
      <c r="D3" s="3"/>
    </row>
    <row r="4" spans="1:5" ht="45" x14ac:dyDescent="0.25">
      <c r="A4" s="2" t="s">
        <v>48</v>
      </c>
      <c r="B4" s="2" t="s">
        <v>45</v>
      </c>
      <c r="C4" s="5" t="s">
        <v>111</v>
      </c>
      <c r="D4" s="5" t="s">
        <v>49</v>
      </c>
    </row>
    <row r="5" spans="1:5" x14ac:dyDescent="0.25">
      <c r="A5" s="6">
        <v>1908</v>
      </c>
      <c r="B5" s="7" t="s">
        <v>50</v>
      </c>
      <c r="C5" s="8">
        <v>200000</v>
      </c>
      <c r="D5" s="9">
        <v>1</v>
      </c>
      <c r="E5" t="s">
        <v>3</v>
      </c>
    </row>
    <row r="6" spans="1:5" x14ac:dyDescent="0.25">
      <c r="A6" s="6"/>
      <c r="B6" s="7"/>
      <c r="C6" s="10"/>
      <c r="D6" s="9"/>
      <c r="E6" t="s">
        <v>3</v>
      </c>
    </row>
    <row r="7" spans="1:5" x14ac:dyDescent="0.25">
      <c r="A7" s="6">
        <v>1915</v>
      </c>
      <c r="B7" s="7" t="s">
        <v>51</v>
      </c>
      <c r="C7" s="10">
        <v>60000</v>
      </c>
      <c r="D7" s="9">
        <v>8</v>
      </c>
      <c r="E7" t="s">
        <v>3</v>
      </c>
    </row>
    <row r="8" spans="1:5" x14ac:dyDescent="0.25">
      <c r="A8" s="6">
        <v>1940</v>
      </c>
      <c r="B8" s="7" t="s">
        <v>52</v>
      </c>
      <c r="C8" s="10">
        <v>250000</v>
      </c>
      <c r="D8" s="9">
        <v>8</v>
      </c>
      <c r="E8" t="s">
        <v>3</v>
      </c>
    </row>
    <row r="9" spans="1:5" x14ac:dyDescent="0.25">
      <c r="A9" s="6">
        <v>1955</v>
      </c>
      <c r="B9" s="7" t="s">
        <v>53</v>
      </c>
      <c r="C9" s="10">
        <v>36870</v>
      </c>
      <c r="D9" s="9">
        <v>8</v>
      </c>
      <c r="E9" t="s">
        <v>3</v>
      </c>
    </row>
    <row r="10" spans="1:5" x14ac:dyDescent="0.25">
      <c r="A10" s="6">
        <v>1980</v>
      </c>
      <c r="B10" s="7" t="s">
        <v>54</v>
      </c>
      <c r="C10" s="18">
        <v>589330</v>
      </c>
      <c r="D10" s="9">
        <v>8</v>
      </c>
      <c r="E10" t="s">
        <v>3</v>
      </c>
    </row>
    <row r="11" spans="1:5" x14ac:dyDescent="0.25">
      <c r="A11" s="6">
        <v>1945</v>
      </c>
      <c r="B11" s="7" t="s">
        <v>80</v>
      </c>
      <c r="C11" s="18">
        <v>0</v>
      </c>
      <c r="D11" s="9">
        <v>8</v>
      </c>
    </row>
    <row r="12" spans="1:5" x14ac:dyDescent="0.25">
      <c r="A12" s="6">
        <v>1960</v>
      </c>
      <c r="B12" s="7" t="s">
        <v>55</v>
      </c>
      <c r="C12" s="12">
        <v>25000</v>
      </c>
      <c r="D12" s="9">
        <v>8</v>
      </c>
      <c r="E12" t="s">
        <v>3</v>
      </c>
    </row>
    <row r="13" spans="1:5" x14ac:dyDescent="0.25">
      <c r="A13" s="6"/>
      <c r="B13" s="7"/>
      <c r="C13" s="8">
        <f>SUM(C7:C12)</f>
        <v>961200</v>
      </c>
      <c r="D13" s="9"/>
      <c r="E13" t="s">
        <v>3</v>
      </c>
    </row>
    <row r="14" spans="1:5" x14ac:dyDescent="0.25">
      <c r="E14" t="s">
        <v>3</v>
      </c>
    </row>
    <row r="15" spans="1:5" x14ac:dyDescent="0.25">
      <c r="A15" s="6">
        <v>1930</v>
      </c>
      <c r="B15" s="7" t="s">
        <v>46</v>
      </c>
      <c r="C15" s="12">
        <v>1300000</v>
      </c>
      <c r="D15" s="9">
        <v>10</v>
      </c>
      <c r="E15" t="s">
        <v>3</v>
      </c>
    </row>
    <row r="16" spans="1:5" x14ac:dyDescent="0.25">
      <c r="A16" s="6"/>
      <c r="B16" s="7"/>
      <c r="C16" s="8"/>
      <c r="D16" s="9"/>
      <c r="E16" t="s">
        <v>3</v>
      </c>
    </row>
    <row r="17" spans="1:10" x14ac:dyDescent="0.25">
      <c r="A17" s="6">
        <v>1611</v>
      </c>
      <c r="B17" s="7" t="s">
        <v>56</v>
      </c>
      <c r="C17" s="12">
        <v>1012000</v>
      </c>
      <c r="D17" s="9">
        <v>12</v>
      </c>
      <c r="E17" t="s">
        <v>3</v>
      </c>
    </row>
    <row r="18" spans="1:10" x14ac:dyDescent="0.25">
      <c r="A18" s="6"/>
      <c r="B18" s="7"/>
      <c r="C18" s="8"/>
      <c r="D18" s="9"/>
    </row>
    <row r="19" spans="1:10" x14ac:dyDescent="0.25">
      <c r="A19" s="6">
        <v>1910</v>
      </c>
      <c r="B19" s="7" t="s">
        <v>57</v>
      </c>
      <c r="C19" s="12">
        <v>0</v>
      </c>
      <c r="D19" s="9">
        <v>13</v>
      </c>
      <c r="E19" t="s">
        <v>3</v>
      </c>
    </row>
    <row r="20" spans="1:10" x14ac:dyDescent="0.25">
      <c r="A20" s="6"/>
      <c r="B20" s="7"/>
      <c r="C20" s="8"/>
      <c r="D20" s="9"/>
      <c r="E20" t="s">
        <v>3</v>
      </c>
    </row>
    <row r="21" spans="1:10" x14ac:dyDescent="0.25">
      <c r="A21" s="6">
        <v>1725</v>
      </c>
      <c r="B21" s="7" t="s">
        <v>58</v>
      </c>
      <c r="C21" s="10">
        <v>609928</v>
      </c>
      <c r="D21" s="9">
        <v>47</v>
      </c>
      <c r="E21" t="s">
        <v>3</v>
      </c>
    </row>
    <row r="22" spans="1:10" x14ac:dyDescent="0.25">
      <c r="A22" s="6">
        <v>1730</v>
      </c>
      <c r="B22" s="7" t="s">
        <v>59</v>
      </c>
      <c r="C22" s="10">
        <v>690283</v>
      </c>
      <c r="D22" s="9">
        <v>47</v>
      </c>
      <c r="E22" t="s">
        <v>3</v>
      </c>
    </row>
    <row r="23" spans="1:10" x14ac:dyDescent="0.25">
      <c r="A23" s="6">
        <v>1815</v>
      </c>
      <c r="B23" s="7" t="s">
        <v>77</v>
      </c>
      <c r="C23" s="10"/>
      <c r="D23" s="9"/>
    </row>
    <row r="24" spans="1:10" x14ac:dyDescent="0.25">
      <c r="A24" s="6">
        <v>1820</v>
      </c>
      <c r="B24" s="7" t="s">
        <v>60</v>
      </c>
      <c r="C24" s="10">
        <v>4245836</v>
      </c>
      <c r="D24" s="9">
        <v>47</v>
      </c>
      <c r="E24" t="s">
        <v>3</v>
      </c>
    </row>
    <row r="25" spans="1:10" x14ac:dyDescent="0.25">
      <c r="A25" s="6">
        <v>1830</v>
      </c>
      <c r="B25" s="7" t="s">
        <v>61</v>
      </c>
      <c r="C25" s="10">
        <v>2403863</v>
      </c>
      <c r="D25" s="9">
        <v>47</v>
      </c>
      <c r="E25" t="s">
        <v>3</v>
      </c>
    </row>
    <row r="26" spans="1:10" x14ac:dyDescent="0.25">
      <c r="A26" s="6">
        <v>1835</v>
      </c>
      <c r="B26" s="7" t="s">
        <v>62</v>
      </c>
      <c r="C26" s="10">
        <v>1436209</v>
      </c>
      <c r="D26" s="9">
        <v>47</v>
      </c>
      <c r="E26" t="s">
        <v>3</v>
      </c>
    </row>
    <row r="27" spans="1:10" x14ac:dyDescent="0.25">
      <c r="A27" s="6">
        <v>1840</v>
      </c>
      <c r="B27" s="7" t="s">
        <v>63</v>
      </c>
      <c r="C27" s="10">
        <v>524299</v>
      </c>
      <c r="D27" s="9">
        <v>47</v>
      </c>
      <c r="E27" t="s">
        <v>3</v>
      </c>
    </row>
    <row r="28" spans="1:10" ht="15" customHeight="1" x14ac:dyDescent="0.25">
      <c r="A28" s="7">
        <v>1845</v>
      </c>
      <c r="B28" s="7" t="s">
        <v>64</v>
      </c>
      <c r="C28" s="10">
        <v>8348022</v>
      </c>
      <c r="D28" s="9">
        <v>47</v>
      </c>
      <c r="E28" t="s">
        <v>3</v>
      </c>
    </row>
    <row r="29" spans="1:10" x14ac:dyDescent="0.25">
      <c r="A29" s="7">
        <v>1850</v>
      </c>
      <c r="B29" s="7" t="s">
        <v>65</v>
      </c>
      <c r="C29" s="10">
        <v>4213479</v>
      </c>
      <c r="D29" s="9">
        <v>47</v>
      </c>
      <c r="E29" t="s">
        <v>3</v>
      </c>
      <c r="H29" t="s">
        <v>3</v>
      </c>
    </row>
    <row r="30" spans="1:10" x14ac:dyDescent="0.25">
      <c r="A30" s="2">
        <v>1995</v>
      </c>
      <c r="B30" s="2" t="s">
        <v>66</v>
      </c>
      <c r="C30" s="17">
        <v>-4825082</v>
      </c>
      <c r="D30" s="9">
        <v>47</v>
      </c>
      <c r="E30" t="s">
        <v>3</v>
      </c>
      <c r="H30" t="s">
        <v>69</v>
      </c>
      <c r="I30" s="11" t="s">
        <v>3</v>
      </c>
      <c r="J30" s="1" t="s">
        <v>3</v>
      </c>
    </row>
    <row r="31" spans="1:10" x14ac:dyDescent="0.25">
      <c r="A31" s="6">
        <v>1855</v>
      </c>
      <c r="B31" s="7" t="s">
        <v>67</v>
      </c>
      <c r="C31" s="10">
        <v>1355075</v>
      </c>
      <c r="D31" s="9">
        <v>47</v>
      </c>
      <c r="E31" t="s">
        <v>3</v>
      </c>
      <c r="H31" t="s">
        <v>3</v>
      </c>
    </row>
    <row r="32" spans="1:10" x14ac:dyDescent="0.25">
      <c r="A32" s="6">
        <v>1860</v>
      </c>
      <c r="B32" s="7" t="s">
        <v>68</v>
      </c>
      <c r="C32" s="19">
        <v>753000</v>
      </c>
      <c r="D32" s="9">
        <v>47</v>
      </c>
      <c r="E32" t="s">
        <v>3</v>
      </c>
    </row>
    <row r="33" spans="1:5" x14ac:dyDescent="0.25">
      <c r="A33" s="6"/>
      <c r="B33" s="7"/>
      <c r="C33" s="8">
        <f>SUM(C21:C32)</f>
        <v>19754912</v>
      </c>
      <c r="D33" s="9"/>
    </row>
    <row r="34" spans="1:5" x14ac:dyDescent="0.25">
      <c r="A34" s="6">
        <v>1920</v>
      </c>
      <c r="B34" s="7" t="s">
        <v>70</v>
      </c>
      <c r="C34" s="8">
        <v>363500</v>
      </c>
      <c r="D34" s="9">
        <v>50</v>
      </c>
    </row>
    <row r="35" spans="1:5" x14ac:dyDescent="0.25">
      <c r="A35" s="6"/>
      <c r="B35" s="7"/>
      <c r="C35" s="10"/>
      <c r="D35" s="9"/>
      <c r="E35" t="s">
        <v>3</v>
      </c>
    </row>
    <row r="36" spans="1:5" x14ac:dyDescent="0.25">
      <c r="A36" s="6">
        <v>1800</v>
      </c>
      <c r="B36" s="7" t="s">
        <v>71</v>
      </c>
      <c r="C36" s="13">
        <v>175000</v>
      </c>
      <c r="D36" s="9" t="s">
        <v>72</v>
      </c>
      <c r="E36" t="s">
        <v>3</v>
      </c>
    </row>
    <row r="37" spans="1:5" x14ac:dyDescent="0.25">
      <c r="A37" s="6">
        <v>1735</v>
      </c>
      <c r="B37" s="7" t="s">
        <v>73</v>
      </c>
      <c r="C37" s="8">
        <v>0</v>
      </c>
      <c r="D37" s="9">
        <v>47</v>
      </c>
      <c r="E37" t="s">
        <v>3</v>
      </c>
    </row>
    <row r="38" spans="1:5" x14ac:dyDescent="0.25">
      <c r="A38" s="6">
        <v>1740</v>
      </c>
      <c r="B38" s="7" t="s">
        <v>74</v>
      </c>
      <c r="C38" s="8">
        <v>0</v>
      </c>
      <c r="D38" s="9">
        <v>47</v>
      </c>
    </row>
    <row r="39" spans="1:5" x14ac:dyDescent="0.25">
      <c r="A39" s="6">
        <v>1806</v>
      </c>
      <c r="B39" s="7" t="s">
        <v>75</v>
      </c>
      <c r="C39" s="10">
        <v>0</v>
      </c>
      <c r="D39" s="9" t="s">
        <v>72</v>
      </c>
      <c r="E39" t="s">
        <v>3</v>
      </c>
    </row>
    <row r="40" spans="1:5" x14ac:dyDescent="0.25">
      <c r="A40" s="6">
        <v>1808</v>
      </c>
      <c r="B40" s="7" t="s">
        <v>76</v>
      </c>
      <c r="C40" s="10">
        <v>0</v>
      </c>
      <c r="D40" s="9"/>
    </row>
    <row r="41" spans="1:5" x14ac:dyDescent="0.25">
      <c r="A41" s="6">
        <v>1901</v>
      </c>
      <c r="B41" s="7" t="s">
        <v>75</v>
      </c>
      <c r="C41" s="10">
        <v>0</v>
      </c>
      <c r="D41" s="9"/>
    </row>
    <row r="42" spans="1:5" x14ac:dyDescent="0.25">
      <c r="A42" s="6">
        <v>1905</v>
      </c>
      <c r="B42" s="7" t="s">
        <v>78</v>
      </c>
      <c r="C42" s="13">
        <v>0</v>
      </c>
      <c r="D42" s="9"/>
    </row>
    <row r="43" spans="1:5" x14ac:dyDescent="0.25">
      <c r="A43" s="6">
        <v>1935</v>
      </c>
      <c r="B43" s="7" t="s">
        <v>79</v>
      </c>
      <c r="C43" s="10">
        <v>0</v>
      </c>
      <c r="D43" s="9"/>
    </row>
    <row r="44" spans="1:5" x14ac:dyDescent="0.25">
      <c r="A44" s="2">
        <v>1865</v>
      </c>
      <c r="B44" s="2" t="s">
        <v>81</v>
      </c>
      <c r="C44" s="10"/>
      <c r="D44" s="9"/>
    </row>
    <row r="45" spans="1:5" x14ac:dyDescent="0.25">
      <c r="A45" s="2"/>
      <c r="B45" s="2"/>
      <c r="C45" s="2"/>
      <c r="D45" s="3"/>
    </row>
    <row r="46" spans="1:5" x14ac:dyDescent="0.25">
      <c r="A46" s="2"/>
      <c r="E46" t="s">
        <v>3</v>
      </c>
    </row>
    <row r="47" spans="1:5" x14ac:dyDescent="0.25">
      <c r="A47" s="2">
        <v>2075</v>
      </c>
      <c r="B47" t="s">
        <v>82</v>
      </c>
      <c r="C47" s="22">
        <v>0</v>
      </c>
      <c r="D47" t="s">
        <v>3</v>
      </c>
    </row>
    <row r="48" spans="1:5" x14ac:dyDescent="0.25">
      <c r="A48" s="2"/>
      <c r="C48" s="22"/>
    </row>
    <row r="49" spans="1:7" x14ac:dyDescent="0.25">
      <c r="A49" s="2"/>
      <c r="B49" s="4" t="s">
        <v>47</v>
      </c>
      <c r="C49" s="14">
        <f>+C5+C13+C15+C17+C19+C33+C34+C36</f>
        <v>23766612</v>
      </c>
      <c r="D49" s="3"/>
    </row>
    <row r="50" spans="1:7" x14ac:dyDescent="0.25">
      <c r="B50" s="2" t="s">
        <v>3</v>
      </c>
      <c r="C50" s="2" t="s">
        <v>3</v>
      </c>
      <c r="D50" s="3"/>
      <c r="E50" t="s">
        <v>3</v>
      </c>
    </row>
    <row r="52" spans="1:7" x14ac:dyDescent="0.25">
      <c r="A52">
        <v>6040</v>
      </c>
      <c r="B52" t="s">
        <v>108</v>
      </c>
      <c r="C52" s="20">
        <v>0</v>
      </c>
      <c r="E52" t="s">
        <v>110</v>
      </c>
    </row>
    <row r="54" spans="1:7" x14ac:dyDescent="0.25">
      <c r="A54">
        <v>1612</v>
      </c>
      <c r="B54" t="s">
        <v>109</v>
      </c>
      <c r="C54">
        <v>0</v>
      </c>
    </row>
    <row r="55" spans="1:7" x14ac:dyDescent="0.25">
      <c r="A55">
        <v>1610</v>
      </c>
      <c r="B55" t="s">
        <v>84</v>
      </c>
      <c r="C55" s="21">
        <v>730000</v>
      </c>
    </row>
    <row r="56" spans="1:7" x14ac:dyDescent="0.25">
      <c r="E56" t="s">
        <v>113</v>
      </c>
      <c r="G56" t="s">
        <v>114</v>
      </c>
    </row>
    <row r="57" spans="1:7" x14ac:dyDescent="0.25">
      <c r="B57" t="s">
        <v>83</v>
      </c>
      <c r="C57" s="11">
        <f>C49+C54+C55</f>
        <v>24496612</v>
      </c>
      <c r="E57" s="23">
        <v>24496612</v>
      </c>
      <c r="G57" s="11">
        <f>C57-E57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Witness signed off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IRR xmlns="6a95137c-d42e-468e-9f88-48056057fa51">false</IRR>
    <ABlairStatus xmlns="6a95137c-d42e-468e-9f88-48056057fa51">N/A</ABlairStatus>
    <Round2Topic xmlns="6a95137c-d42e-468e-9f88-48056057fa51">false</Round2Topic>
    <IRR_x0020_Label xmlns="6a95137c-d42e-468e-9f88-48056057fa51" xsi:nil="true"/>
    <Intervenor xmlns="6a95137c-d42e-468e-9f88-48056057fa51">OEB Staff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 xsi:nil="true"/>
    <SaadStatus xmlns="6a95137c-d42e-468e-9f88-48056057fa51">N/A</SaadStatus>
    <Witness_x0028_es_x0029_ xmlns="6a95137c-d42e-468e-9f88-48056057fa51">
      <Value>Zubair</Value>
    </Witness_x0028_es_x0029_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>Ajay</SME_x0028_s_x0029_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E696E-96E7-488D-B23E-C19AA4DC62A7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6a95137c-d42e-468e-9f88-48056057fa51"/>
  </ds:schemaRefs>
</ds:datastoreItem>
</file>

<file path=customXml/itemProps2.xml><?xml version="1.0" encoding="utf-8"?>
<ds:datastoreItem xmlns:ds="http://schemas.openxmlformats.org/officeDocument/2006/customXml" ds:itemID="{DA9BDB6B-8077-4633-9F53-2B02093C1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8FCA24-B0BA-472B-969C-16E7F0FAA1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Tax</vt:lpstr>
      <vt:lpstr>cap add 16 Q3 proj</vt:lpstr>
      <vt:lpstr>Tax!Print_Area</vt:lpstr>
      <vt:lpstr>Tax!Print_Titles</vt:lpstr>
    </vt:vector>
  </TitlesOfParts>
  <Company>Veridian Connections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asharma</dc:creator>
  <cp:lastModifiedBy>Zubair Islam</cp:lastModifiedBy>
  <cp:lastPrinted>2026-04-27T16:26:25Z</cp:lastPrinted>
  <dcterms:created xsi:type="dcterms:W3CDTF">2012-11-07T16:03:37Z</dcterms:created>
  <dcterms:modified xsi:type="dcterms:W3CDTF">2026-05-06T20:41:46Z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