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codeName="ThisWorkbook"/>
  <mc:AlternateContent xmlns:mc="http://schemas.openxmlformats.org/markup-compatibility/2006">
    <mc:Choice Requires="x15">
      <x15ac:absPath xmlns:x15ac="http://schemas.microsoft.com/office/spreadsheetml/2010/11/ac" url="https://poweradvisoryllc-my.sharepoint.com/personal/ablair_poweradvisoryllc_com/Documents/Documents/Elexicon/0-IRs/"/>
    </mc:Choice>
  </mc:AlternateContent>
  <xr:revisionPtr revIDLastSave="0" documentId="8_{AD09B697-3A90-4E41-88C6-5FF718184556}" xr6:coauthVersionLast="47" xr6:coauthVersionMax="47" xr10:uidLastSave="{00000000-0000-0000-0000-000000000000}"/>
  <bookViews>
    <workbookView xWindow="-28920" yWindow="-120" windowWidth="29040" windowHeight="15720" tabRatio="841" firstSheet="3" activeTab="3" xr2:uid="{80C6F79D-A32D-452B-B37A-B18698BD6FDB}"/>
  </bookViews>
  <sheets>
    <sheet name="1. Info" sheetId="47" r:id="rId1"/>
    <sheet name="2. Table of Contents" sheetId="48" r:id="rId2"/>
    <sheet name="3. RRR Data 2027" sheetId="27" r:id="rId3"/>
    <sheet name="3. RRR Data 2028" sheetId="28" r:id="rId4"/>
    <sheet name="3. RRR Data 2029" sheetId="29" r:id="rId5"/>
    <sheet name="3. RRR Data 2030" sheetId="30" r:id="rId6"/>
    <sheet name="3. RRR Data 2031" sheetId="31" r:id="rId7"/>
    <sheet name="4. UTRs &amp; Sub-Transmission" sheetId="22" r:id="rId8"/>
    <sheet name="7. Forecast Wholesale 2026" sheetId="23" r:id="rId9"/>
    <sheet name="7. Forecast Wholesale 2027" sheetId="24" r:id="rId10"/>
    <sheet name="8. RTSR Rates to Forecast 2027" sheetId="26" r:id="rId11"/>
    <sheet name="7. Forecast Wholesale 2028" sheetId="32" r:id="rId12"/>
    <sheet name="8. RTSR Rates to Forecast 2028" sheetId="36" r:id="rId13"/>
    <sheet name="7. Forecast Wholesale 2029" sheetId="33" r:id="rId14"/>
    <sheet name="8. RTSR Rates to Forecast 2029" sheetId="37" r:id="rId15"/>
    <sheet name="7. Forecast Wholesale 2030" sheetId="34" r:id="rId16"/>
    <sheet name="8. RTSR Rates to Forecast 2030" sheetId="38" r:id="rId17"/>
    <sheet name="7. Forecast Wholesale 2031" sheetId="35" r:id="rId18"/>
    <sheet name="8. RTSR Rates to Forecast 2031" sheetId="39" r:id="rId19"/>
    <sheet name="Forecast RTSRs" sheetId="40" r:id="rId20"/>
    <sheet name="LV Charges" sheetId="50" r:id="rId21"/>
  </sheets>
  <definedNames>
    <definedName name="BI_LDCLIST">#REF!</definedName>
    <definedName name="BridgeYear">#REF!</definedName>
    <definedName name="contactf">#REF!</definedName>
    <definedName name="COS_RES_CUSTOMERS">#REF!</definedName>
    <definedName name="COS_RES_KWH">#REF!</definedName>
    <definedName name="CustomerAdministration">#REF!</definedName>
    <definedName name="DesRange">#REF!</definedName>
    <definedName name="DRP">#REF!</definedName>
    <definedName name="EBNUMBER">#REF!</definedName>
    <definedName name="Elexicon_SA">#REF!</definedName>
    <definedName name="fed_sb">#REF!</definedName>
    <definedName name="fedtax">#REF!</definedName>
    <definedName name="forecast_wholesale_lineplus">#REF!</definedName>
    <definedName name="forecast_wholesale_network">#REF!</definedName>
    <definedName name="G1LD">#REF!</definedName>
    <definedName name="Group1Desposing">#REF!</definedName>
    <definedName name="histdate">#REF!</definedName>
    <definedName name="Incr2000">#REF!</definedName>
    <definedName name="LDCList">OFFSET(#REF!,0,0,COUNTA(#REF!),1)</definedName>
    <definedName name="LDCNAME1">#REF!</definedName>
    <definedName name="LIMIT">#REF!</definedName>
    <definedName name="listdata">#REF!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#REF!</definedName>
    <definedName name="MidPeakPer">#REF!</definedName>
    <definedName name="OER">#REF!</definedName>
    <definedName name="OffPeak">#REF!</definedName>
    <definedName name="OffPeakPer">#REF!</definedName>
    <definedName name="OnPeak">#REF!</definedName>
    <definedName name="OnPeakPer">#REF!</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ES">#REF!</definedName>
    <definedName name="ratebase">#REF!</definedName>
    <definedName name="ratedescription">#REF!</definedName>
    <definedName name="RateRiderName">OFFSET(#REF!,1,0,COUNTA(#REF!)-1,1)</definedName>
    <definedName name="RebaseYear">#REF!</definedName>
    <definedName name="SALBENF">#REF!</definedName>
    <definedName name="salreg">#REF!</definedName>
    <definedName name="SALREGF">#REF!</definedName>
    <definedName name="SME">#REF!</definedName>
    <definedName name="SpRange">#REF!</definedName>
    <definedName name="StartEnd">#REF!</definedName>
    <definedName name="taxableincome">#REF!</definedName>
    <definedName name="TEMPA">#REF!</definedName>
    <definedName name="TestYear">#REF!</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#REF!</definedName>
    <definedName name="Units2">#REF!</definedName>
    <definedName name="Utility">#REF!</definedName>
    <definedName name="utitliy1">#REF!</definedName>
    <definedName name="WAGBENF">#REF!</definedName>
    <definedName name="wagdob">#REF!</definedName>
    <definedName name="wagdobf">#REF!</definedName>
    <definedName name="wagreg">#REF!</definedName>
    <definedName name="wagregf">#REF!</definedName>
    <definedName name="YRS_LEFT">#REF!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26" l="1"/>
  <c r="R18" i="26"/>
  <c r="R19" i="26"/>
  <c r="R20" i="26"/>
  <c r="R21" i="26"/>
  <c r="R22" i="26"/>
  <c r="R24" i="26"/>
  <c r="R25" i="26"/>
  <c r="R26" i="26"/>
  <c r="R27" i="26"/>
  <c r="R17" i="26"/>
  <c r="Q18" i="26"/>
  <c r="Q19" i="26"/>
  <c r="Q20" i="26"/>
  <c r="Q21" i="26"/>
  <c r="Q22" i="26"/>
  <c r="Q23" i="26"/>
  <c r="Q24" i="26"/>
  <c r="Q25" i="26"/>
  <c r="Q26" i="26"/>
  <c r="Q27" i="26"/>
  <c r="Q17" i="26"/>
  <c r="G40" i="26"/>
  <c r="D30" i="31"/>
  <c r="D29" i="31"/>
  <c r="D26" i="31"/>
  <c r="D25" i="31"/>
  <c r="D30" i="30"/>
  <c r="D29" i="30"/>
  <c r="D26" i="30"/>
  <c r="D25" i="30"/>
  <c r="D30" i="29"/>
  <c r="D29" i="29"/>
  <c r="D26" i="29"/>
  <c r="D25" i="29"/>
  <c r="D30" i="28"/>
  <c r="D29" i="28"/>
  <c r="D26" i="28"/>
  <c r="D25" i="28"/>
  <c r="D63" i="26"/>
  <c r="D62" i="26"/>
  <c r="D61" i="26"/>
  <c r="D60" i="26"/>
  <c r="D59" i="26"/>
  <c r="D58" i="26"/>
  <c r="D57" i="26"/>
  <c r="D56" i="26"/>
  <c r="D55" i="26"/>
  <c r="D53" i="26"/>
  <c r="D52" i="26"/>
  <c r="D51" i="26"/>
  <c r="D50" i="26"/>
  <c r="D49" i="26"/>
  <c r="D48" i="26"/>
  <c r="D47" i="26"/>
  <c r="D46" i="26"/>
  <c r="D45" i="26"/>
  <c r="D44" i="26"/>
  <c r="D43" i="26"/>
  <c r="D34" i="26"/>
  <c r="D33" i="26"/>
  <c r="D37" i="26"/>
  <c r="D36" i="26"/>
  <c r="D35" i="26"/>
  <c r="D32" i="26"/>
  <c r="D31" i="26"/>
  <c r="D30" i="26"/>
  <c r="D29" i="26"/>
  <c r="D27" i="26"/>
  <c r="D26" i="26"/>
  <c r="D25" i="26"/>
  <c r="D24" i="26"/>
  <c r="D23" i="26"/>
  <c r="D22" i="26"/>
  <c r="D21" i="26"/>
  <c r="D20" i="26"/>
  <c r="D19" i="26"/>
  <c r="D18" i="26"/>
  <c r="D17" i="26"/>
  <c r="E30" i="31"/>
  <c r="E30" i="30"/>
  <c r="E30" i="29"/>
  <c r="E36" i="29" l="1"/>
  <c r="E38" i="29"/>
  <c r="E36" i="30"/>
  <c r="E38" i="30"/>
  <c r="E36" i="31" l="1"/>
  <c r="E38" i="31"/>
  <c r="F38" i="30" l="1"/>
  <c r="F38" i="29"/>
  <c r="F38" i="31" l="1"/>
  <c r="E20" i="30" l="1"/>
  <c r="E20" i="29"/>
  <c r="E20" i="31" l="1"/>
  <c r="F36" i="30" l="1"/>
  <c r="F36" i="31"/>
  <c r="F36" i="29"/>
  <c r="E43" i="27" l="1"/>
  <c r="E22" i="29" l="1"/>
  <c r="H17" i="28" l="1"/>
  <c r="E22" i="31"/>
  <c r="E22" i="30"/>
  <c r="E18" i="29" l="1"/>
  <c r="E34" i="30" l="1"/>
  <c r="E34" i="29"/>
  <c r="E34" i="31" l="1"/>
  <c r="E18" i="30" l="1"/>
  <c r="E18" i="31" l="1"/>
  <c r="E26" i="31" l="1"/>
  <c r="E24" i="31"/>
  <c r="E32" i="29"/>
  <c r="E32" i="30"/>
  <c r="E26" i="29"/>
  <c r="E24" i="29"/>
  <c r="E28" i="31" l="1"/>
  <c r="E32" i="31"/>
  <c r="E26" i="30" l="1"/>
  <c r="E24" i="30"/>
  <c r="E28" i="29"/>
  <c r="E28" i="30"/>
  <c r="F32" i="30"/>
  <c r="F32" i="29" l="1"/>
  <c r="F26" i="31" l="1"/>
  <c r="F24" i="31"/>
  <c r="F26" i="29"/>
  <c r="F24" i="29" l="1"/>
  <c r="F28" i="31"/>
  <c r="F32" i="31" l="1"/>
  <c r="F26" i="30"/>
  <c r="F28" i="30"/>
  <c r="F24" i="30" l="1"/>
  <c r="F28" i="29"/>
  <c r="M39" i="22" l="1"/>
  <c r="B59" i="50"/>
  <c r="H50" i="50"/>
  <c r="G50" i="50"/>
  <c r="F50" i="50"/>
  <c r="E50" i="50"/>
  <c r="D50" i="50"/>
  <c r="C50" i="50"/>
  <c r="H49" i="50"/>
  <c r="G49" i="50"/>
  <c r="F49" i="50"/>
  <c r="E49" i="50"/>
  <c r="D49" i="50"/>
  <c r="C49" i="50"/>
  <c r="B49" i="50"/>
  <c r="B60" i="50" s="1"/>
  <c r="H48" i="50"/>
  <c r="G48" i="50"/>
  <c r="F48" i="50"/>
  <c r="E48" i="50"/>
  <c r="D48" i="50"/>
  <c r="C48" i="50"/>
  <c r="B48" i="50"/>
  <c r="H47" i="50"/>
  <c r="G47" i="50"/>
  <c r="F47" i="50"/>
  <c r="E47" i="50"/>
  <c r="D47" i="50"/>
  <c r="C47" i="50"/>
  <c r="H46" i="50"/>
  <c r="G46" i="50"/>
  <c r="F46" i="50"/>
  <c r="E46" i="50"/>
  <c r="D46" i="50"/>
  <c r="C46" i="50"/>
  <c r="H45" i="50"/>
  <c r="G45" i="50"/>
  <c r="F45" i="50"/>
  <c r="D45" i="50"/>
  <c r="C45" i="50"/>
  <c r="H44" i="50"/>
  <c r="G44" i="50"/>
  <c r="F44" i="50"/>
  <c r="E44" i="50"/>
  <c r="D44" i="50"/>
  <c r="C44" i="50"/>
  <c r="H43" i="50"/>
  <c r="G43" i="50"/>
  <c r="F43" i="50"/>
  <c r="E43" i="50"/>
  <c r="D43" i="50"/>
  <c r="C43" i="50"/>
  <c r="B43" i="50"/>
  <c r="B54" i="50" s="1"/>
  <c r="H42" i="50"/>
  <c r="G42" i="50"/>
  <c r="F42" i="50"/>
  <c r="E42" i="50"/>
  <c r="D42" i="50"/>
  <c r="C42" i="50"/>
  <c r="C38" i="50"/>
  <c r="B38" i="50"/>
  <c r="B37" i="50"/>
  <c r="C34" i="50"/>
  <c r="C33" i="50"/>
  <c r="C32" i="50"/>
  <c r="B32" i="50"/>
  <c r="C31" i="50"/>
  <c r="B31" i="50"/>
  <c r="B42" i="50" s="1"/>
  <c r="B53" i="50" s="1"/>
  <c r="B28" i="50"/>
  <c r="C27" i="50"/>
  <c r="C39" i="50" s="1"/>
  <c r="B27" i="50"/>
  <c r="B39" i="50" s="1"/>
  <c r="B50" i="50" s="1"/>
  <c r="B61" i="50" s="1"/>
  <c r="C26" i="50"/>
  <c r="B26" i="50"/>
  <c r="C25" i="50"/>
  <c r="C37" i="50" s="1"/>
  <c r="B25" i="50"/>
  <c r="C24" i="50"/>
  <c r="C36" i="50" s="1"/>
  <c r="B24" i="50"/>
  <c r="B36" i="50" s="1"/>
  <c r="B47" i="50" s="1"/>
  <c r="B58" i="50" s="1"/>
  <c r="C23" i="50"/>
  <c r="C35" i="50" s="1"/>
  <c r="B23" i="50"/>
  <c r="B35" i="50" s="1"/>
  <c r="B46" i="50" s="1"/>
  <c r="B57" i="50" s="1"/>
  <c r="C22" i="50"/>
  <c r="B22" i="50"/>
  <c r="B34" i="50" s="1"/>
  <c r="B45" i="50" s="1"/>
  <c r="B56" i="50" s="1"/>
  <c r="C21" i="50"/>
  <c r="B21" i="50"/>
  <c r="B33" i="50" s="1"/>
  <c r="B44" i="50" s="1"/>
  <c r="B55" i="50" s="1"/>
  <c r="C20" i="50"/>
  <c r="B20" i="50"/>
  <c r="C19" i="50"/>
  <c r="B19" i="50"/>
  <c r="F18" i="50"/>
  <c r="H15" i="50"/>
  <c r="I15" i="50" s="1"/>
  <c r="E15" i="50"/>
  <c r="H14" i="50"/>
  <c r="I14" i="50" s="1"/>
  <c r="E14" i="50"/>
  <c r="F14" i="50" s="1"/>
  <c r="H13" i="50"/>
  <c r="I13" i="50" s="1"/>
  <c r="E13" i="50"/>
  <c r="F13" i="50" s="1"/>
  <c r="I12" i="50"/>
  <c r="E12" i="50"/>
  <c r="F24" i="50" s="1"/>
  <c r="H11" i="50"/>
  <c r="I11" i="50" s="1"/>
  <c r="G11" i="50"/>
  <c r="E11" i="50"/>
  <c r="F11" i="50" s="1"/>
  <c r="H10" i="50"/>
  <c r="I10" i="50" s="1"/>
  <c r="E10" i="50"/>
  <c r="H9" i="50"/>
  <c r="I9" i="50" s="1"/>
  <c r="E9" i="50"/>
  <c r="I8" i="50"/>
  <c r="E8" i="50"/>
  <c r="F20" i="50" s="1"/>
  <c r="H7" i="50"/>
  <c r="I7" i="50" s="1"/>
  <c r="E7" i="50"/>
  <c r="F7" i="50" s="1"/>
  <c r="AA43" i="22"/>
  <c r="AA30" i="22"/>
  <c r="AA41" i="22"/>
  <c r="AA39" i="22"/>
  <c r="AA37" i="22"/>
  <c r="Y41" i="22"/>
  <c r="X41" i="22"/>
  <c r="W41" i="22"/>
  <c r="V41" i="22"/>
  <c r="Y39" i="22"/>
  <c r="X39" i="22"/>
  <c r="W39" i="22"/>
  <c r="V39" i="22"/>
  <c r="W37" i="22"/>
  <c r="X37" i="22"/>
  <c r="Y37" i="22"/>
  <c r="V37" i="22"/>
  <c r="F27" i="50" l="1"/>
  <c r="F22" i="50"/>
  <c r="J14" i="50"/>
  <c r="F15" i="50"/>
  <c r="J15" i="50" s="1"/>
  <c r="F21" i="50"/>
  <c r="F25" i="50"/>
  <c r="F26" i="50"/>
  <c r="F23" i="50"/>
  <c r="J11" i="50"/>
  <c r="J13" i="50"/>
  <c r="F8" i="50"/>
  <c r="J8" i="50" s="1"/>
  <c r="I16" i="50"/>
  <c r="J7" i="50"/>
  <c r="F10" i="50"/>
  <c r="J10" i="50" s="1"/>
  <c r="F9" i="50"/>
  <c r="F19" i="50"/>
  <c r="F12" i="50"/>
  <c r="J12" i="50" s="1"/>
  <c r="F16" i="50" l="1"/>
  <c r="J9" i="50"/>
  <c r="J16" i="50" s="1"/>
  <c r="E28" i="50" s="1"/>
  <c r="Y22" i="22" l="1"/>
  <c r="V29" i="22" l="1"/>
  <c r="Y30" i="22"/>
  <c r="W30" i="22"/>
  <c r="V30" i="22"/>
  <c r="Y29" i="22"/>
  <c r="X29" i="22"/>
  <c r="X30" i="22" s="1"/>
  <c r="W29" i="22"/>
  <c r="U29" i="22"/>
  <c r="E17" i="36" l="1"/>
  <c r="E60" i="26"/>
  <c r="E49" i="26"/>
  <c r="E34" i="26"/>
  <c r="G34" i="31"/>
  <c r="G22" i="31"/>
  <c r="G20" i="31"/>
  <c r="G18" i="31"/>
  <c r="G34" i="30"/>
  <c r="G22" i="30"/>
  <c r="G20" i="30"/>
  <c r="G18" i="30"/>
  <c r="G34" i="29"/>
  <c r="G22" i="29"/>
  <c r="G20" i="29"/>
  <c r="G18" i="29"/>
  <c r="G34" i="28"/>
  <c r="G22" i="28"/>
  <c r="G20" i="28"/>
  <c r="G18" i="28"/>
  <c r="H17" i="27"/>
  <c r="E17" i="26" s="1"/>
  <c r="P111" i="24"/>
  <c r="L26" i="26"/>
  <c r="G20" i="40"/>
  <c r="H20" i="40" s="1"/>
  <c r="I20" i="40" s="1"/>
  <c r="J20" i="40" s="1"/>
  <c r="M35" i="22"/>
  <c r="L41" i="22" l="1"/>
  <c r="C59" i="26"/>
  <c r="C60" i="26"/>
  <c r="B59" i="26"/>
  <c r="B60" i="26"/>
  <c r="A60" i="26"/>
  <c r="A59" i="26"/>
  <c r="C33" i="26"/>
  <c r="C34" i="26"/>
  <c r="B33" i="26"/>
  <c r="B34" i="26"/>
  <c r="A34" i="26"/>
  <c r="A33" i="26"/>
  <c r="D23" i="40" l="1"/>
  <c r="D24" i="40"/>
  <c r="D25" i="40"/>
  <c r="D29" i="40"/>
  <c r="D30" i="40"/>
  <c r="D31" i="40"/>
  <c r="D21" i="40"/>
  <c r="D9" i="40"/>
  <c r="D10" i="40"/>
  <c r="D14" i="40"/>
  <c r="D15" i="40"/>
  <c r="D16" i="40"/>
  <c r="D8" i="40"/>
  <c r="D6" i="40"/>
  <c r="G5" i="40" l="1"/>
  <c r="H5" i="40" s="1"/>
  <c r="I5" i="40" s="1"/>
  <c r="J5" i="40" s="1"/>
  <c r="B7" i="40"/>
  <c r="C7" i="40"/>
  <c r="B8" i="40"/>
  <c r="C8" i="40"/>
  <c r="B9" i="40"/>
  <c r="C9" i="40"/>
  <c r="B10" i="40"/>
  <c r="C10" i="40"/>
  <c r="B11" i="40"/>
  <c r="C11" i="40"/>
  <c r="B12" i="40"/>
  <c r="C12" i="40"/>
  <c r="B13" i="40"/>
  <c r="C13" i="40"/>
  <c r="B14" i="40"/>
  <c r="C14" i="40"/>
  <c r="B15" i="40"/>
  <c r="C15" i="40"/>
  <c r="B16" i="40"/>
  <c r="C16" i="40"/>
  <c r="B21" i="40"/>
  <c r="C21" i="40"/>
  <c r="B22" i="40"/>
  <c r="C22" i="40"/>
  <c r="B23" i="40"/>
  <c r="C23" i="40"/>
  <c r="B24" i="40"/>
  <c r="C24" i="40"/>
  <c r="B25" i="40"/>
  <c r="C25" i="40"/>
  <c r="B26" i="40"/>
  <c r="C26" i="40"/>
  <c r="B27" i="40"/>
  <c r="C27" i="40"/>
  <c r="B28" i="40"/>
  <c r="C28" i="40"/>
  <c r="B29" i="40"/>
  <c r="C29" i="40"/>
  <c r="B30" i="40"/>
  <c r="C30" i="40"/>
  <c r="B31" i="40"/>
  <c r="C31" i="40"/>
  <c r="C6" i="40"/>
  <c r="B6" i="40"/>
  <c r="F41" i="39"/>
  <c r="F35" i="39"/>
  <c r="F34" i="39"/>
  <c r="F33" i="39"/>
  <c r="F25" i="39"/>
  <c r="F19" i="39"/>
  <c r="F18" i="39"/>
  <c r="F17" i="39"/>
  <c r="F41" i="38"/>
  <c r="F35" i="38"/>
  <c r="F34" i="38"/>
  <c r="F33" i="38"/>
  <c r="F25" i="38"/>
  <c r="F19" i="38"/>
  <c r="F18" i="38"/>
  <c r="F17" i="38"/>
  <c r="F41" i="37"/>
  <c r="F35" i="37"/>
  <c r="F34" i="37"/>
  <c r="F33" i="37"/>
  <c r="F25" i="37"/>
  <c r="F19" i="37"/>
  <c r="F18" i="37"/>
  <c r="F17" i="37"/>
  <c r="F41" i="36"/>
  <c r="F35" i="36"/>
  <c r="F34" i="36"/>
  <c r="F33" i="36"/>
  <c r="F25" i="36"/>
  <c r="F19" i="36"/>
  <c r="F18" i="36"/>
  <c r="F17" i="36"/>
  <c r="D11" i="40"/>
  <c r="F34" i="26"/>
  <c r="D26" i="40"/>
  <c r="F60" i="26"/>
  <c r="L23" i="26"/>
  <c r="L53" i="26"/>
  <c r="L52" i="26"/>
  <c r="L50" i="26"/>
  <c r="L48" i="26"/>
  <c r="L47" i="26"/>
  <c r="L46" i="26"/>
  <c r="L20" i="26"/>
  <c r="L21" i="26"/>
  <c r="L22" i="26"/>
  <c r="L24" i="26"/>
  <c r="L27" i="26"/>
  <c r="F43" i="26"/>
  <c r="F44" i="26"/>
  <c r="M44" i="26" s="1"/>
  <c r="F45" i="26"/>
  <c r="F49" i="26"/>
  <c r="F51" i="26"/>
  <c r="F17" i="26"/>
  <c r="F18" i="26"/>
  <c r="M18" i="26" s="1"/>
  <c r="F19" i="26"/>
  <c r="F23" i="26"/>
  <c r="F25" i="26"/>
  <c r="I20" i="35"/>
  <c r="I21" i="35" s="1"/>
  <c r="I22" i="35" s="1"/>
  <c r="I23" i="35" s="1"/>
  <c r="I24" i="35" s="1"/>
  <c r="I25" i="35" s="1"/>
  <c r="I26" i="35" s="1"/>
  <c r="I27" i="35" s="1"/>
  <c r="I28" i="35" s="1"/>
  <c r="I29" i="35" s="1"/>
  <c r="I30" i="35" s="1"/>
  <c r="I31" i="35" s="1"/>
  <c r="I20" i="34"/>
  <c r="I21" i="34" s="1"/>
  <c r="I22" i="34" s="1"/>
  <c r="I23" i="34" s="1"/>
  <c r="I24" i="34" s="1"/>
  <c r="I25" i="34" s="1"/>
  <c r="I26" i="34" s="1"/>
  <c r="I27" i="34" s="1"/>
  <c r="I28" i="34" s="1"/>
  <c r="I29" i="34" s="1"/>
  <c r="I30" i="34" s="1"/>
  <c r="I31" i="34" s="1"/>
  <c r="I20" i="33"/>
  <c r="I21" i="33" s="1"/>
  <c r="I22" i="33" s="1"/>
  <c r="I23" i="33" s="1"/>
  <c r="I24" i="33" s="1"/>
  <c r="I25" i="33" s="1"/>
  <c r="I26" i="33" s="1"/>
  <c r="I27" i="33" s="1"/>
  <c r="I28" i="33" s="1"/>
  <c r="I29" i="33" s="1"/>
  <c r="I30" i="33" s="1"/>
  <c r="I31" i="33" s="1"/>
  <c r="L90" i="35"/>
  <c r="M90" i="35" s="1"/>
  <c r="B73" i="35"/>
  <c r="D71" i="35"/>
  <c r="E71" i="35" s="1"/>
  <c r="B54" i="35"/>
  <c r="P111" i="34"/>
  <c r="H90" i="34"/>
  <c r="I90" i="34" s="1"/>
  <c r="D90" i="34"/>
  <c r="E90" i="34" s="1"/>
  <c r="B73" i="34"/>
  <c r="L71" i="34"/>
  <c r="M71" i="34" s="1"/>
  <c r="H71" i="34"/>
  <c r="I71" i="34" s="1"/>
  <c r="D71" i="34"/>
  <c r="E71" i="34" s="1"/>
  <c r="B54" i="34"/>
  <c r="P111" i="33"/>
  <c r="L90" i="33"/>
  <c r="M90" i="33" s="1"/>
  <c r="D90" i="33"/>
  <c r="E90" i="33" s="1"/>
  <c r="B73" i="33"/>
  <c r="L71" i="33"/>
  <c r="M71" i="33" s="1"/>
  <c r="H71" i="33"/>
  <c r="I71" i="33" s="1"/>
  <c r="D71" i="33"/>
  <c r="E71" i="33" s="1"/>
  <c r="B54" i="33"/>
  <c r="P111" i="32"/>
  <c r="L90" i="32"/>
  <c r="M90" i="32" s="1"/>
  <c r="H90" i="32"/>
  <c r="I90" i="32" s="1"/>
  <c r="B73" i="32"/>
  <c r="L71" i="32"/>
  <c r="M71" i="32" s="1"/>
  <c r="B54" i="32"/>
  <c r="M20" i="24"/>
  <c r="M21" i="24" s="1"/>
  <c r="M22" i="24" s="1"/>
  <c r="M23" i="24" s="1"/>
  <c r="M24" i="24" s="1"/>
  <c r="M25" i="24" s="1"/>
  <c r="M26" i="24" s="1"/>
  <c r="M27" i="24" s="1"/>
  <c r="M28" i="24" s="1"/>
  <c r="M29" i="24" s="1"/>
  <c r="M30" i="24" s="1"/>
  <c r="M31" i="24" s="1"/>
  <c r="I20" i="24"/>
  <c r="I21" i="24" s="1"/>
  <c r="I22" i="24" s="1"/>
  <c r="I23" i="24" s="1"/>
  <c r="I24" i="24" s="1"/>
  <c r="I25" i="24" s="1"/>
  <c r="I26" i="24" s="1"/>
  <c r="I27" i="24" s="1"/>
  <c r="I28" i="24" s="1"/>
  <c r="I29" i="24" s="1"/>
  <c r="I30" i="24" s="1"/>
  <c r="I31" i="24" s="1"/>
  <c r="AA28" i="22"/>
  <c r="W28" i="22"/>
  <c r="X28" i="22"/>
  <c r="Y28" i="22"/>
  <c r="V28" i="22"/>
  <c r="M26" i="22"/>
  <c r="N26" i="22" s="1"/>
  <c r="N24" i="22"/>
  <c r="O24" i="22" s="1"/>
  <c r="P24" i="22" s="1"/>
  <c r="Q24" i="22" s="1"/>
  <c r="M24" i="22"/>
  <c r="M22" i="22"/>
  <c r="N22" i="22" s="1"/>
  <c r="AA27" i="22"/>
  <c r="AA25" i="22"/>
  <c r="AA23" i="22"/>
  <c r="Y27" i="22"/>
  <c r="X27" i="22"/>
  <c r="W27" i="22"/>
  <c r="V27" i="22"/>
  <c r="Y25" i="22"/>
  <c r="X25" i="22"/>
  <c r="W25" i="22"/>
  <c r="V25" i="22"/>
  <c r="Y26" i="22"/>
  <c r="X26" i="22"/>
  <c r="W26" i="22"/>
  <c r="V26" i="22"/>
  <c r="U26" i="22"/>
  <c r="Y24" i="22"/>
  <c r="X24" i="22"/>
  <c r="W24" i="22"/>
  <c r="V24" i="22"/>
  <c r="U24" i="22"/>
  <c r="Y23" i="22"/>
  <c r="X22" i="22"/>
  <c r="W22" i="22"/>
  <c r="X23" i="22" s="1"/>
  <c r="V22" i="22"/>
  <c r="V23" i="22" s="1"/>
  <c r="U22" i="22"/>
  <c r="O26" i="22" l="1"/>
  <c r="M20" i="32"/>
  <c r="M21" i="32" s="1"/>
  <c r="M22" i="32" s="1"/>
  <c r="M23" i="32" s="1"/>
  <c r="M24" i="32" s="1"/>
  <c r="M25" i="32" s="1"/>
  <c r="M26" i="32" s="1"/>
  <c r="M27" i="32" s="1"/>
  <c r="M28" i="32" s="1"/>
  <c r="M29" i="32" s="1"/>
  <c r="M30" i="32" s="1"/>
  <c r="M31" i="32" s="1"/>
  <c r="I20" i="32"/>
  <c r="I21" i="32" s="1"/>
  <c r="I22" i="32" s="1"/>
  <c r="I23" i="32" s="1"/>
  <c r="I24" i="32" s="1"/>
  <c r="I25" i="32" s="1"/>
  <c r="I26" i="32" s="1"/>
  <c r="I27" i="32" s="1"/>
  <c r="I28" i="32" s="1"/>
  <c r="I29" i="32" s="1"/>
  <c r="I30" i="32" s="1"/>
  <c r="I31" i="32" s="1"/>
  <c r="M23" i="26"/>
  <c r="L49" i="26"/>
  <c r="G34" i="26"/>
  <c r="D12" i="40"/>
  <c r="G60" i="26"/>
  <c r="D27" i="40"/>
  <c r="O22" i="22"/>
  <c r="E20" i="32"/>
  <c r="E21" i="32" s="1"/>
  <c r="E22" i="32" s="1"/>
  <c r="E23" i="32" s="1"/>
  <c r="E24" i="32" s="1"/>
  <c r="E25" i="32" s="1"/>
  <c r="E26" i="32" s="1"/>
  <c r="E27" i="32" s="1"/>
  <c r="E28" i="32" s="1"/>
  <c r="E29" i="32" s="1"/>
  <c r="E30" i="32" s="1"/>
  <c r="E31" i="32" s="1"/>
  <c r="E20" i="24"/>
  <c r="E21" i="24" s="1"/>
  <c r="F90" i="32"/>
  <c r="J90" i="35"/>
  <c r="N90" i="33"/>
  <c r="N71" i="35"/>
  <c r="M49" i="26"/>
  <c r="F90" i="35"/>
  <c r="F71" i="32"/>
  <c r="F71" i="34"/>
  <c r="H71" i="35"/>
  <c r="I71" i="35" s="1"/>
  <c r="N90" i="35"/>
  <c r="D90" i="35"/>
  <c r="E90" i="35" s="1"/>
  <c r="L71" i="35"/>
  <c r="M71" i="35" s="1"/>
  <c r="H90" i="35"/>
  <c r="I90" i="35" s="1"/>
  <c r="F71" i="35"/>
  <c r="N71" i="32"/>
  <c r="J71" i="32"/>
  <c r="N71" i="33"/>
  <c r="J71" i="34"/>
  <c r="N71" i="34"/>
  <c r="F90" i="34"/>
  <c r="F90" i="33"/>
  <c r="H90" i="33"/>
  <c r="I90" i="33" s="1"/>
  <c r="F71" i="33"/>
  <c r="L90" i="34"/>
  <c r="M90" i="34" s="1"/>
  <c r="N90" i="34"/>
  <c r="D71" i="32"/>
  <c r="E71" i="32" s="1"/>
  <c r="H71" i="32"/>
  <c r="I71" i="32" s="1"/>
  <c r="J90" i="32"/>
  <c r="D90" i="32"/>
  <c r="E90" i="32" s="1"/>
  <c r="N90" i="32"/>
  <c r="W23" i="22"/>
  <c r="P26" i="22" l="1"/>
  <c r="M20" i="33"/>
  <c r="M21" i="33" s="1"/>
  <c r="M22" i="33" s="1"/>
  <c r="M23" i="33" s="1"/>
  <c r="M24" i="33" s="1"/>
  <c r="M25" i="33" s="1"/>
  <c r="M26" i="33" s="1"/>
  <c r="M27" i="33" s="1"/>
  <c r="M28" i="33" s="1"/>
  <c r="M29" i="33" s="1"/>
  <c r="M30" i="33" s="1"/>
  <c r="M31" i="33" s="1"/>
  <c r="P22" i="22"/>
  <c r="E20" i="33"/>
  <c r="E21" i="33" s="1"/>
  <c r="E22" i="33" s="1"/>
  <c r="E23" i="33" s="1"/>
  <c r="E24" i="33" s="1"/>
  <c r="E25" i="33" s="1"/>
  <c r="E26" i="33" s="1"/>
  <c r="E27" i="33" s="1"/>
  <c r="E28" i="33" s="1"/>
  <c r="E29" i="33" s="1"/>
  <c r="E30" i="33" s="1"/>
  <c r="E31" i="33" s="1"/>
  <c r="P90" i="35"/>
  <c r="P71" i="32"/>
  <c r="J71" i="35"/>
  <c r="P71" i="35"/>
  <c r="P71" i="34"/>
  <c r="J90" i="33"/>
  <c r="P90" i="33"/>
  <c r="J90" i="34"/>
  <c r="P90" i="34"/>
  <c r="J71" i="33"/>
  <c r="P71" i="33"/>
  <c r="P90" i="32"/>
  <c r="Q26" i="22" l="1"/>
  <c r="M20" i="35" s="1"/>
  <c r="M21" i="35" s="1"/>
  <c r="M22" i="35" s="1"/>
  <c r="M23" i="35" s="1"/>
  <c r="M24" i="35" s="1"/>
  <c r="M25" i="35" s="1"/>
  <c r="M26" i="35" s="1"/>
  <c r="M27" i="35" s="1"/>
  <c r="M28" i="35" s="1"/>
  <c r="M29" i="35" s="1"/>
  <c r="M30" i="35" s="1"/>
  <c r="M31" i="35" s="1"/>
  <c r="M20" i="34"/>
  <c r="M21" i="34" s="1"/>
  <c r="M22" i="34" s="1"/>
  <c r="M23" i="34" s="1"/>
  <c r="M24" i="34" s="1"/>
  <c r="M25" i="34" s="1"/>
  <c r="M26" i="34" s="1"/>
  <c r="M27" i="34" s="1"/>
  <c r="M28" i="34" s="1"/>
  <c r="M29" i="34" s="1"/>
  <c r="M30" i="34" s="1"/>
  <c r="M31" i="34" s="1"/>
  <c r="E20" i="34"/>
  <c r="E21" i="34" s="1"/>
  <c r="E22" i="34" s="1"/>
  <c r="E23" i="34" s="1"/>
  <c r="E24" i="34" s="1"/>
  <c r="E25" i="34" s="1"/>
  <c r="E26" i="34" s="1"/>
  <c r="E27" i="34" s="1"/>
  <c r="E28" i="34" s="1"/>
  <c r="E29" i="34" s="1"/>
  <c r="E30" i="34" s="1"/>
  <c r="E31" i="34" s="1"/>
  <c r="Q22" i="22"/>
  <c r="E20" i="35" s="1"/>
  <c r="E21" i="35" s="1"/>
  <c r="E22" i="35" s="1"/>
  <c r="E23" i="35" s="1"/>
  <c r="E24" i="35" s="1"/>
  <c r="E25" i="35" s="1"/>
  <c r="E26" i="35" s="1"/>
  <c r="E27" i="35" s="1"/>
  <c r="E28" i="35" s="1"/>
  <c r="E29" i="35" s="1"/>
  <c r="E30" i="35" s="1"/>
  <c r="E31" i="35" s="1"/>
  <c r="N18" i="22" l="1"/>
  <c r="O18" i="22" s="1"/>
  <c r="P18" i="22" s="1"/>
  <c r="Q18" i="22" s="1"/>
  <c r="F21" i="26" l="1"/>
  <c r="F32" i="26"/>
  <c r="G32" i="26" s="1"/>
  <c r="E47" i="27"/>
  <c r="F47" i="27"/>
  <c r="F58" i="26" l="1"/>
  <c r="G58" i="26" s="1"/>
  <c r="M21" i="26"/>
  <c r="F21" i="37" l="1"/>
  <c r="F37" i="37" l="1"/>
  <c r="F21" i="38"/>
  <c r="F21" i="39" l="1"/>
  <c r="E30" i="28"/>
  <c r="E30" i="27"/>
  <c r="D30" i="27"/>
  <c r="D29" i="27"/>
  <c r="F26" i="27"/>
  <c r="E26" i="27"/>
  <c r="D26" i="27"/>
  <c r="D25" i="27"/>
  <c r="M19" i="23"/>
  <c r="M20" i="23" s="1"/>
  <c r="M21" i="23" s="1"/>
  <c r="M22" i="23" s="1"/>
  <c r="M23" i="23" s="1"/>
  <c r="M24" i="23" s="1"/>
  <c r="M25" i="23" s="1"/>
  <c r="M26" i="23" s="1"/>
  <c r="M27" i="23" s="1"/>
  <c r="M28" i="23" s="1"/>
  <c r="M29" i="23" s="1"/>
  <c r="M30" i="23" s="1"/>
  <c r="I19" i="23"/>
  <c r="I20" i="23" s="1"/>
  <c r="I21" i="23" s="1"/>
  <c r="I22" i="23" s="1"/>
  <c r="I23" i="23" s="1"/>
  <c r="I24" i="23" s="1"/>
  <c r="I25" i="23" s="1"/>
  <c r="I26" i="23" s="1"/>
  <c r="I27" i="23" s="1"/>
  <c r="I28" i="23" s="1"/>
  <c r="I29" i="23" s="1"/>
  <c r="I30" i="23" s="1"/>
  <c r="E19" i="23"/>
  <c r="E20" i="23" s="1"/>
  <c r="E21" i="23" s="1"/>
  <c r="E22" i="23" s="1"/>
  <c r="E23" i="23" s="1"/>
  <c r="E24" i="23" s="1"/>
  <c r="E25" i="23" s="1"/>
  <c r="E26" i="23" s="1"/>
  <c r="E27" i="23" s="1"/>
  <c r="E28" i="23" s="1"/>
  <c r="E29" i="23" s="1"/>
  <c r="E30" i="23" s="1"/>
  <c r="M37" i="22"/>
  <c r="B73" i="24"/>
  <c r="D71" i="24"/>
  <c r="E71" i="24" s="1"/>
  <c r="B54" i="24"/>
  <c r="E22" i="24"/>
  <c r="E23" i="24" s="1"/>
  <c r="E24" i="24" s="1"/>
  <c r="E25" i="24" s="1"/>
  <c r="E26" i="24" s="1"/>
  <c r="E27" i="24" s="1"/>
  <c r="E28" i="24" s="1"/>
  <c r="E29" i="24" s="1"/>
  <c r="E30" i="24" s="1"/>
  <c r="E31" i="24" s="1"/>
  <c r="P89" i="23"/>
  <c r="N89" i="23"/>
  <c r="L89" i="23"/>
  <c r="M89" i="23" s="1"/>
  <c r="J89" i="23"/>
  <c r="H89" i="23"/>
  <c r="I89" i="23" s="1"/>
  <c r="F89" i="23"/>
  <c r="D89" i="23"/>
  <c r="E89" i="23" s="1"/>
  <c r="P87" i="23"/>
  <c r="M87" i="23"/>
  <c r="I87" i="23"/>
  <c r="E87" i="23"/>
  <c r="P86" i="23"/>
  <c r="M86" i="23"/>
  <c r="I86" i="23"/>
  <c r="E86" i="23"/>
  <c r="P85" i="23"/>
  <c r="M85" i="23"/>
  <c r="I85" i="23"/>
  <c r="E85" i="23"/>
  <c r="P84" i="23"/>
  <c r="M84" i="23"/>
  <c r="I84" i="23"/>
  <c r="E84" i="23"/>
  <c r="P83" i="23"/>
  <c r="M83" i="23"/>
  <c r="I83" i="23"/>
  <c r="E83" i="23"/>
  <c r="P82" i="23"/>
  <c r="M82" i="23"/>
  <c r="I82" i="23"/>
  <c r="E82" i="23"/>
  <c r="P81" i="23"/>
  <c r="M81" i="23"/>
  <c r="I81" i="23"/>
  <c r="E81" i="23"/>
  <c r="P80" i="23"/>
  <c r="M80" i="23"/>
  <c r="I80" i="23"/>
  <c r="E80" i="23"/>
  <c r="P79" i="23"/>
  <c r="M79" i="23"/>
  <c r="I79" i="23"/>
  <c r="E79" i="23"/>
  <c r="P78" i="23"/>
  <c r="M78" i="23"/>
  <c r="I78" i="23"/>
  <c r="E78" i="23"/>
  <c r="P77" i="23"/>
  <c r="M77" i="23"/>
  <c r="I77" i="23"/>
  <c r="E77" i="23"/>
  <c r="P76" i="23"/>
  <c r="M76" i="23"/>
  <c r="I76" i="23"/>
  <c r="E76" i="23"/>
  <c r="N70" i="23"/>
  <c r="L70" i="23"/>
  <c r="M70" i="23" s="1"/>
  <c r="J70" i="23"/>
  <c r="H70" i="23"/>
  <c r="I70" i="23" s="1"/>
  <c r="F70" i="23"/>
  <c r="D70" i="23"/>
  <c r="E70" i="23" s="1"/>
  <c r="P68" i="23"/>
  <c r="M68" i="23"/>
  <c r="I68" i="23"/>
  <c r="E68" i="23"/>
  <c r="P67" i="23"/>
  <c r="M67" i="23"/>
  <c r="I67" i="23"/>
  <c r="E67" i="23"/>
  <c r="P66" i="23"/>
  <c r="M66" i="23"/>
  <c r="I66" i="23"/>
  <c r="E66" i="23"/>
  <c r="P65" i="23"/>
  <c r="M65" i="23"/>
  <c r="I65" i="23"/>
  <c r="E65" i="23"/>
  <c r="P64" i="23"/>
  <c r="M64" i="23"/>
  <c r="I64" i="23"/>
  <c r="E64" i="23"/>
  <c r="P63" i="23"/>
  <c r="M63" i="23"/>
  <c r="I63" i="23"/>
  <c r="E63" i="23"/>
  <c r="P62" i="23"/>
  <c r="M62" i="23"/>
  <c r="I62" i="23"/>
  <c r="E62" i="23"/>
  <c r="P61" i="23"/>
  <c r="M61" i="23"/>
  <c r="I61" i="23"/>
  <c r="E61" i="23"/>
  <c r="P60" i="23"/>
  <c r="M60" i="23"/>
  <c r="I60" i="23"/>
  <c r="E60" i="23"/>
  <c r="P59" i="23"/>
  <c r="M59" i="23"/>
  <c r="I59" i="23"/>
  <c r="E59" i="23"/>
  <c r="P58" i="23"/>
  <c r="M58" i="23"/>
  <c r="I58" i="23"/>
  <c r="E58" i="23"/>
  <c r="P57" i="23"/>
  <c r="P70" i="23" s="1"/>
  <c r="M57" i="23"/>
  <c r="I57" i="23"/>
  <c r="E57" i="23"/>
  <c r="E73" i="22"/>
  <c r="L71" i="22"/>
  <c r="I71" i="22"/>
  <c r="H71" i="22"/>
  <c r="E71" i="22"/>
  <c r="L59" i="22"/>
  <c r="L73" i="22" s="1"/>
  <c r="I59" i="22"/>
  <c r="I73" i="22" s="1"/>
  <c r="E59" i="22"/>
  <c r="L56" i="22"/>
  <c r="I56" i="22"/>
  <c r="H56" i="22"/>
  <c r="E56" i="22"/>
  <c r="L44" i="22"/>
  <c r="I44" i="22"/>
  <c r="E44" i="22"/>
  <c r="F30" i="26" l="1"/>
  <c r="M19" i="26" s="1"/>
  <c r="F35" i="26"/>
  <c r="M25" i="26" s="1"/>
  <c r="F56" i="26"/>
  <c r="M45" i="26" s="1"/>
  <c r="F29" i="26"/>
  <c r="M17" i="26" s="1"/>
  <c r="F61" i="26"/>
  <c r="M51" i="26" s="1"/>
  <c r="F55" i="26"/>
  <c r="M43" i="26" s="1"/>
  <c r="M38" i="23"/>
  <c r="M39" i="23" s="1"/>
  <c r="M40" i="23" s="1"/>
  <c r="M41" i="23" s="1"/>
  <c r="M42" i="23" s="1"/>
  <c r="M43" i="23" s="1"/>
  <c r="M44" i="23" s="1"/>
  <c r="M45" i="23" s="1"/>
  <c r="M46" i="23" s="1"/>
  <c r="M47" i="23" s="1"/>
  <c r="M48" i="23" s="1"/>
  <c r="M49" i="23" s="1"/>
  <c r="I38" i="23"/>
  <c r="I39" i="23" s="1"/>
  <c r="I40" i="23" s="1"/>
  <c r="I41" i="23" s="1"/>
  <c r="I42" i="23" s="1"/>
  <c r="I43" i="23" s="1"/>
  <c r="I44" i="23" s="1"/>
  <c r="I45" i="23" s="1"/>
  <c r="I46" i="23" s="1"/>
  <c r="I47" i="23" s="1"/>
  <c r="I48" i="23" s="1"/>
  <c r="I49" i="23" s="1"/>
  <c r="F37" i="39"/>
  <c r="F47" i="26"/>
  <c r="M47" i="26" s="1"/>
  <c r="F37" i="38"/>
  <c r="H71" i="24"/>
  <c r="I71" i="24" s="1"/>
  <c r="D90" i="24"/>
  <c r="E90" i="24" s="1"/>
  <c r="L71" i="24"/>
  <c r="M71" i="24" s="1"/>
  <c r="H90" i="24"/>
  <c r="I90" i="24" s="1"/>
  <c r="L90" i="24"/>
  <c r="M90" i="24" s="1"/>
  <c r="E38" i="23" l="1"/>
  <c r="E39" i="23" s="1"/>
  <c r="E40" i="23" s="1"/>
  <c r="E41" i="23" s="1"/>
  <c r="E42" i="23" s="1"/>
  <c r="E43" i="23" s="1"/>
  <c r="E44" i="23" s="1"/>
  <c r="E45" i="23" s="1"/>
  <c r="E46" i="23" s="1"/>
  <c r="E47" i="23" s="1"/>
  <c r="E48" i="23" s="1"/>
  <c r="E49" i="23" s="1"/>
  <c r="N35" i="22"/>
  <c r="E39" i="24"/>
  <c r="E40" i="24" s="1"/>
  <c r="E41" i="24" s="1"/>
  <c r="E42" i="24" s="1"/>
  <c r="E43" i="24" s="1"/>
  <c r="E44" i="24" s="1"/>
  <c r="E45" i="24" s="1"/>
  <c r="N37" i="22"/>
  <c r="I39" i="24"/>
  <c r="I40" i="24" s="1"/>
  <c r="I41" i="24" s="1"/>
  <c r="N39" i="22"/>
  <c r="M39" i="24"/>
  <c r="M40" i="24" s="1"/>
  <c r="M41" i="24" s="1"/>
  <c r="M42" i="24" s="1"/>
  <c r="M43" i="24" s="1"/>
  <c r="M41" i="22"/>
  <c r="O39" i="22" l="1"/>
  <c r="M39" i="32"/>
  <c r="M40" i="32" s="1"/>
  <c r="M41" i="32" s="1"/>
  <c r="M42" i="32" s="1"/>
  <c r="M43" i="32" s="1"/>
  <c r="M44" i="32" s="1"/>
  <c r="M45" i="32" s="1"/>
  <c r="M46" i="32" s="1"/>
  <c r="M47" i="32" s="1"/>
  <c r="M48" i="32" s="1"/>
  <c r="M49" i="32" s="1"/>
  <c r="M50" i="32" s="1"/>
  <c r="N41" i="22"/>
  <c r="O37" i="22"/>
  <c r="I39" i="32"/>
  <c r="I40" i="32" s="1"/>
  <c r="I41" i="32" s="1"/>
  <c r="I42" i="32" s="1"/>
  <c r="I43" i="32" s="1"/>
  <c r="I44" i="32" s="1"/>
  <c r="I45" i="32" s="1"/>
  <c r="I46" i="32" s="1"/>
  <c r="I47" i="32" s="1"/>
  <c r="I48" i="32" s="1"/>
  <c r="I49" i="32" s="1"/>
  <c r="I50" i="32" s="1"/>
  <c r="O35" i="22"/>
  <c r="E39" i="32"/>
  <c r="E40" i="32" s="1"/>
  <c r="E41" i="32" s="1"/>
  <c r="E42" i="32" s="1"/>
  <c r="E43" i="32" s="1"/>
  <c r="E44" i="32" s="1"/>
  <c r="E45" i="32" s="1"/>
  <c r="E46" i="32" s="1"/>
  <c r="E47" i="32" s="1"/>
  <c r="E48" i="32" s="1"/>
  <c r="E49" i="32" s="1"/>
  <c r="E50" i="32" s="1"/>
  <c r="M44" i="24"/>
  <c r="E46" i="24"/>
  <c r="I42" i="24"/>
  <c r="P35" i="22" l="1"/>
  <c r="E39" i="33"/>
  <c r="E40" i="33" s="1"/>
  <c r="E41" i="33" s="1"/>
  <c r="E42" i="33" s="1"/>
  <c r="E43" i="33" s="1"/>
  <c r="E44" i="33" s="1"/>
  <c r="E45" i="33" s="1"/>
  <c r="E46" i="33" s="1"/>
  <c r="E47" i="33" s="1"/>
  <c r="E48" i="33" s="1"/>
  <c r="E49" i="33" s="1"/>
  <c r="E50" i="33" s="1"/>
  <c r="P37" i="22"/>
  <c r="I39" i="33"/>
  <c r="I40" i="33" s="1"/>
  <c r="I41" i="33" s="1"/>
  <c r="I42" i="33" s="1"/>
  <c r="I43" i="33" s="1"/>
  <c r="I44" i="33" s="1"/>
  <c r="I45" i="33" s="1"/>
  <c r="I46" i="33" s="1"/>
  <c r="I47" i="33" s="1"/>
  <c r="I48" i="33" s="1"/>
  <c r="I49" i="33" s="1"/>
  <c r="I50" i="33" s="1"/>
  <c r="P39" i="22"/>
  <c r="O41" i="22"/>
  <c r="M39" i="33"/>
  <c r="M40" i="33" s="1"/>
  <c r="M41" i="33" s="1"/>
  <c r="M42" i="33" s="1"/>
  <c r="M43" i="33" s="1"/>
  <c r="M44" i="33" s="1"/>
  <c r="M45" i="33" s="1"/>
  <c r="M46" i="33" s="1"/>
  <c r="M47" i="33" s="1"/>
  <c r="M48" i="33" s="1"/>
  <c r="M49" i="33" s="1"/>
  <c r="M50" i="33" s="1"/>
  <c r="I43" i="24"/>
  <c r="M45" i="24"/>
  <c r="E47" i="24"/>
  <c r="Q39" i="22" l="1"/>
  <c r="P41" i="22"/>
  <c r="M39" i="34"/>
  <c r="M40" i="34" s="1"/>
  <c r="M41" i="34" s="1"/>
  <c r="M42" i="34" s="1"/>
  <c r="M43" i="34" s="1"/>
  <c r="M44" i="34" s="1"/>
  <c r="M45" i="34" s="1"/>
  <c r="M46" i="34" s="1"/>
  <c r="M47" i="34" s="1"/>
  <c r="M48" i="34" s="1"/>
  <c r="M49" i="34" s="1"/>
  <c r="M50" i="34" s="1"/>
  <c r="Q37" i="22"/>
  <c r="I39" i="35" s="1"/>
  <c r="I40" i="35" s="1"/>
  <c r="I41" i="35" s="1"/>
  <c r="I42" i="35" s="1"/>
  <c r="I43" i="35" s="1"/>
  <c r="I44" i="35" s="1"/>
  <c r="I45" i="35" s="1"/>
  <c r="I46" i="35" s="1"/>
  <c r="I47" i="35" s="1"/>
  <c r="I48" i="35" s="1"/>
  <c r="I49" i="35" s="1"/>
  <c r="I50" i="35" s="1"/>
  <c r="I39" i="34"/>
  <c r="I40" i="34" s="1"/>
  <c r="I41" i="34" s="1"/>
  <c r="I42" i="34" s="1"/>
  <c r="I43" i="34" s="1"/>
  <c r="I44" i="34" s="1"/>
  <c r="I45" i="34" s="1"/>
  <c r="I46" i="34" s="1"/>
  <c r="I47" i="34" s="1"/>
  <c r="I48" i="34" s="1"/>
  <c r="I49" i="34" s="1"/>
  <c r="I50" i="34" s="1"/>
  <c r="Q35" i="22"/>
  <c r="E39" i="35" s="1"/>
  <c r="E40" i="35" s="1"/>
  <c r="E41" i="35" s="1"/>
  <c r="E42" i="35" s="1"/>
  <c r="E43" i="35" s="1"/>
  <c r="E44" i="35" s="1"/>
  <c r="E45" i="35" s="1"/>
  <c r="E46" i="35" s="1"/>
  <c r="E47" i="35" s="1"/>
  <c r="E48" i="35" s="1"/>
  <c r="E49" i="35" s="1"/>
  <c r="E50" i="35" s="1"/>
  <c r="E39" i="34"/>
  <c r="E40" i="34" s="1"/>
  <c r="E41" i="34" s="1"/>
  <c r="E42" i="34" s="1"/>
  <c r="E43" i="34" s="1"/>
  <c r="E44" i="34" s="1"/>
  <c r="E45" i="34" s="1"/>
  <c r="E46" i="34" s="1"/>
  <c r="E47" i="34" s="1"/>
  <c r="E48" i="34" s="1"/>
  <c r="E49" i="34" s="1"/>
  <c r="E50" i="34" s="1"/>
  <c r="E48" i="24"/>
  <c r="I44" i="24"/>
  <c r="M46" i="24"/>
  <c r="Q41" i="22" l="1"/>
  <c r="M39" i="35"/>
  <c r="M40" i="35" s="1"/>
  <c r="M41" i="35" s="1"/>
  <c r="M42" i="35" s="1"/>
  <c r="M43" i="35" s="1"/>
  <c r="M44" i="35" s="1"/>
  <c r="M45" i="35" s="1"/>
  <c r="M46" i="35" s="1"/>
  <c r="M47" i="35" s="1"/>
  <c r="M48" i="35" s="1"/>
  <c r="M49" i="35" s="1"/>
  <c r="M50" i="35" s="1"/>
  <c r="I45" i="24"/>
  <c r="E49" i="24"/>
  <c r="M47" i="24"/>
  <c r="E50" i="24" l="1"/>
  <c r="I46" i="24"/>
  <c r="M48" i="24"/>
  <c r="M49" i="24" l="1"/>
  <c r="I47" i="24"/>
  <c r="N71" i="24" l="1"/>
  <c r="P90" i="24"/>
  <c r="J90" i="24"/>
  <c r="I48" i="24"/>
  <c r="N90" i="24"/>
  <c r="M50" i="24"/>
  <c r="P71" i="24" l="1"/>
  <c r="J71" i="24"/>
  <c r="F90" i="24"/>
  <c r="I49" i="24"/>
  <c r="I50" i="24" l="1"/>
  <c r="F71" i="24" l="1"/>
  <c r="E23" i="40" l="1"/>
  <c r="E30" i="40"/>
  <c r="E26" i="40"/>
  <c r="E22" i="40"/>
  <c r="E31" i="40"/>
  <c r="E24" i="40"/>
  <c r="E28" i="40"/>
  <c r="E21" i="40"/>
  <c r="E29" i="40"/>
  <c r="E8" i="40" l="1"/>
  <c r="E16" i="40"/>
  <c r="E13" i="40"/>
  <c r="E7" i="40"/>
  <c r="E14" i="40"/>
  <c r="E15" i="40"/>
  <c r="E9" i="40"/>
  <c r="E11" i="40"/>
  <c r="E6" i="40"/>
  <c r="G47" i="26" l="1"/>
  <c r="E25" i="40"/>
  <c r="G49" i="26"/>
  <c r="E27" i="40"/>
  <c r="G23" i="26" l="1"/>
  <c r="E12" i="40"/>
  <c r="G21" i="26"/>
  <c r="E10" i="40"/>
  <c r="E32" i="28" l="1"/>
  <c r="E53" i="27"/>
  <c r="E57" i="27" l="1"/>
  <c r="E55" i="27"/>
  <c r="E38" i="27"/>
  <c r="E36" i="27"/>
  <c r="E32" i="27"/>
  <c r="F24" i="26" l="1"/>
  <c r="M24" i="26" s="1"/>
  <c r="F26" i="26"/>
  <c r="F38" i="27"/>
  <c r="F27" i="26"/>
  <c r="F36" i="27"/>
  <c r="F32" i="27"/>
  <c r="E38" i="28"/>
  <c r="E36" i="28"/>
  <c r="F36" i="26" l="1"/>
  <c r="F55" i="27"/>
  <c r="F32" i="28"/>
  <c r="F24" i="36"/>
  <c r="G26" i="26"/>
  <c r="G24" i="26"/>
  <c r="F50" i="26"/>
  <c r="M50" i="26" s="1"/>
  <c r="F52" i="26"/>
  <c r="F53" i="26"/>
  <c r="G27" i="26"/>
  <c r="M26" i="26" l="1"/>
  <c r="G36" i="26"/>
  <c r="F62" i="26"/>
  <c r="G62" i="26" s="1"/>
  <c r="F24" i="37"/>
  <c r="F40" i="36"/>
  <c r="G50" i="26"/>
  <c r="G53" i="26"/>
  <c r="G52" i="26"/>
  <c r="M52" i="26" l="1"/>
  <c r="F37" i="26"/>
  <c r="F57" i="27"/>
  <c r="F36" i="28"/>
  <c r="F26" i="36"/>
  <c r="F24" i="38"/>
  <c r="F40" i="37"/>
  <c r="F42" i="36" l="1"/>
  <c r="F63" i="26"/>
  <c r="G37" i="26"/>
  <c r="M27" i="26"/>
  <c r="F26" i="37"/>
  <c r="F24" i="39"/>
  <c r="F40" i="38"/>
  <c r="F42" i="37" l="1"/>
  <c r="F40" i="39"/>
  <c r="G63" i="26"/>
  <c r="M53" i="26"/>
  <c r="F38" i="28"/>
  <c r="F27" i="36"/>
  <c r="F26" i="38"/>
  <c r="E28" i="27"/>
  <c r="F42" i="38" l="1"/>
  <c r="F43" i="36"/>
  <c r="F22" i="26"/>
  <c r="G22" i="26" s="1"/>
  <c r="F26" i="39"/>
  <c r="F27" i="37"/>
  <c r="F28" i="27"/>
  <c r="G17" i="26"/>
  <c r="E18" i="27"/>
  <c r="H18" i="27" s="1"/>
  <c r="E43" i="26" s="1"/>
  <c r="F43" i="37" l="1"/>
  <c r="F42" i="39"/>
  <c r="F48" i="26"/>
  <c r="G48" i="26" s="1"/>
  <c r="F27" i="38"/>
  <c r="G43" i="26"/>
  <c r="E22" i="27"/>
  <c r="F43" i="38" l="1"/>
  <c r="F27" i="39"/>
  <c r="F43" i="39" l="1"/>
  <c r="E24" i="27" l="1"/>
  <c r="E20" i="27" l="1"/>
  <c r="E20" i="28"/>
  <c r="F24" i="27" l="1"/>
  <c r="F20" i="26"/>
  <c r="F46" i="26" l="1"/>
  <c r="G46" i="26" s="1"/>
  <c r="G20" i="26"/>
  <c r="E28" i="28" l="1"/>
  <c r="F33" i="26" l="1"/>
  <c r="G33" i="26" s="1"/>
  <c r="E22" i="28"/>
  <c r="F49" i="27"/>
  <c r="M22" i="26"/>
  <c r="E49" i="27"/>
  <c r="F59" i="26" l="1"/>
  <c r="G59" i="26" s="1"/>
  <c r="F28" i="28"/>
  <c r="F22" i="36"/>
  <c r="M48" i="26"/>
  <c r="F38" i="36" l="1"/>
  <c r="E18" i="28"/>
  <c r="E41" i="27"/>
  <c r="F22" i="38" l="1"/>
  <c r="F38" i="38"/>
  <c r="F22" i="39" l="1"/>
  <c r="F31" i="26" l="1"/>
  <c r="G31" i="26" s="1"/>
  <c r="F38" i="39"/>
  <c r="E45" i="27"/>
  <c r="M20" i="26" l="1"/>
  <c r="F20" i="37"/>
  <c r="F20" i="38" l="1"/>
  <c r="F36" i="37"/>
  <c r="F20" i="39" l="1"/>
  <c r="F36" i="38"/>
  <c r="F36" i="39" l="1"/>
  <c r="F22" i="37"/>
  <c r="F38" i="37"/>
  <c r="F45" i="27"/>
  <c r="F57" i="26" l="1"/>
  <c r="G57" i="26" s="1"/>
  <c r="M46" i="26" l="1"/>
  <c r="E34" i="27" l="1"/>
  <c r="E34" i="28"/>
  <c r="N38" i="23"/>
  <c r="N39" i="23"/>
  <c r="N40" i="23"/>
  <c r="N41" i="23"/>
  <c r="N42" i="23"/>
  <c r="N43" i="23"/>
  <c r="N44" i="23"/>
  <c r="N45" i="23"/>
  <c r="N46" i="23"/>
  <c r="N47" i="23"/>
  <c r="N48" i="23"/>
  <c r="N49" i="23"/>
  <c r="J46" i="23"/>
  <c r="J47" i="23"/>
  <c r="J48" i="23"/>
  <c r="J49" i="23"/>
  <c r="J43" i="23"/>
  <c r="J39" i="23"/>
  <c r="J38" i="23"/>
  <c r="J42" i="23"/>
  <c r="J44" i="23"/>
  <c r="J40" i="23"/>
  <c r="J41" i="23"/>
  <c r="J45" i="23"/>
  <c r="F38" i="23"/>
  <c r="F46" i="23"/>
  <c r="F39" i="23"/>
  <c r="F40" i="23"/>
  <c r="F42" i="23"/>
  <c r="F47" i="23"/>
  <c r="F48" i="23"/>
  <c r="F49" i="23"/>
  <c r="F43" i="23"/>
  <c r="F45" i="23"/>
  <c r="F41" i="23"/>
  <c r="F44" i="23"/>
  <c r="N19" i="23"/>
  <c r="N20" i="23"/>
  <c r="N21" i="23"/>
  <c r="N22" i="23"/>
  <c r="N23" i="23"/>
  <c r="N24" i="23"/>
  <c r="N26" i="23"/>
  <c r="N27" i="23"/>
  <c r="N28" i="23"/>
  <c r="N29" i="23"/>
  <c r="N30" i="23"/>
  <c r="N25" i="23"/>
  <c r="J19" i="23"/>
  <c r="J20" i="23"/>
  <c r="J21" i="23"/>
  <c r="J22" i="23"/>
  <c r="J23" i="23"/>
  <c r="J24" i="23"/>
  <c r="J25" i="23"/>
  <c r="J26" i="23"/>
  <c r="J27" i="23"/>
  <c r="J28" i="23"/>
  <c r="J29" i="23"/>
  <c r="J30" i="23"/>
  <c r="F27" i="23"/>
  <c r="F26" i="23"/>
  <c r="F20" i="23"/>
  <c r="F28" i="23"/>
  <c r="F25" i="23"/>
  <c r="F23" i="23"/>
  <c r="F30" i="23"/>
  <c r="F29" i="23"/>
  <c r="F24" i="23"/>
  <c r="F22" i="23"/>
  <c r="F21" i="23"/>
  <c r="F19" i="23"/>
  <c r="L51" i="23"/>
  <c r="H51" i="23"/>
  <c r="D51" i="23"/>
  <c r="D95" i="23"/>
  <c r="L32" i="23"/>
  <c r="L95" i="23"/>
  <c r="L96" i="23"/>
  <c r="L97" i="23"/>
  <c r="L98" i="23"/>
  <c r="L99" i="23"/>
  <c r="L100" i="23"/>
  <c r="L101" i="23"/>
  <c r="L102" i="23"/>
  <c r="L103" i="23"/>
  <c r="D32" i="23"/>
  <c r="L104" i="23"/>
  <c r="L105" i="23"/>
  <c r="L106" i="23"/>
  <c r="H95" i="23"/>
  <c r="H32" i="23"/>
  <c r="H96" i="23"/>
  <c r="H97" i="23"/>
  <c r="H98" i="23"/>
  <c r="H99" i="23"/>
  <c r="H100" i="23"/>
  <c r="H101" i="23"/>
  <c r="H102" i="23"/>
  <c r="H103" i="23"/>
  <c r="H104" i="23"/>
  <c r="H105" i="23"/>
  <c r="H106" i="23"/>
  <c r="D104" i="23"/>
  <c r="D101" i="23"/>
  <c r="D99" i="23"/>
  <c r="D106" i="23"/>
  <c r="D105" i="23"/>
  <c r="D100" i="23"/>
  <c r="D98" i="23"/>
  <c r="D97" i="23"/>
  <c r="D103" i="23"/>
  <c r="D102" i="23"/>
  <c r="D96" i="23"/>
  <c r="P39" i="23" l="1"/>
  <c r="P45" i="23"/>
  <c r="F104" i="23"/>
  <c r="E104" i="23" s="1"/>
  <c r="P29" i="23"/>
  <c r="P22" i="23"/>
  <c r="J99" i="23"/>
  <c r="I99" i="23" s="1"/>
  <c r="P42" i="23"/>
  <c r="P27" i="23"/>
  <c r="N106" i="23"/>
  <c r="M106" i="23" s="1"/>
  <c r="N97" i="23"/>
  <c r="M97" i="23" s="1"/>
  <c r="P41" i="23"/>
  <c r="P48" i="23"/>
  <c r="F106" i="23"/>
  <c r="E106" i="23" s="1"/>
  <c r="P40" i="23"/>
  <c r="J102" i="23"/>
  <c r="I102" i="23" s="1"/>
  <c r="N99" i="23"/>
  <c r="M99" i="23" s="1"/>
  <c r="N96" i="23"/>
  <c r="M96" i="23" s="1"/>
  <c r="N104" i="23"/>
  <c r="M104" i="23" s="1"/>
  <c r="N95" i="23"/>
  <c r="M95" i="23" s="1"/>
  <c r="P46" i="23"/>
  <c r="J104" i="23"/>
  <c r="I104" i="23" s="1"/>
  <c r="F105" i="23"/>
  <c r="E105" i="23" s="1"/>
  <c r="J100" i="23"/>
  <c r="I100" i="23" s="1"/>
  <c r="P47" i="23"/>
  <c r="F103" i="23"/>
  <c r="E103" i="23" s="1"/>
  <c r="N103" i="23"/>
  <c r="M103" i="23" s="1"/>
  <c r="P38" i="23"/>
  <c r="J96" i="23"/>
  <c r="I96" i="23" s="1"/>
  <c r="F100" i="23"/>
  <c r="E100" i="23" s="1"/>
  <c r="N101" i="23"/>
  <c r="M101" i="23" s="1"/>
  <c r="N98" i="23"/>
  <c r="M98" i="23" s="1"/>
  <c r="P49" i="23"/>
  <c r="N51" i="23"/>
  <c r="M51" i="23" s="1"/>
  <c r="P44" i="23"/>
  <c r="P30" i="23"/>
  <c r="N105" i="23"/>
  <c r="M105" i="23" s="1"/>
  <c r="F51" i="23"/>
  <c r="E51" i="23" s="1"/>
  <c r="F95" i="23"/>
  <c r="E95" i="23" s="1"/>
  <c r="N32" i="23"/>
  <c r="M32" i="23" s="1"/>
  <c r="J98" i="23"/>
  <c r="J51" i="23"/>
  <c r="I51" i="23" s="1"/>
  <c r="J103" i="23"/>
  <c r="N102" i="23"/>
  <c r="M102" i="23" s="1"/>
  <c r="J106" i="23"/>
  <c r="I106" i="23" s="1"/>
  <c r="N100" i="23"/>
  <c r="M100" i="23" s="1"/>
  <c r="J95" i="23"/>
  <c r="J101" i="23"/>
  <c r="I101" i="23" s="1"/>
  <c r="P43" i="23"/>
  <c r="P25" i="23"/>
  <c r="F101" i="23"/>
  <c r="E101" i="23" s="1"/>
  <c r="F96" i="23"/>
  <c r="E96" i="23" s="1"/>
  <c r="F102" i="23"/>
  <c r="E102" i="23" s="1"/>
  <c r="J105" i="23"/>
  <c r="F99" i="23"/>
  <c r="E99" i="23" s="1"/>
  <c r="P26" i="23"/>
  <c r="P20" i="23"/>
  <c r="F98" i="23"/>
  <c r="E98" i="23" s="1"/>
  <c r="P23" i="23"/>
  <c r="J32" i="23"/>
  <c r="I32" i="23" s="1"/>
  <c r="P19" i="23"/>
  <c r="P28" i="23"/>
  <c r="P24" i="23"/>
  <c r="P21" i="23"/>
  <c r="J97" i="23"/>
  <c r="I97" i="23" s="1"/>
  <c r="F32" i="23"/>
  <c r="E32" i="23" s="1"/>
  <c r="F97" i="23"/>
  <c r="L108" i="23"/>
  <c r="H108" i="23"/>
  <c r="D108" i="23"/>
  <c r="H17" i="30" l="1"/>
  <c r="E17" i="38" s="1"/>
  <c r="H22" i="31"/>
  <c r="E35" i="39" s="1"/>
  <c r="H21" i="31"/>
  <c r="E19" i="39" s="1"/>
  <c r="H19" i="31"/>
  <c r="E18" i="39" s="1"/>
  <c r="H22" i="29"/>
  <c r="E35" i="37" s="1"/>
  <c r="H19" i="29"/>
  <c r="E18" i="37" s="1"/>
  <c r="G22" i="27"/>
  <c r="H22" i="27" s="1"/>
  <c r="E45" i="26" s="1"/>
  <c r="G45" i="26" s="1"/>
  <c r="G42" i="27"/>
  <c r="H42" i="27" s="1"/>
  <c r="E30" i="26" s="1"/>
  <c r="G30" i="26" s="1"/>
  <c r="G52" i="27"/>
  <c r="H52" i="27" s="1"/>
  <c r="E35" i="26" s="1"/>
  <c r="G35" i="26" s="1"/>
  <c r="P99" i="23"/>
  <c r="P105" i="23"/>
  <c r="P51" i="23"/>
  <c r="P103" i="23"/>
  <c r="P95" i="23"/>
  <c r="P96" i="23"/>
  <c r="I103" i="23"/>
  <c r="P104" i="23"/>
  <c r="N108" i="23"/>
  <c r="M108" i="23" s="1"/>
  <c r="P98" i="23"/>
  <c r="I95" i="23"/>
  <c r="P101" i="23"/>
  <c r="I105" i="23"/>
  <c r="P106" i="23"/>
  <c r="I98" i="23"/>
  <c r="P100" i="23"/>
  <c r="P102" i="23"/>
  <c r="P97" i="23"/>
  <c r="J108" i="23"/>
  <c r="I108" i="23" s="1"/>
  <c r="P32" i="23"/>
  <c r="F108" i="23"/>
  <c r="E108" i="23" s="1"/>
  <c r="E97" i="23"/>
  <c r="G40" i="27" l="1"/>
  <c r="H40" i="27" s="1"/>
  <c r="E29" i="26" s="1"/>
  <c r="H33" i="31"/>
  <c r="E25" i="39" s="1"/>
  <c r="H18" i="30"/>
  <c r="E33" i="38" s="1"/>
  <c r="H21" i="29"/>
  <c r="E19" i="37" s="1"/>
  <c r="H34" i="31"/>
  <c r="E41" i="39" s="1"/>
  <c r="H20" i="31"/>
  <c r="E34" i="39" s="1"/>
  <c r="H17" i="31"/>
  <c r="E17" i="39" s="1"/>
  <c r="H33" i="30"/>
  <c r="E25" i="38" s="1"/>
  <c r="H19" i="30"/>
  <c r="E18" i="38" s="1"/>
  <c r="H22" i="30"/>
  <c r="E35" i="38" s="1"/>
  <c r="H21" i="30"/>
  <c r="E19" i="38" s="1"/>
  <c r="H33" i="29"/>
  <c r="E25" i="37" s="1"/>
  <c r="H34" i="29"/>
  <c r="E41" i="37" s="1"/>
  <c r="H17" i="29"/>
  <c r="E17" i="37" s="1"/>
  <c r="G34" i="27"/>
  <c r="G53" i="27" s="1"/>
  <c r="H53" i="27" s="1"/>
  <c r="E61" i="26" s="1"/>
  <c r="G61" i="26" s="1"/>
  <c r="H33" i="27"/>
  <c r="E25" i="26" s="1"/>
  <c r="H33" i="28"/>
  <c r="E25" i="36" s="1"/>
  <c r="H19" i="28"/>
  <c r="E18" i="36" s="1"/>
  <c r="H22" i="28"/>
  <c r="E35" i="36" s="1"/>
  <c r="H21" i="28"/>
  <c r="E19" i="36" s="1"/>
  <c r="H18" i="28"/>
  <c r="E33" i="36" s="1"/>
  <c r="G18" i="27"/>
  <c r="G41" i="27" s="1"/>
  <c r="H41" i="27" s="1"/>
  <c r="E55" i="26" s="1"/>
  <c r="P108" i="23"/>
  <c r="P112" i="23" s="1"/>
  <c r="G55" i="26" l="1"/>
  <c r="L43" i="26"/>
  <c r="G29" i="26"/>
  <c r="L17" i="26"/>
  <c r="L25" i="26"/>
  <c r="G25" i="26"/>
  <c r="H20" i="29"/>
  <c r="E34" i="37" s="1"/>
  <c r="H18" i="31"/>
  <c r="E33" i="39" s="1"/>
  <c r="H20" i="30"/>
  <c r="E34" i="38" s="1"/>
  <c r="H34" i="30"/>
  <c r="E41" i="38" s="1"/>
  <c r="H34" i="27"/>
  <c r="E51" i="26" s="1"/>
  <c r="H18" i="29"/>
  <c r="E33" i="37" s="1"/>
  <c r="H20" i="28"/>
  <c r="E34" i="36" s="1"/>
  <c r="H34" i="28"/>
  <c r="E41" i="36" s="1"/>
  <c r="L51" i="26" l="1"/>
  <c r="G51" i="26"/>
  <c r="H19" i="27"/>
  <c r="E18" i="26" s="1"/>
  <c r="G20" i="27"/>
  <c r="G43" i="27" s="1"/>
  <c r="H43" i="27" s="1"/>
  <c r="E56" i="26" s="1"/>
  <c r="L18" i="26" l="1"/>
  <c r="G18" i="26"/>
  <c r="G56" i="26"/>
  <c r="L45" i="26"/>
  <c r="H20" i="27"/>
  <c r="E44" i="26" s="1"/>
  <c r="H21" i="27"/>
  <c r="E19" i="26" s="1"/>
  <c r="G19" i="26" l="1"/>
  <c r="G38" i="26" s="1"/>
  <c r="H18" i="26" s="1"/>
  <c r="K18" i="26" s="1"/>
  <c r="L19" i="26"/>
  <c r="L44" i="26"/>
  <c r="G44" i="26"/>
  <c r="G64" i="26" s="1"/>
  <c r="H56" i="26" s="1"/>
  <c r="H36" i="26" l="1"/>
  <c r="H37" i="26"/>
  <c r="H27" i="26"/>
  <c r="H30" i="26"/>
  <c r="H17" i="26"/>
  <c r="H33" i="26"/>
  <c r="H29" i="26"/>
  <c r="H26" i="26"/>
  <c r="H24" i="26"/>
  <c r="K24" i="26" s="1"/>
  <c r="H25" i="26"/>
  <c r="H23" i="26"/>
  <c r="K23" i="26" s="1"/>
  <c r="H21" i="26"/>
  <c r="H19" i="26"/>
  <c r="K19" i="26" s="1"/>
  <c r="H22" i="26"/>
  <c r="K22" i="26" s="1"/>
  <c r="H35" i="26"/>
  <c r="H31" i="26"/>
  <c r="H32" i="26"/>
  <c r="H38" i="26"/>
  <c r="H20" i="26"/>
  <c r="H34" i="26"/>
  <c r="H64" i="26"/>
  <c r="H58" i="26"/>
  <c r="H61" i="26"/>
  <c r="H62" i="26"/>
  <c r="H53" i="26"/>
  <c r="H50" i="26"/>
  <c r="K50" i="26" s="1"/>
  <c r="H43" i="26"/>
  <c r="H60" i="26"/>
  <c r="H44" i="26"/>
  <c r="K44" i="26" s="1"/>
  <c r="H51" i="26"/>
  <c r="K51" i="26" s="1"/>
  <c r="H57" i="26"/>
  <c r="H45" i="26"/>
  <c r="K45" i="26" s="1"/>
  <c r="H59" i="26"/>
  <c r="H63" i="26"/>
  <c r="H52" i="26"/>
  <c r="H55" i="26"/>
  <c r="H46" i="26"/>
  <c r="H49" i="26"/>
  <c r="H48" i="26"/>
  <c r="H47" i="26"/>
  <c r="K21" i="26" l="1"/>
  <c r="K26" i="26"/>
  <c r="K47" i="26"/>
  <c r="K27" i="26"/>
  <c r="K52" i="26"/>
  <c r="K25" i="26"/>
  <c r="K17" i="26"/>
  <c r="K20" i="26"/>
  <c r="D25" i="50"/>
  <c r="E25" i="50" s="1"/>
  <c r="G25" i="50" s="1"/>
  <c r="D37" i="50" s="1"/>
  <c r="D26" i="50"/>
  <c r="E26" i="50" s="1"/>
  <c r="G26" i="50" s="1"/>
  <c r="D38" i="50" s="1"/>
  <c r="D21" i="50"/>
  <c r="E21" i="50" s="1"/>
  <c r="G21" i="50" s="1"/>
  <c r="D33" i="50" s="1"/>
  <c r="D20" i="50"/>
  <c r="E20" i="50" s="1"/>
  <c r="G20" i="50" s="1"/>
  <c r="D32" i="50" s="1"/>
  <c r="D24" i="50"/>
  <c r="E24" i="50" s="1"/>
  <c r="G24" i="50" s="1"/>
  <c r="D36" i="50" s="1"/>
  <c r="K43" i="26"/>
  <c r="K53" i="26"/>
  <c r="K49" i="26"/>
  <c r="K48" i="26"/>
  <c r="K46" i="26"/>
  <c r="D23" i="50" l="1"/>
  <c r="E23" i="50" s="1"/>
  <c r="G23" i="50" s="1"/>
  <c r="D35" i="50" s="1"/>
  <c r="E38" i="50"/>
  <c r="D60" i="50"/>
  <c r="D19" i="50"/>
  <c r="E19" i="50" s="1"/>
  <c r="G19" i="50" s="1"/>
  <c r="D31" i="50" s="1"/>
  <c r="E36" i="50"/>
  <c r="D58" i="50"/>
  <c r="E32" i="50"/>
  <c r="D54" i="50"/>
  <c r="D22" i="50"/>
  <c r="E22" i="50" s="1"/>
  <c r="G22" i="50" s="1"/>
  <c r="D34" i="50" s="1"/>
  <c r="D27" i="50"/>
  <c r="E27" i="50" s="1"/>
  <c r="G27" i="50" s="1"/>
  <c r="D39" i="50" s="1"/>
  <c r="E33" i="50"/>
  <c r="D55" i="50"/>
  <c r="E37" i="50"/>
  <c r="D59" i="50"/>
  <c r="E39" i="50" l="1"/>
  <c r="D61" i="50"/>
  <c r="F37" i="50"/>
  <c r="E59" i="50"/>
  <c r="F36" i="50"/>
  <c r="E58" i="50"/>
  <c r="E31" i="50"/>
  <c r="D53" i="50"/>
  <c r="F38" i="50"/>
  <c r="E60" i="50"/>
  <c r="F32" i="50"/>
  <c r="E54" i="50"/>
  <c r="F33" i="50"/>
  <c r="E55" i="50"/>
  <c r="E34" i="50"/>
  <c r="D56" i="50"/>
  <c r="E35" i="50"/>
  <c r="D57" i="50"/>
  <c r="D62" i="50" l="1"/>
  <c r="F31" i="50"/>
  <c r="E53" i="50"/>
  <c r="G37" i="50"/>
  <c r="F59" i="50"/>
  <c r="G32" i="50"/>
  <c r="F54" i="50"/>
  <c r="F35" i="50"/>
  <c r="E57" i="50"/>
  <c r="G36" i="50"/>
  <c r="F58" i="50"/>
  <c r="G33" i="50"/>
  <c r="F55" i="50"/>
  <c r="F39" i="50"/>
  <c r="E61" i="50"/>
  <c r="F34" i="50"/>
  <c r="G38" i="50"/>
  <c r="F60" i="50"/>
  <c r="G34" i="50" l="1"/>
  <c r="F56" i="50"/>
  <c r="H36" i="50"/>
  <c r="G58" i="50"/>
  <c r="H37" i="50"/>
  <c r="G59" i="50"/>
  <c r="G35" i="50"/>
  <c r="F57" i="50"/>
  <c r="H33" i="50"/>
  <c r="G55" i="50"/>
  <c r="H32" i="50"/>
  <c r="G54" i="50"/>
  <c r="G39" i="50"/>
  <c r="F61" i="50"/>
  <c r="H38" i="50"/>
  <c r="G60" i="50"/>
  <c r="G31" i="50"/>
  <c r="F53" i="50"/>
  <c r="H54" i="50" l="1"/>
  <c r="H55" i="50"/>
  <c r="H58" i="50"/>
  <c r="H60" i="50"/>
  <c r="H59" i="50"/>
  <c r="F62" i="50"/>
  <c r="H35" i="50"/>
  <c r="G57" i="50"/>
  <c r="H39" i="50"/>
  <c r="G61" i="50"/>
  <c r="H31" i="50"/>
  <c r="G53" i="50"/>
  <c r="H34" i="50"/>
  <c r="G56" i="50"/>
  <c r="H61" i="50" l="1"/>
  <c r="H53" i="50"/>
  <c r="H57" i="50"/>
  <c r="H56" i="50"/>
  <c r="G62" i="50"/>
  <c r="H62" i="50"/>
  <c r="N44" i="24" l="1"/>
  <c r="J44" i="24" l="1"/>
  <c r="P44" i="24" s="1"/>
  <c r="N43" i="24"/>
  <c r="F40" i="24"/>
  <c r="N47" i="24"/>
  <c r="N46" i="24"/>
  <c r="F50" i="24"/>
  <c r="J49" i="24"/>
  <c r="N42" i="24" l="1"/>
  <c r="N48" i="24"/>
  <c r="N41" i="24"/>
  <c r="N50" i="24"/>
  <c r="P49" i="24"/>
  <c r="L96" i="24"/>
  <c r="N40" i="24"/>
  <c r="N45" i="24"/>
  <c r="N49" i="24"/>
  <c r="H96" i="24"/>
  <c r="J46" i="24"/>
  <c r="P46" i="24" s="1"/>
  <c r="J43" i="24"/>
  <c r="P43" i="24" s="1"/>
  <c r="J41" i="24"/>
  <c r="J48" i="24"/>
  <c r="P48" i="24" s="1"/>
  <c r="J50" i="24"/>
  <c r="J45" i="24"/>
  <c r="J42" i="24"/>
  <c r="J47" i="24"/>
  <c r="P47" i="24" s="1"/>
  <c r="J40" i="24"/>
  <c r="F43" i="24"/>
  <c r="F49" i="24"/>
  <c r="F44" i="24"/>
  <c r="F47" i="24"/>
  <c r="F42" i="24"/>
  <c r="F46" i="24"/>
  <c r="F45" i="24"/>
  <c r="F48" i="24"/>
  <c r="F41" i="24"/>
  <c r="D96" i="24"/>
  <c r="L103" i="24"/>
  <c r="N27" i="24"/>
  <c r="N103" i="24" s="1"/>
  <c r="N20" i="24"/>
  <c r="N23" i="24"/>
  <c r="N99" i="24" s="1"/>
  <c r="L99" i="24"/>
  <c r="J20" i="24"/>
  <c r="J24" i="24"/>
  <c r="J30" i="24"/>
  <c r="H106" i="24"/>
  <c r="J28" i="24"/>
  <c r="J27" i="24"/>
  <c r="F23" i="24"/>
  <c r="F25" i="24"/>
  <c r="F28" i="24"/>
  <c r="F22" i="24"/>
  <c r="D97" i="24"/>
  <c r="F21" i="24"/>
  <c r="F97" i="24" s="1"/>
  <c r="F30" i="24"/>
  <c r="F20" i="24"/>
  <c r="H104" i="24" l="1"/>
  <c r="P41" i="24"/>
  <c r="D101" i="24"/>
  <c r="F101" i="24"/>
  <c r="P45" i="24"/>
  <c r="N42" i="32"/>
  <c r="N45" i="32"/>
  <c r="N50" i="32"/>
  <c r="N40" i="32"/>
  <c r="N47" i="32"/>
  <c r="N46" i="32"/>
  <c r="N43" i="32"/>
  <c r="N48" i="32"/>
  <c r="N41" i="32"/>
  <c r="N49" i="32"/>
  <c r="N44" i="32"/>
  <c r="J41" i="32"/>
  <c r="J46" i="32"/>
  <c r="J43" i="32"/>
  <c r="J44" i="32"/>
  <c r="J50" i="32"/>
  <c r="J40" i="32"/>
  <c r="J45" i="32"/>
  <c r="J49" i="32"/>
  <c r="J47" i="32"/>
  <c r="J42" i="32"/>
  <c r="J48" i="32"/>
  <c r="F50" i="32"/>
  <c r="F40" i="34"/>
  <c r="F40" i="32"/>
  <c r="F49" i="32"/>
  <c r="F46" i="34"/>
  <c r="F46" i="32"/>
  <c r="F45" i="32"/>
  <c r="F43" i="32"/>
  <c r="F44" i="32"/>
  <c r="F48" i="34"/>
  <c r="F48" i="32"/>
  <c r="F42" i="32"/>
  <c r="F41" i="32"/>
  <c r="F47" i="32"/>
  <c r="F106" i="24"/>
  <c r="D106" i="24"/>
  <c r="D104" i="24"/>
  <c r="P50" i="24"/>
  <c r="P40" i="24"/>
  <c r="P42" i="24"/>
  <c r="F104" i="24"/>
  <c r="N39" i="24"/>
  <c r="N52" i="24" s="1"/>
  <c r="L52" i="24"/>
  <c r="H100" i="24"/>
  <c r="H103" i="24"/>
  <c r="D98" i="24"/>
  <c r="D99" i="24"/>
  <c r="F99" i="24"/>
  <c r="L33" i="24"/>
  <c r="F98" i="24"/>
  <c r="J39" i="24"/>
  <c r="J96" i="24" s="1"/>
  <c r="I96" i="24" s="1"/>
  <c r="H52" i="24"/>
  <c r="M99" i="24"/>
  <c r="F39" i="24"/>
  <c r="F52" i="24" s="1"/>
  <c r="D52" i="24"/>
  <c r="N29" i="24"/>
  <c r="N105" i="24" s="1"/>
  <c r="L105" i="24"/>
  <c r="N28" i="24"/>
  <c r="N104" i="24" s="1"/>
  <c r="L104" i="24"/>
  <c r="N31" i="24"/>
  <c r="N107" i="24" s="1"/>
  <c r="L107" i="24"/>
  <c r="N26" i="24"/>
  <c r="N102" i="24" s="1"/>
  <c r="L102" i="24"/>
  <c r="M103" i="24"/>
  <c r="N30" i="24"/>
  <c r="N106" i="24" s="1"/>
  <c r="L106" i="24"/>
  <c r="N22" i="24"/>
  <c r="N98" i="24" s="1"/>
  <c r="L98" i="24"/>
  <c r="N21" i="24"/>
  <c r="N97" i="24" s="1"/>
  <c r="L97" i="24"/>
  <c r="L101" i="24"/>
  <c r="N25" i="24"/>
  <c r="N101" i="24" s="1"/>
  <c r="N24" i="24"/>
  <c r="N100" i="24" s="1"/>
  <c r="L100" i="24"/>
  <c r="J104" i="24"/>
  <c r="I104" i="24" s="1"/>
  <c r="J21" i="24"/>
  <c r="H97" i="24"/>
  <c r="J31" i="24"/>
  <c r="H107" i="24"/>
  <c r="J106" i="24"/>
  <c r="J23" i="24"/>
  <c r="H99" i="24"/>
  <c r="J100" i="24"/>
  <c r="E97" i="24"/>
  <c r="J103" i="24"/>
  <c r="P103" i="24" s="1"/>
  <c r="P27" i="24"/>
  <c r="P20" i="24"/>
  <c r="J26" i="24"/>
  <c r="H102" i="24"/>
  <c r="H33" i="24"/>
  <c r="J29" i="24"/>
  <c r="H105" i="24"/>
  <c r="J22" i="24"/>
  <c r="H98" i="24"/>
  <c r="J25" i="24"/>
  <c r="H101" i="24"/>
  <c r="F31" i="24"/>
  <c r="F107" i="24" s="1"/>
  <c r="D107" i="24"/>
  <c r="F27" i="24"/>
  <c r="F103" i="24" s="1"/>
  <c r="D103" i="24"/>
  <c r="D33" i="24"/>
  <c r="F24" i="24"/>
  <c r="F100" i="24" s="1"/>
  <c r="D100" i="24"/>
  <c r="F26" i="24"/>
  <c r="F102" i="24" s="1"/>
  <c r="D102" i="24"/>
  <c r="F29" i="24"/>
  <c r="F105" i="24" s="1"/>
  <c r="D105" i="24"/>
  <c r="E101" i="24" l="1"/>
  <c r="P48" i="32"/>
  <c r="N50" i="34"/>
  <c r="N45" i="34"/>
  <c r="N42" i="34"/>
  <c r="N48" i="34"/>
  <c r="N47" i="34"/>
  <c r="N49" i="34"/>
  <c r="N44" i="34"/>
  <c r="N39" i="34"/>
  <c r="N43" i="34"/>
  <c r="J47" i="34"/>
  <c r="J46" i="34"/>
  <c r="J40" i="34"/>
  <c r="J49" i="34"/>
  <c r="F47" i="34"/>
  <c r="F49" i="34"/>
  <c r="F42" i="34"/>
  <c r="F43" i="34"/>
  <c r="J24" i="34"/>
  <c r="F25" i="33"/>
  <c r="F24" i="33"/>
  <c r="N48" i="33"/>
  <c r="N42" i="33"/>
  <c r="N43" i="33"/>
  <c r="N46" i="33"/>
  <c r="N47" i="33"/>
  <c r="N40" i="33"/>
  <c r="N44" i="33"/>
  <c r="N49" i="33"/>
  <c r="N50" i="33"/>
  <c r="N41" i="33"/>
  <c r="N45" i="33"/>
  <c r="J44" i="33"/>
  <c r="J48" i="34"/>
  <c r="J48" i="33"/>
  <c r="J43" i="33"/>
  <c r="J42" i="33"/>
  <c r="J47" i="33"/>
  <c r="J49" i="33"/>
  <c r="J46" i="33"/>
  <c r="J45" i="33"/>
  <c r="J41" i="33"/>
  <c r="J40" i="33"/>
  <c r="J50" i="33"/>
  <c r="F43" i="33"/>
  <c r="F45" i="33"/>
  <c r="F46" i="33"/>
  <c r="F47" i="33"/>
  <c r="F41" i="33"/>
  <c r="F49" i="33"/>
  <c r="F42" i="33"/>
  <c r="F48" i="33"/>
  <c r="F40" i="33"/>
  <c r="F44" i="33"/>
  <c r="F50" i="33"/>
  <c r="N28" i="33"/>
  <c r="F22" i="33"/>
  <c r="P49" i="32"/>
  <c r="P50" i="32"/>
  <c r="P42" i="32"/>
  <c r="P46" i="32"/>
  <c r="F41" i="34"/>
  <c r="P43" i="32"/>
  <c r="P45" i="32"/>
  <c r="P41" i="32"/>
  <c r="P40" i="32"/>
  <c r="P47" i="32"/>
  <c r="N39" i="32"/>
  <c r="N52" i="32" s="1"/>
  <c r="L52" i="32"/>
  <c r="P44" i="32"/>
  <c r="H52" i="32"/>
  <c r="J39" i="32"/>
  <c r="E104" i="24"/>
  <c r="E106" i="24"/>
  <c r="F39" i="32"/>
  <c r="F52" i="32" s="1"/>
  <c r="D52" i="32"/>
  <c r="N26" i="32"/>
  <c r="N102" i="32" s="1"/>
  <c r="L102" i="32"/>
  <c r="N23" i="32"/>
  <c r="N99" i="32" s="1"/>
  <c r="L99" i="32"/>
  <c r="N21" i="32"/>
  <c r="N97" i="32" s="1"/>
  <c r="L97" i="32"/>
  <c r="L100" i="32"/>
  <c r="N24" i="32"/>
  <c r="N100" i="32" s="1"/>
  <c r="N20" i="32"/>
  <c r="L33" i="32"/>
  <c r="L96" i="32"/>
  <c r="N25" i="32"/>
  <c r="N101" i="32" s="1"/>
  <c r="L101" i="32"/>
  <c r="L98" i="32"/>
  <c r="N22" i="32"/>
  <c r="N98" i="32" s="1"/>
  <c r="N31" i="32"/>
  <c r="N107" i="32" s="1"/>
  <c r="L107" i="32"/>
  <c r="N29" i="32"/>
  <c r="N105" i="32" s="1"/>
  <c r="L105" i="32"/>
  <c r="N30" i="32"/>
  <c r="N106" i="32" s="1"/>
  <c r="L106" i="32"/>
  <c r="N27" i="32"/>
  <c r="N103" i="32" s="1"/>
  <c r="L103" i="32"/>
  <c r="N28" i="32"/>
  <c r="N104" i="32" s="1"/>
  <c r="L104" i="32"/>
  <c r="H102" i="32"/>
  <c r="J26" i="32"/>
  <c r="H96" i="32"/>
  <c r="H33" i="32"/>
  <c r="J20" i="32"/>
  <c r="J29" i="32"/>
  <c r="H105" i="32"/>
  <c r="H99" i="32"/>
  <c r="J23" i="32"/>
  <c r="H97" i="32"/>
  <c r="J21" i="32"/>
  <c r="H100" i="32"/>
  <c r="J24" i="32"/>
  <c r="H106" i="32"/>
  <c r="J30" i="32"/>
  <c r="J22" i="32"/>
  <c r="H98" i="32"/>
  <c r="H104" i="32"/>
  <c r="J28" i="32"/>
  <c r="H101" i="32"/>
  <c r="J25" i="32"/>
  <c r="J31" i="32"/>
  <c r="H107" i="32"/>
  <c r="N96" i="24"/>
  <c r="M96" i="24" s="1"/>
  <c r="J27" i="32"/>
  <c r="H103" i="32"/>
  <c r="F21" i="32"/>
  <c r="F97" i="32" s="1"/>
  <c r="D97" i="32"/>
  <c r="F22" i="32"/>
  <c r="F98" i="32" s="1"/>
  <c r="D98" i="32"/>
  <c r="D99" i="32"/>
  <c r="F23" i="32"/>
  <c r="F99" i="32" s="1"/>
  <c r="D104" i="32"/>
  <c r="F28" i="32"/>
  <c r="F104" i="32" s="1"/>
  <c r="F29" i="32"/>
  <c r="F105" i="32" s="1"/>
  <c r="D105" i="32"/>
  <c r="F26" i="32"/>
  <c r="F102" i="32" s="1"/>
  <c r="D102" i="32"/>
  <c r="F31" i="32"/>
  <c r="F107" i="32" s="1"/>
  <c r="D107" i="32"/>
  <c r="F30" i="32"/>
  <c r="F106" i="32" s="1"/>
  <c r="D106" i="32"/>
  <c r="F27" i="32"/>
  <c r="F103" i="32" s="1"/>
  <c r="D103" i="32"/>
  <c r="F25" i="32"/>
  <c r="F101" i="32" s="1"/>
  <c r="D101" i="32"/>
  <c r="F24" i="32"/>
  <c r="F100" i="32" s="1"/>
  <c r="D100" i="32"/>
  <c r="E100" i="24"/>
  <c r="E99" i="24"/>
  <c r="E98" i="24"/>
  <c r="D96" i="32"/>
  <c r="F20" i="32"/>
  <c r="D33" i="32"/>
  <c r="F96" i="24"/>
  <c r="F109" i="24" s="1"/>
  <c r="M52" i="24"/>
  <c r="E52" i="24"/>
  <c r="M102" i="24"/>
  <c r="E102" i="24"/>
  <c r="M107" i="24"/>
  <c r="P39" i="24"/>
  <c r="P52" i="24" s="1"/>
  <c r="J52" i="24"/>
  <c r="I52" i="24" s="1"/>
  <c r="L109" i="24"/>
  <c r="M101" i="24"/>
  <c r="M105" i="24"/>
  <c r="E107" i="24"/>
  <c r="P106" i="24"/>
  <c r="P30" i="24"/>
  <c r="M106" i="24"/>
  <c r="P28" i="24"/>
  <c r="P104" i="24"/>
  <c r="M104" i="24"/>
  <c r="M100" i="24"/>
  <c r="P24" i="24"/>
  <c r="M97" i="24"/>
  <c r="N33" i="24"/>
  <c r="M33" i="24" s="1"/>
  <c r="M98" i="24"/>
  <c r="P25" i="24"/>
  <c r="J101" i="24"/>
  <c r="P101" i="24" s="1"/>
  <c r="I100" i="24"/>
  <c r="P100" i="24"/>
  <c r="P22" i="24"/>
  <c r="J98" i="24"/>
  <c r="P98" i="24" s="1"/>
  <c r="P29" i="24"/>
  <c r="J105" i="24"/>
  <c r="P105" i="24" s="1"/>
  <c r="J99" i="24"/>
  <c r="P99" i="24" s="1"/>
  <c r="P23" i="24"/>
  <c r="P26" i="24"/>
  <c r="J102" i="24"/>
  <c r="P102" i="24" s="1"/>
  <c r="I106" i="24"/>
  <c r="H109" i="24"/>
  <c r="E103" i="24"/>
  <c r="P31" i="24"/>
  <c r="J107" i="24"/>
  <c r="P107" i="24" s="1"/>
  <c r="I103" i="24"/>
  <c r="J33" i="24"/>
  <c r="I33" i="24" s="1"/>
  <c r="J97" i="24"/>
  <c r="P97" i="24" s="1"/>
  <c r="P21" i="24"/>
  <c r="F33" i="24"/>
  <c r="I38" i="26" s="1"/>
  <c r="I20" i="26" s="1"/>
  <c r="J20" i="26" s="1"/>
  <c r="E105" i="24"/>
  <c r="D109" i="24"/>
  <c r="N49" i="35" l="1"/>
  <c r="N50" i="35"/>
  <c r="N44" i="35"/>
  <c r="N45" i="35"/>
  <c r="N43" i="35"/>
  <c r="N48" i="35"/>
  <c r="N42" i="35"/>
  <c r="N47" i="35"/>
  <c r="P48" i="34"/>
  <c r="J47" i="35"/>
  <c r="J44" i="35"/>
  <c r="J46" i="35"/>
  <c r="J50" i="35"/>
  <c r="J40" i="35"/>
  <c r="J49" i="35"/>
  <c r="J45" i="35"/>
  <c r="F39" i="35"/>
  <c r="F49" i="35"/>
  <c r="F40" i="35"/>
  <c r="F43" i="35"/>
  <c r="F47" i="35"/>
  <c r="F42" i="35"/>
  <c r="F48" i="35"/>
  <c r="F46" i="35"/>
  <c r="P49" i="34"/>
  <c r="N41" i="34"/>
  <c r="N46" i="34"/>
  <c r="P46" i="34" s="1"/>
  <c r="P47" i="34"/>
  <c r="J45" i="34"/>
  <c r="P45" i="34" s="1"/>
  <c r="J42" i="34"/>
  <c r="P42" i="34" s="1"/>
  <c r="J44" i="34"/>
  <c r="P44" i="34" s="1"/>
  <c r="J50" i="34"/>
  <c r="P50" i="34" s="1"/>
  <c r="J41" i="34"/>
  <c r="F50" i="34"/>
  <c r="F39" i="34"/>
  <c r="F45" i="34"/>
  <c r="F44" i="34"/>
  <c r="N27" i="34"/>
  <c r="L96" i="34"/>
  <c r="N20" i="34"/>
  <c r="N24" i="34"/>
  <c r="N100" i="34" s="1"/>
  <c r="L100" i="34"/>
  <c r="N28" i="34"/>
  <c r="N104" i="34" s="1"/>
  <c r="L104" i="34"/>
  <c r="N26" i="34"/>
  <c r="N102" i="34" s="1"/>
  <c r="L102" i="34"/>
  <c r="F101" i="33"/>
  <c r="F25" i="34"/>
  <c r="P42" i="33"/>
  <c r="D100" i="34"/>
  <c r="P46" i="33"/>
  <c r="P50" i="33"/>
  <c r="F29" i="34"/>
  <c r="F105" i="34" s="1"/>
  <c r="D105" i="34"/>
  <c r="F20" i="34"/>
  <c r="D96" i="34"/>
  <c r="F98" i="33"/>
  <c r="P48" i="33"/>
  <c r="P49" i="33"/>
  <c r="L104" i="33"/>
  <c r="P44" i="33"/>
  <c r="N104" i="33"/>
  <c r="F100" i="33"/>
  <c r="P47" i="33"/>
  <c r="P40" i="33"/>
  <c r="P41" i="33"/>
  <c r="N39" i="33"/>
  <c r="N52" i="33" s="1"/>
  <c r="L52" i="33"/>
  <c r="P45" i="33"/>
  <c r="P43" i="33"/>
  <c r="J39" i="33"/>
  <c r="H52" i="33"/>
  <c r="F39" i="33"/>
  <c r="F52" i="33" s="1"/>
  <c r="D52" i="33"/>
  <c r="D101" i="33"/>
  <c r="D100" i="33"/>
  <c r="N27" i="33"/>
  <c r="N103" i="33" s="1"/>
  <c r="L103" i="33"/>
  <c r="N20" i="33"/>
  <c r="L33" i="33"/>
  <c r="L96" i="33"/>
  <c r="N30" i="33"/>
  <c r="N106" i="33" s="1"/>
  <c r="L106" i="33"/>
  <c r="N24" i="33"/>
  <c r="N100" i="33" s="1"/>
  <c r="L100" i="33"/>
  <c r="N29" i="33"/>
  <c r="N105" i="33" s="1"/>
  <c r="L105" i="33"/>
  <c r="N21" i="33"/>
  <c r="N97" i="33" s="1"/>
  <c r="L97" i="33"/>
  <c r="L107" i="33"/>
  <c r="N31" i="33"/>
  <c r="N107" i="33" s="1"/>
  <c r="N22" i="33"/>
  <c r="N98" i="33" s="1"/>
  <c r="L98" i="33"/>
  <c r="N23" i="33"/>
  <c r="N99" i="33" s="1"/>
  <c r="L99" i="33"/>
  <c r="N25" i="33"/>
  <c r="N101" i="33" s="1"/>
  <c r="L101" i="33"/>
  <c r="N26" i="33"/>
  <c r="N102" i="33" s="1"/>
  <c r="L102" i="33"/>
  <c r="J25" i="33"/>
  <c r="H101" i="33"/>
  <c r="H97" i="33"/>
  <c r="J21" i="33"/>
  <c r="J28" i="33"/>
  <c r="H104" i="33"/>
  <c r="J22" i="33"/>
  <c r="H98" i="33"/>
  <c r="J23" i="33"/>
  <c r="H99" i="33"/>
  <c r="J30" i="33"/>
  <c r="H106" i="33"/>
  <c r="J29" i="33"/>
  <c r="H105" i="33"/>
  <c r="H107" i="33"/>
  <c r="J31" i="33"/>
  <c r="J20" i="33"/>
  <c r="H96" i="33"/>
  <c r="H33" i="33"/>
  <c r="D98" i="33"/>
  <c r="J24" i="33"/>
  <c r="H100" i="33"/>
  <c r="J26" i="33"/>
  <c r="H102" i="33"/>
  <c r="J27" i="33"/>
  <c r="H103" i="33"/>
  <c r="F23" i="33"/>
  <c r="F99" i="33" s="1"/>
  <c r="D99" i="33"/>
  <c r="F31" i="33"/>
  <c r="F107" i="33" s="1"/>
  <c r="D107" i="33"/>
  <c r="F26" i="33"/>
  <c r="F102" i="33" s="1"/>
  <c r="D102" i="33"/>
  <c r="F29" i="33"/>
  <c r="F105" i="33" s="1"/>
  <c r="D105" i="33"/>
  <c r="F28" i="33"/>
  <c r="F104" i="33" s="1"/>
  <c r="D104" i="33"/>
  <c r="D97" i="33"/>
  <c r="F21" i="33"/>
  <c r="F97" i="33" s="1"/>
  <c r="F27" i="33"/>
  <c r="F103" i="33" s="1"/>
  <c r="D103" i="33"/>
  <c r="F30" i="33"/>
  <c r="F106" i="33" s="1"/>
  <c r="D106" i="33"/>
  <c r="D96" i="33"/>
  <c r="F20" i="33"/>
  <c r="D33" i="33"/>
  <c r="M104" i="32"/>
  <c r="N109" i="24"/>
  <c r="M109" i="24" s="1"/>
  <c r="E103" i="32"/>
  <c r="M102" i="32"/>
  <c r="M52" i="32"/>
  <c r="M97" i="32"/>
  <c r="M107" i="32"/>
  <c r="M99" i="32"/>
  <c r="P39" i="32"/>
  <c r="P52" i="32" s="1"/>
  <c r="J52" i="32"/>
  <c r="I52" i="32" s="1"/>
  <c r="M106" i="32"/>
  <c r="M101" i="32"/>
  <c r="M100" i="32"/>
  <c r="E107" i="32"/>
  <c r="M105" i="32"/>
  <c r="E52" i="32"/>
  <c r="L109" i="32"/>
  <c r="M103" i="32"/>
  <c r="N33" i="32"/>
  <c r="M33" i="32" s="1"/>
  <c r="N96" i="32"/>
  <c r="N109" i="32" s="1"/>
  <c r="P96" i="24"/>
  <c r="P109" i="24" s="1"/>
  <c r="P113" i="24" s="1"/>
  <c r="E104" i="32"/>
  <c r="M98" i="32"/>
  <c r="P22" i="32"/>
  <c r="J98" i="32"/>
  <c r="P30" i="32"/>
  <c r="J106" i="32"/>
  <c r="P106" i="32" s="1"/>
  <c r="J100" i="32"/>
  <c r="P24" i="32"/>
  <c r="P21" i="32"/>
  <c r="J97" i="32"/>
  <c r="P97" i="32" s="1"/>
  <c r="E106" i="32"/>
  <c r="J103" i="32"/>
  <c r="P103" i="32" s="1"/>
  <c r="P27" i="32"/>
  <c r="P23" i="32"/>
  <c r="J99" i="32"/>
  <c r="P99" i="32" s="1"/>
  <c r="P31" i="32"/>
  <c r="J107" i="32"/>
  <c r="P107" i="32" s="1"/>
  <c r="P29" i="32"/>
  <c r="J105" i="32"/>
  <c r="P25" i="32"/>
  <c r="J101" i="32"/>
  <c r="P101" i="32" s="1"/>
  <c r="J96" i="32"/>
  <c r="J33" i="32"/>
  <c r="I33" i="32" s="1"/>
  <c r="P20" i="32"/>
  <c r="J104" i="32"/>
  <c r="P28" i="32"/>
  <c r="H109" i="32"/>
  <c r="P26" i="32"/>
  <c r="J102" i="32"/>
  <c r="P102" i="32" s="1"/>
  <c r="E100" i="32"/>
  <c r="E99" i="32"/>
  <c r="D109" i="32"/>
  <c r="E102" i="32"/>
  <c r="E105" i="32"/>
  <c r="E101" i="32"/>
  <c r="E98" i="32"/>
  <c r="E96" i="24"/>
  <c r="E97" i="32"/>
  <c r="F96" i="32"/>
  <c r="F33" i="32"/>
  <c r="I28" i="36" s="1"/>
  <c r="G17" i="40" s="1"/>
  <c r="E109" i="24"/>
  <c r="E33" i="24"/>
  <c r="I22" i="26"/>
  <c r="J22" i="26" s="1"/>
  <c r="D22" i="36" s="1"/>
  <c r="F17" i="40"/>
  <c r="I23" i="26"/>
  <c r="J23" i="26" s="1"/>
  <c r="I21" i="26"/>
  <c r="J21" i="26" s="1"/>
  <c r="F10" i="40" s="1"/>
  <c r="P33" i="24"/>
  <c r="I27" i="26"/>
  <c r="J27" i="26" s="1"/>
  <c r="F16" i="40" s="1"/>
  <c r="I102" i="24"/>
  <c r="I26" i="26"/>
  <c r="J26" i="26" s="1"/>
  <c r="F15" i="40" s="1"/>
  <c r="I24" i="26"/>
  <c r="J24" i="26" s="1"/>
  <c r="D24" i="36" s="1"/>
  <c r="G24" i="36" s="1"/>
  <c r="I18" i="26"/>
  <c r="J18" i="26" s="1"/>
  <c r="F7" i="40" s="1"/>
  <c r="I19" i="26"/>
  <c r="J19" i="26" s="1"/>
  <c r="F8" i="40" s="1"/>
  <c r="I25" i="26"/>
  <c r="J25" i="26" s="1"/>
  <c r="F14" i="40" s="1"/>
  <c r="I64" i="26"/>
  <c r="I51" i="26" s="1"/>
  <c r="J51" i="26" s="1"/>
  <c r="I105" i="24"/>
  <c r="I17" i="26"/>
  <c r="J17" i="26" s="1"/>
  <c r="D17" i="36" s="1"/>
  <c r="I97" i="24"/>
  <c r="I99" i="24"/>
  <c r="I107" i="24"/>
  <c r="I98" i="24"/>
  <c r="J109" i="24"/>
  <c r="I109" i="24" s="1"/>
  <c r="I101" i="24"/>
  <c r="F9" i="40"/>
  <c r="D20" i="36"/>
  <c r="G17" i="36" l="1"/>
  <c r="G22" i="36"/>
  <c r="D23" i="36"/>
  <c r="L96" i="35"/>
  <c r="P47" i="35"/>
  <c r="P50" i="35"/>
  <c r="P49" i="35"/>
  <c r="P44" i="35"/>
  <c r="N46" i="35"/>
  <c r="P46" i="35" s="1"/>
  <c r="N41" i="35"/>
  <c r="P45" i="35"/>
  <c r="N40" i="35"/>
  <c r="P40" i="35" s="1"/>
  <c r="N39" i="35"/>
  <c r="J41" i="35"/>
  <c r="J42" i="35"/>
  <c r="P42" i="35" s="1"/>
  <c r="J43" i="35"/>
  <c r="P43" i="35" s="1"/>
  <c r="J48" i="35"/>
  <c r="P48" i="35" s="1"/>
  <c r="F41" i="35"/>
  <c r="F45" i="35"/>
  <c r="F50" i="35"/>
  <c r="F44" i="35"/>
  <c r="D101" i="34"/>
  <c r="F101" i="34"/>
  <c r="N21" i="35"/>
  <c r="N27" i="35"/>
  <c r="N22" i="35"/>
  <c r="L100" i="35"/>
  <c r="N24" i="35"/>
  <c r="N100" i="35" s="1"/>
  <c r="N26" i="35"/>
  <c r="N102" i="35" s="1"/>
  <c r="L102" i="35"/>
  <c r="J26" i="35"/>
  <c r="H102" i="35"/>
  <c r="E101" i="33"/>
  <c r="H106" i="35"/>
  <c r="J30" i="35"/>
  <c r="J24" i="35"/>
  <c r="F29" i="35"/>
  <c r="F105" i="35" s="1"/>
  <c r="D105" i="35"/>
  <c r="D52" i="34"/>
  <c r="N40" i="34"/>
  <c r="L52" i="34"/>
  <c r="L33" i="34"/>
  <c r="N103" i="34"/>
  <c r="L103" i="34"/>
  <c r="P41" i="34"/>
  <c r="J43" i="34"/>
  <c r="H100" i="34"/>
  <c r="J39" i="34"/>
  <c r="H52" i="34"/>
  <c r="M102" i="34"/>
  <c r="E98" i="33"/>
  <c r="F52" i="34"/>
  <c r="P24" i="34"/>
  <c r="M104" i="33"/>
  <c r="E105" i="34"/>
  <c r="L98" i="34"/>
  <c r="N22" i="34"/>
  <c r="N98" i="34" s="1"/>
  <c r="M100" i="34"/>
  <c r="N29" i="34"/>
  <c r="N105" i="34" s="1"/>
  <c r="L105" i="34"/>
  <c r="N96" i="34"/>
  <c r="M96" i="34" s="1"/>
  <c r="L101" i="34"/>
  <c r="N25" i="34"/>
  <c r="N101" i="34" s="1"/>
  <c r="N30" i="34"/>
  <c r="N106" i="34" s="1"/>
  <c r="L106" i="34"/>
  <c r="N31" i="34"/>
  <c r="N107" i="34" s="1"/>
  <c r="L107" i="34"/>
  <c r="M104" i="34"/>
  <c r="N21" i="34"/>
  <c r="L97" i="34"/>
  <c r="L99" i="34"/>
  <c r="N23" i="34"/>
  <c r="N99" i="34" s="1"/>
  <c r="H107" i="34"/>
  <c r="J31" i="34"/>
  <c r="J30" i="34"/>
  <c r="H106" i="34"/>
  <c r="H102" i="34"/>
  <c r="J26" i="34"/>
  <c r="H97" i="34"/>
  <c r="J21" i="34"/>
  <c r="J20" i="34"/>
  <c r="H96" i="34"/>
  <c r="H33" i="34"/>
  <c r="J25" i="34"/>
  <c r="H101" i="34"/>
  <c r="J27" i="34"/>
  <c r="H103" i="34"/>
  <c r="J29" i="34"/>
  <c r="H105" i="34"/>
  <c r="H98" i="34"/>
  <c r="J22" i="34"/>
  <c r="J23" i="34"/>
  <c r="H99" i="34"/>
  <c r="J28" i="34"/>
  <c r="H104" i="34"/>
  <c r="F24" i="34"/>
  <c r="F100" i="34" s="1"/>
  <c r="E100" i="34" s="1"/>
  <c r="D102" i="34"/>
  <c r="F26" i="34"/>
  <c r="F102" i="34" s="1"/>
  <c r="F22" i="34"/>
  <c r="F98" i="34" s="1"/>
  <c r="D98" i="34"/>
  <c r="D33" i="34"/>
  <c r="F31" i="34"/>
  <c r="F107" i="34" s="1"/>
  <c r="D107" i="34"/>
  <c r="D97" i="34"/>
  <c r="F21" i="34"/>
  <c r="F97" i="34" s="1"/>
  <c r="F27" i="34"/>
  <c r="F103" i="34" s="1"/>
  <c r="D103" i="34"/>
  <c r="D106" i="34"/>
  <c r="F30" i="34"/>
  <c r="F106" i="34" s="1"/>
  <c r="F23" i="34"/>
  <c r="F99" i="34" s="1"/>
  <c r="D99" i="34"/>
  <c r="F28" i="34"/>
  <c r="F104" i="34" s="1"/>
  <c r="D104" i="34"/>
  <c r="E103" i="33"/>
  <c r="F96" i="34"/>
  <c r="M103" i="33"/>
  <c r="F96" i="33"/>
  <c r="F109" i="33" s="1"/>
  <c r="M52" i="33"/>
  <c r="E100" i="33"/>
  <c r="P39" i="33"/>
  <c r="P52" i="33" s="1"/>
  <c r="J52" i="33"/>
  <c r="I52" i="33" s="1"/>
  <c r="E104" i="33"/>
  <c r="M105" i="33"/>
  <c r="M101" i="33"/>
  <c r="M100" i="33"/>
  <c r="M99" i="33"/>
  <c r="M106" i="33"/>
  <c r="E52" i="33"/>
  <c r="M97" i="33"/>
  <c r="E97" i="33"/>
  <c r="M102" i="33"/>
  <c r="D109" i="33"/>
  <c r="E102" i="33"/>
  <c r="M98" i="33"/>
  <c r="L109" i="33"/>
  <c r="N96" i="33"/>
  <c r="N109" i="33" s="1"/>
  <c r="N33" i="33"/>
  <c r="M33" i="33" s="1"/>
  <c r="E99" i="33"/>
  <c r="M107" i="33"/>
  <c r="J103" i="33"/>
  <c r="P103" i="33" s="1"/>
  <c r="P27" i="33"/>
  <c r="P30" i="33"/>
  <c r="J106" i="33"/>
  <c r="P106" i="33" s="1"/>
  <c r="P26" i="33"/>
  <c r="J102" i="33"/>
  <c r="P102" i="33" s="1"/>
  <c r="P24" i="33"/>
  <c r="J100" i="33"/>
  <c r="P100" i="33" s="1"/>
  <c r="J99" i="33"/>
  <c r="P99" i="33" s="1"/>
  <c r="P23" i="33"/>
  <c r="P22" i="33"/>
  <c r="J98" i="33"/>
  <c r="P98" i="33" s="1"/>
  <c r="H109" i="33"/>
  <c r="J104" i="33"/>
  <c r="P104" i="33" s="1"/>
  <c r="P28" i="33"/>
  <c r="E107" i="33"/>
  <c r="P20" i="33"/>
  <c r="J96" i="33"/>
  <c r="J33" i="33"/>
  <c r="I33" i="33" s="1"/>
  <c r="J97" i="33"/>
  <c r="P97" i="33" s="1"/>
  <c r="P21" i="33"/>
  <c r="J107" i="33"/>
  <c r="P107" i="33" s="1"/>
  <c r="P31" i="33"/>
  <c r="J101" i="33"/>
  <c r="P101" i="33" s="1"/>
  <c r="P25" i="33"/>
  <c r="P29" i="33"/>
  <c r="J105" i="33"/>
  <c r="P105" i="33" s="1"/>
  <c r="E105" i="33"/>
  <c r="E106" i="33"/>
  <c r="F33" i="33"/>
  <c r="I28" i="37" s="1"/>
  <c r="H17" i="40" s="1"/>
  <c r="F13" i="40"/>
  <c r="I97" i="32"/>
  <c r="M109" i="32"/>
  <c r="I102" i="32"/>
  <c r="I101" i="32"/>
  <c r="M96" i="32"/>
  <c r="P33" i="32"/>
  <c r="I44" i="36" s="1"/>
  <c r="G32" i="40" s="1"/>
  <c r="I104" i="32"/>
  <c r="P104" i="32"/>
  <c r="D19" i="36"/>
  <c r="G19" i="36" s="1"/>
  <c r="I96" i="32"/>
  <c r="J109" i="32"/>
  <c r="I109" i="32" s="1"/>
  <c r="P96" i="32"/>
  <c r="I103" i="32"/>
  <c r="I105" i="32"/>
  <c r="P105" i="32"/>
  <c r="I100" i="32"/>
  <c r="P100" i="32"/>
  <c r="I106" i="32"/>
  <c r="I107" i="32"/>
  <c r="I98" i="32"/>
  <c r="P98" i="32"/>
  <c r="I99" i="32"/>
  <c r="F11" i="40"/>
  <c r="F12" i="40" s="1"/>
  <c r="F6" i="40"/>
  <c r="E96" i="32"/>
  <c r="F109" i="32"/>
  <c r="E109" i="32" s="1"/>
  <c r="E33" i="32"/>
  <c r="D18" i="36"/>
  <c r="G18" i="36" s="1"/>
  <c r="D25" i="36"/>
  <c r="G25" i="36" s="1"/>
  <c r="D21" i="36"/>
  <c r="I47" i="26"/>
  <c r="J47" i="26" s="1"/>
  <c r="F25" i="40" s="1"/>
  <c r="D27" i="36"/>
  <c r="G27" i="36" s="1"/>
  <c r="D26" i="36"/>
  <c r="G26" i="36" s="1"/>
  <c r="I50" i="26"/>
  <c r="J50" i="26" s="1"/>
  <c r="F28" i="40" s="1"/>
  <c r="I52" i="26"/>
  <c r="J52" i="26" s="1"/>
  <c r="F30" i="40" s="1"/>
  <c r="I44" i="26"/>
  <c r="J44" i="26" s="1"/>
  <c r="F22" i="40" s="1"/>
  <c r="I45" i="26"/>
  <c r="J45" i="26" s="1"/>
  <c r="F23" i="40" s="1"/>
  <c r="F32" i="40"/>
  <c r="I49" i="26"/>
  <c r="J49" i="26" s="1"/>
  <c r="I48" i="26"/>
  <c r="J48" i="26" s="1"/>
  <c r="F26" i="40" s="1"/>
  <c r="F27" i="40" s="1"/>
  <c r="I53" i="26"/>
  <c r="J53" i="26" s="1"/>
  <c r="D43" i="36" s="1"/>
  <c r="G43" i="36" s="1"/>
  <c r="I46" i="26"/>
  <c r="J46" i="26" s="1"/>
  <c r="F24" i="40" s="1"/>
  <c r="I43" i="26"/>
  <c r="J43" i="26" s="1"/>
  <c r="F21" i="40" s="1"/>
  <c r="F29" i="40"/>
  <c r="D41" i="36"/>
  <c r="G41" i="36" s="1"/>
  <c r="N20" i="35" l="1"/>
  <c r="N96" i="35" s="1"/>
  <c r="M96" i="35" s="1"/>
  <c r="H100" i="35"/>
  <c r="L103" i="35"/>
  <c r="P41" i="35"/>
  <c r="L97" i="35"/>
  <c r="N97" i="35"/>
  <c r="L52" i="35"/>
  <c r="N98" i="35"/>
  <c r="N52" i="35"/>
  <c r="L98" i="35"/>
  <c r="N103" i="35"/>
  <c r="E101" i="34"/>
  <c r="F52" i="35"/>
  <c r="J39" i="35"/>
  <c r="H52" i="35"/>
  <c r="D52" i="35"/>
  <c r="L33" i="35"/>
  <c r="L107" i="35"/>
  <c r="N31" i="35"/>
  <c r="N107" i="35" s="1"/>
  <c r="M102" i="35"/>
  <c r="M100" i="35"/>
  <c r="N30" i="35"/>
  <c r="N106" i="35" s="1"/>
  <c r="L106" i="35"/>
  <c r="L99" i="35"/>
  <c r="N23" i="35"/>
  <c r="N99" i="35" s="1"/>
  <c r="N28" i="35"/>
  <c r="N104" i="35" s="1"/>
  <c r="L104" i="35"/>
  <c r="L105" i="35"/>
  <c r="N29" i="35"/>
  <c r="N105" i="35" s="1"/>
  <c r="N25" i="35"/>
  <c r="N101" i="35" s="1"/>
  <c r="L101" i="35"/>
  <c r="J31" i="35"/>
  <c r="H107" i="35"/>
  <c r="J23" i="35"/>
  <c r="H99" i="35"/>
  <c r="J21" i="35"/>
  <c r="H97" i="35"/>
  <c r="J102" i="35"/>
  <c r="P102" i="35" s="1"/>
  <c r="P26" i="35"/>
  <c r="J20" i="35"/>
  <c r="H96" i="35"/>
  <c r="H33" i="35"/>
  <c r="P24" i="35"/>
  <c r="J100" i="35"/>
  <c r="P100" i="35" s="1"/>
  <c r="J25" i="35"/>
  <c r="H101" i="35"/>
  <c r="J28" i="35"/>
  <c r="H104" i="35"/>
  <c r="J106" i="35"/>
  <c r="H103" i="35"/>
  <c r="J27" i="35"/>
  <c r="N97" i="34"/>
  <c r="N109" i="34" s="1"/>
  <c r="J29" i="35"/>
  <c r="H105" i="35"/>
  <c r="J22" i="35"/>
  <c r="H98" i="35"/>
  <c r="D98" i="35"/>
  <c r="F22" i="35"/>
  <c r="F98" i="35" s="1"/>
  <c r="F23" i="35"/>
  <c r="F99" i="35" s="1"/>
  <c r="D99" i="35"/>
  <c r="D100" i="35"/>
  <c r="F24" i="35"/>
  <c r="F100" i="35" s="1"/>
  <c r="E105" i="35"/>
  <c r="D102" i="35"/>
  <c r="F26" i="35"/>
  <c r="F102" i="35" s="1"/>
  <c r="D106" i="35"/>
  <c r="F30" i="35"/>
  <c r="F106" i="35" s="1"/>
  <c r="F25" i="35"/>
  <c r="F101" i="35" s="1"/>
  <c r="D101" i="35"/>
  <c r="F28" i="35"/>
  <c r="F104" i="35" s="1"/>
  <c r="D104" i="35"/>
  <c r="F21" i="35"/>
  <c r="F97" i="35" s="1"/>
  <c r="D97" i="35"/>
  <c r="F27" i="35"/>
  <c r="F103" i="35" s="1"/>
  <c r="D103" i="35"/>
  <c r="F31" i="35"/>
  <c r="F107" i="35" s="1"/>
  <c r="D107" i="35"/>
  <c r="D96" i="35"/>
  <c r="F20" i="35"/>
  <c r="D33" i="35"/>
  <c r="M103" i="34"/>
  <c r="N52" i="34"/>
  <c r="M52" i="34" s="1"/>
  <c r="P40" i="34"/>
  <c r="E52" i="34"/>
  <c r="P39" i="34"/>
  <c r="J52" i="34"/>
  <c r="I52" i="34" s="1"/>
  <c r="P43" i="34"/>
  <c r="J100" i="34"/>
  <c r="E103" i="34"/>
  <c r="M99" i="34"/>
  <c r="M106" i="34"/>
  <c r="L109" i="34"/>
  <c r="E104" i="34"/>
  <c r="E98" i="34"/>
  <c r="M101" i="34"/>
  <c r="E107" i="34"/>
  <c r="N33" i="34"/>
  <c r="M33" i="34" s="1"/>
  <c r="M105" i="34"/>
  <c r="M107" i="34"/>
  <c r="M98" i="34"/>
  <c r="H109" i="34"/>
  <c r="J99" i="34"/>
  <c r="P99" i="34" s="1"/>
  <c r="P23" i="34"/>
  <c r="J96" i="34"/>
  <c r="P20" i="34"/>
  <c r="J33" i="34"/>
  <c r="I33" i="34" s="1"/>
  <c r="J98" i="34"/>
  <c r="P22" i="34"/>
  <c r="P21" i="34"/>
  <c r="J97" i="34"/>
  <c r="D109" i="34"/>
  <c r="P26" i="34"/>
  <c r="J102" i="34"/>
  <c r="P102" i="34" s="1"/>
  <c r="P29" i="34"/>
  <c r="J105" i="34"/>
  <c r="P105" i="34" s="1"/>
  <c r="P30" i="34"/>
  <c r="J106" i="34"/>
  <c r="P106" i="34" s="1"/>
  <c r="E102" i="34"/>
  <c r="J103" i="34"/>
  <c r="P27" i="34"/>
  <c r="P31" i="34"/>
  <c r="J107" i="34"/>
  <c r="P107" i="34" s="1"/>
  <c r="P25" i="34"/>
  <c r="J101" i="34"/>
  <c r="P101" i="34" s="1"/>
  <c r="P28" i="34"/>
  <c r="J104" i="34"/>
  <c r="E97" i="34"/>
  <c r="E96" i="33"/>
  <c r="F33" i="34"/>
  <c r="I28" i="38" s="1"/>
  <c r="I17" i="40" s="1"/>
  <c r="E99" i="34"/>
  <c r="F109" i="34"/>
  <c r="E106" i="34"/>
  <c r="E96" i="34"/>
  <c r="I105" i="33"/>
  <c r="E33" i="33"/>
  <c r="I107" i="33"/>
  <c r="I97" i="33"/>
  <c r="E109" i="33"/>
  <c r="M109" i="33"/>
  <c r="I101" i="33"/>
  <c r="M96" i="33"/>
  <c r="P33" i="33"/>
  <c r="I44" i="37" s="1"/>
  <c r="H32" i="40" s="1"/>
  <c r="I96" i="33"/>
  <c r="P96" i="33"/>
  <c r="P109" i="33" s="1"/>
  <c r="P113" i="33" s="1"/>
  <c r="J109" i="33"/>
  <c r="I109" i="33" s="1"/>
  <c r="I99" i="33"/>
  <c r="I100" i="33"/>
  <c r="I104" i="33"/>
  <c r="I102" i="33"/>
  <c r="I98" i="33"/>
  <c r="I106" i="33"/>
  <c r="I103" i="33"/>
  <c r="P109" i="32"/>
  <c r="P113" i="32" s="1"/>
  <c r="D37" i="36"/>
  <c r="D34" i="36"/>
  <c r="G34" i="36" s="1"/>
  <c r="D42" i="36"/>
  <c r="G42" i="36" s="1"/>
  <c r="D40" i="36"/>
  <c r="G40" i="36" s="1"/>
  <c r="F31" i="40"/>
  <c r="D35" i="36"/>
  <c r="G35" i="36" s="1"/>
  <c r="D38" i="36"/>
  <c r="D36" i="36"/>
  <c r="D33" i="36"/>
  <c r="G33" i="36" s="1"/>
  <c r="G38" i="36" l="1"/>
  <c r="D39" i="36"/>
  <c r="P106" i="35"/>
  <c r="M97" i="35"/>
  <c r="M103" i="35"/>
  <c r="M52" i="35"/>
  <c r="M98" i="35"/>
  <c r="E106" i="35"/>
  <c r="P30" i="35"/>
  <c r="M106" i="35"/>
  <c r="M97" i="34"/>
  <c r="P39" i="35"/>
  <c r="P52" i="35" s="1"/>
  <c r="J52" i="35"/>
  <c r="I52" i="35" s="1"/>
  <c r="M105" i="35"/>
  <c r="M104" i="35"/>
  <c r="I102" i="35"/>
  <c r="E52" i="35"/>
  <c r="M99" i="35"/>
  <c r="E107" i="35"/>
  <c r="E103" i="35"/>
  <c r="L109" i="35"/>
  <c r="M101" i="35"/>
  <c r="N109" i="35"/>
  <c r="N33" i="35"/>
  <c r="M33" i="35" s="1"/>
  <c r="H109" i="35"/>
  <c r="M107" i="35"/>
  <c r="I106" i="35"/>
  <c r="J98" i="35"/>
  <c r="P98" i="35" s="1"/>
  <c r="P22" i="35"/>
  <c r="J105" i="35"/>
  <c r="P105" i="35" s="1"/>
  <c r="P29" i="35"/>
  <c r="J96" i="35"/>
  <c r="J33" i="35"/>
  <c r="I33" i="35" s="1"/>
  <c r="P20" i="35"/>
  <c r="E101" i="35"/>
  <c r="I100" i="35"/>
  <c r="J103" i="35"/>
  <c r="P103" i="35" s="1"/>
  <c r="P27" i="35"/>
  <c r="E102" i="35"/>
  <c r="P21" i="35"/>
  <c r="J97" i="35"/>
  <c r="P97" i="35" s="1"/>
  <c r="J104" i="35"/>
  <c r="P104" i="35" s="1"/>
  <c r="P28" i="35"/>
  <c r="J99" i="35"/>
  <c r="P99" i="35" s="1"/>
  <c r="P23" i="35"/>
  <c r="J101" i="35"/>
  <c r="P101" i="35" s="1"/>
  <c r="P25" i="35"/>
  <c r="P31" i="35"/>
  <c r="J107" i="35"/>
  <c r="P107" i="35" s="1"/>
  <c r="E104" i="35"/>
  <c r="E100" i="35"/>
  <c r="E99" i="35"/>
  <c r="E97" i="35"/>
  <c r="E98" i="35"/>
  <c r="F96" i="35"/>
  <c r="F109" i="35" s="1"/>
  <c r="F33" i="35"/>
  <c r="I28" i="39" s="1"/>
  <c r="J17" i="40" s="1"/>
  <c r="D109" i="35"/>
  <c r="M109" i="34"/>
  <c r="I100" i="34"/>
  <c r="P100" i="34"/>
  <c r="P52" i="34"/>
  <c r="E33" i="34"/>
  <c r="I105" i="34"/>
  <c r="E109" i="34"/>
  <c r="I104" i="34"/>
  <c r="P104" i="34"/>
  <c r="I101" i="34"/>
  <c r="I107" i="34"/>
  <c r="I97" i="34"/>
  <c r="P97" i="34"/>
  <c r="I98" i="34"/>
  <c r="P98" i="34"/>
  <c r="I103" i="34"/>
  <c r="P103" i="34"/>
  <c r="P33" i="34"/>
  <c r="I96" i="34"/>
  <c r="P96" i="34"/>
  <c r="J109" i="34"/>
  <c r="I109" i="34" s="1"/>
  <c r="I106" i="34"/>
  <c r="I102" i="34"/>
  <c r="I99" i="34"/>
  <c r="I44" i="38" l="1"/>
  <c r="I32" i="40" s="1"/>
  <c r="I99" i="35"/>
  <c r="I103" i="35"/>
  <c r="M109" i="35"/>
  <c r="I105" i="35"/>
  <c r="I107" i="35"/>
  <c r="E96" i="35"/>
  <c r="I101" i="35"/>
  <c r="P33" i="35"/>
  <c r="I44" i="39" s="1"/>
  <c r="J32" i="40" s="1"/>
  <c r="E109" i="35"/>
  <c r="I96" i="35"/>
  <c r="P96" i="35"/>
  <c r="P109" i="35" s="1"/>
  <c r="P113" i="35" s="1"/>
  <c r="J109" i="35"/>
  <c r="I109" i="35" s="1"/>
  <c r="I104" i="35"/>
  <c r="I97" i="35"/>
  <c r="I98" i="35"/>
  <c r="E33" i="35"/>
  <c r="P109" i="34"/>
  <c r="P113" i="34" s="1"/>
  <c r="E24" i="28" l="1"/>
  <c r="F24" i="28"/>
  <c r="F36" i="36" s="1"/>
  <c r="G36" i="36" s="1"/>
  <c r="E26" i="28"/>
  <c r="F26" i="28"/>
  <c r="F20" i="36"/>
  <c r="G20" i="36"/>
  <c r="F21" i="36"/>
  <c r="G21" i="36" s="1"/>
  <c r="F37" i="36"/>
  <c r="G37" i="36"/>
  <c r="E45" i="50"/>
  <c r="E56" i="50" s="1"/>
  <c r="E62" i="50" s="1"/>
  <c r="G44" i="36" l="1"/>
  <c r="H36" i="36"/>
  <c r="I36" i="36" s="1"/>
  <c r="J36" i="36" s="1"/>
  <c r="H37" i="36"/>
  <c r="I37" i="36" s="1"/>
  <c r="J37" i="36" s="1"/>
  <c r="G28" i="36"/>
  <c r="H21" i="36" s="1"/>
  <c r="I21" i="36" s="1"/>
  <c r="J21" i="36" s="1"/>
  <c r="D21" i="37" l="1"/>
  <c r="G21" i="37" s="1"/>
  <c r="G10" i="40"/>
  <c r="H20" i="36"/>
  <c r="I20" i="36" s="1"/>
  <c r="J20" i="36" s="1"/>
  <c r="G24" i="40"/>
  <c r="D36" i="37"/>
  <c r="G36" i="37" s="1"/>
  <c r="H25" i="36"/>
  <c r="I25" i="36" s="1"/>
  <c r="J25" i="36" s="1"/>
  <c r="H26" i="36"/>
  <c r="I26" i="36" s="1"/>
  <c r="J26" i="36" s="1"/>
  <c r="H17" i="36"/>
  <c r="I17" i="36" s="1"/>
  <c r="J17" i="36" s="1"/>
  <c r="H27" i="36"/>
  <c r="I27" i="36" s="1"/>
  <c r="J27" i="36" s="1"/>
  <c r="H18" i="36"/>
  <c r="I18" i="36" s="1"/>
  <c r="J18" i="36" s="1"/>
  <c r="H22" i="36"/>
  <c r="I22" i="36" s="1"/>
  <c r="J22" i="36" s="1"/>
  <c r="H19" i="36"/>
  <c r="I19" i="36" s="1"/>
  <c r="J19" i="36" s="1"/>
  <c r="H23" i="36"/>
  <c r="I23" i="36" s="1"/>
  <c r="J23" i="36" s="1"/>
  <c r="D23" i="37" s="1"/>
  <c r="H28" i="36"/>
  <c r="H24" i="36"/>
  <c r="I24" i="36" s="1"/>
  <c r="J24" i="36" s="1"/>
  <c r="G25" i="40"/>
  <c r="D37" i="37"/>
  <c r="G37" i="37" s="1"/>
  <c r="H35" i="36"/>
  <c r="I35" i="36" s="1"/>
  <c r="J35" i="36" s="1"/>
  <c r="H39" i="36"/>
  <c r="I39" i="36" s="1"/>
  <c r="J39" i="36" s="1"/>
  <c r="D39" i="37" s="1"/>
  <c r="H44" i="36"/>
  <c r="H40" i="36"/>
  <c r="I40" i="36" s="1"/>
  <c r="J40" i="36" s="1"/>
  <c r="H41" i="36"/>
  <c r="I41" i="36" s="1"/>
  <c r="J41" i="36" s="1"/>
  <c r="H42" i="36"/>
  <c r="I42" i="36" s="1"/>
  <c r="J42" i="36" s="1"/>
  <c r="H33" i="36"/>
  <c r="I33" i="36" s="1"/>
  <c r="J33" i="36" s="1"/>
  <c r="H43" i="36"/>
  <c r="I43" i="36" s="1"/>
  <c r="J43" i="36" s="1"/>
  <c r="H34" i="36"/>
  <c r="I34" i="36" s="1"/>
  <c r="J34" i="36" s="1"/>
  <c r="H38" i="36"/>
  <c r="I38" i="36" s="1"/>
  <c r="J38" i="36" s="1"/>
  <c r="D38" i="37" l="1"/>
  <c r="G38" i="37" s="1"/>
  <c r="G26" i="40"/>
  <c r="G27" i="40" s="1"/>
  <c r="D33" i="37"/>
  <c r="G33" i="37" s="1"/>
  <c r="G21" i="40"/>
  <c r="G8" i="40"/>
  <c r="D19" i="37"/>
  <c r="G19" i="37" s="1"/>
  <c r="D34" i="37"/>
  <c r="G34" i="37" s="1"/>
  <c r="G22" i="40"/>
  <c r="D27" i="37"/>
  <c r="G27" i="37" s="1"/>
  <c r="G16" i="40"/>
  <c r="D42" i="37"/>
  <c r="G42" i="37" s="1"/>
  <c r="G30" i="40"/>
  <c r="D41" i="37"/>
  <c r="G41" i="37" s="1"/>
  <c r="G29" i="40"/>
  <c r="G28" i="40"/>
  <c r="D40" i="37"/>
  <c r="G40" i="37" s="1"/>
  <c r="D20" i="37"/>
  <c r="G20" i="37" s="1"/>
  <c r="G9" i="40"/>
  <c r="D24" i="37"/>
  <c r="G24" i="37" s="1"/>
  <c r="G13" i="40"/>
  <c r="G11" i="40"/>
  <c r="G12" i="40" s="1"/>
  <c r="D22" i="37"/>
  <c r="G22" i="37" s="1"/>
  <c r="G31" i="40"/>
  <c r="D43" i="37"/>
  <c r="G43" i="37" s="1"/>
  <c r="G15" i="40"/>
  <c r="D26" i="37"/>
  <c r="G26" i="37" s="1"/>
  <c r="G23" i="40"/>
  <c r="D35" i="37"/>
  <c r="G35" i="37" s="1"/>
  <c r="G7" i="40"/>
  <c r="D18" i="37"/>
  <c r="G18" i="37" s="1"/>
  <c r="D17" i="37"/>
  <c r="G17" i="37" s="1"/>
  <c r="G6" i="40"/>
  <c r="D25" i="37"/>
  <c r="G25" i="37" s="1"/>
  <c r="G14" i="40"/>
  <c r="G44" i="37" l="1"/>
  <c r="G28" i="37"/>
  <c r="H26" i="37" s="1"/>
  <c r="I26" i="37" s="1"/>
  <c r="J26" i="37" s="1"/>
  <c r="H22" i="37"/>
  <c r="I22" i="37" s="1"/>
  <c r="J22" i="37" s="1"/>
  <c r="H42" i="37"/>
  <c r="I42" i="37" s="1"/>
  <c r="J42" i="37" s="1"/>
  <c r="H27" i="37"/>
  <c r="I27" i="37" s="1"/>
  <c r="J27" i="37" s="1"/>
  <c r="H24" i="37"/>
  <c r="I24" i="37" s="1"/>
  <c r="J24" i="37" s="1"/>
  <c r="H15" i="40" l="1"/>
  <c r="D26" i="38"/>
  <c r="G26" i="38" s="1"/>
  <c r="H30" i="40"/>
  <c r="D42" i="38"/>
  <c r="G42" i="38" s="1"/>
  <c r="H39" i="37"/>
  <c r="I39" i="37" s="1"/>
  <c r="J39" i="37" s="1"/>
  <c r="D39" i="38" s="1"/>
  <c r="H36" i="37"/>
  <c r="I36" i="37" s="1"/>
  <c r="J36" i="37" s="1"/>
  <c r="H37" i="37"/>
  <c r="I37" i="37" s="1"/>
  <c r="J37" i="37" s="1"/>
  <c r="D24" i="38"/>
  <c r="G24" i="38" s="1"/>
  <c r="H13" i="40"/>
  <c r="H11" i="40"/>
  <c r="H12" i="40" s="1"/>
  <c r="D22" i="38"/>
  <c r="G22" i="38" s="1"/>
  <c r="H41" i="37"/>
  <c r="I41" i="37" s="1"/>
  <c r="J41" i="37" s="1"/>
  <c r="H33" i="37"/>
  <c r="I33" i="37" s="1"/>
  <c r="J33" i="37" s="1"/>
  <c r="H43" i="37"/>
  <c r="I43" i="37" s="1"/>
  <c r="J43" i="37" s="1"/>
  <c r="H34" i="37"/>
  <c r="I34" i="37" s="1"/>
  <c r="J34" i="37" s="1"/>
  <c r="D27" i="38"/>
  <c r="G27" i="38" s="1"/>
  <c r="H16" i="40"/>
  <c r="H23" i="37"/>
  <c r="I23" i="37" s="1"/>
  <c r="J23" i="37" s="1"/>
  <c r="D23" i="38" s="1"/>
  <c r="H28" i="37"/>
  <c r="H21" i="37"/>
  <c r="I21" i="37" s="1"/>
  <c r="J21" i="37" s="1"/>
  <c r="H17" i="37"/>
  <c r="I17" i="37" s="1"/>
  <c r="J17" i="37" s="1"/>
  <c r="H19" i="37"/>
  <c r="I19" i="37" s="1"/>
  <c r="J19" i="37" s="1"/>
  <c r="H18" i="37"/>
  <c r="I18" i="37" s="1"/>
  <c r="J18" i="37" s="1"/>
  <c r="H38" i="37"/>
  <c r="I38" i="37" s="1"/>
  <c r="J38" i="37" s="1"/>
  <c r="H40" i="37"/>
  <c r="I40" i="37" s="1"/>
  <c r="J40" i="37" s="1"/>
  <c r="H20" i="37"/>
  <c r="I20" i="37" s="1"/>
  <c r="J20" i="37" s="1"/>
  <c r="H25" i="37"/>
  <c r="I25" i="37" s="1"/>
  <c r="J25" i="37" s="1"/>
  <c r="H35" i="37"/>
  <c r="I35" i="37" s="1"/>
  <c r="J35" i="37" s="1"/>
  <c r="H22" i="40" l="1"/>
  <c r="D34" i="38"/>
  <c r="G34" i="38" s="1"/>
  <c r="H28" i="40"/>
  <c r="D40" i="38"/>
  <c r="G40" i="38" s="1"/>
  <c r="H31" i="40"/>
  <c r="D43" i="38"/>
  <c r="G43" i="38" s="1"/>
  <c r="D20" i="38"/>
  <c r="G20" i="38" s="1"/>
  <c r="H9" i="40"/>
  <c r="D33" i="38"/>
  <c r="G33" i="38" s="1"/>
  <c r="H21" i="40"/>
  <c r="D41" i="38"/>
  <c r="G41" i="38" s="1"/>
  <c r="H29" i="40"/>
  <c r="H25" i="40"/>
  <c r="D37" i="38"/>
  <c r="G37" i="38" s="1"/>
  <c r="D36" i="38"/>
  <c r="G36" i="38" s="1"/>
  <c r="H24" i="40"/>
  <c r="H10" i="40"/>
  <c r="D21" i="38"/>
  <c r="G21" i="38" s="1"/>
  <c r="D35" i="38"/>
  <c r="G35" i="38" s="1"/>
  <c r="H23" i="40"/>
  <c r="H14" i="40"/>
  <c r="D25" i="38"/>
  <c r="G25" i="38" s="1"/>
  <c r="H26" i="40"/>
  <c r="H27" i="40" s="1"/>
  <c r="D38" i="38"/>
  <c r="G38" i="38" s="1"/>
  <c r="H7" i="40"/>
  <c r="D18" i="38"/>
  <c r="G18" i="38" s="1"/>
  <c r="H8" i="40"/>
  <c r="D19" i="38"/>
  <c r="G19" i="38" s="1"/>
  <c r="H6" i="40"/>
  <c r="D17" i="38"/>
  <c r="G17" i="38" s="1"/>
  <c r="G44" i="38" l="1"/>
  <c r="H35" i="38"/>
  <c r="I35" i="38" s="1"/>
  <c r="J35" i="38" s="1"/>
  <c r="H38" i="38"/>
  <c r="I38" i="38" s="1"/>
  <c r="J38" i="38" s="1"/>
  <c r="H43" i="38"/>
  <c r="I43" i="38" s="1"/>
  <c r="J43" i="38" s="1"/>
  <c r="H36" i="38"/>
  <c r="I36" i="38" s="1"/>
  <c r="J36" i="38" s="1"/>
  <c r="H34" i="38"/>
  <c r="I34" i="38" s="1"/>
  <c r="J34" i="38" s="1"/>
  <c r="H40" i="38"/>
  <c r="I40" i="38" s="1"/>
  <c r="J40" i="38" s="1"/>
  <c r="G28" i="38"/>
  <c r="H23" i="38" l="1"/>
  <c r="I23" i="38" s="1"/>
  <c r="J23" i="38" s="1"/>
  <c r="D23" i="39" s="1"/>
  <c r="H28" i="38"/>
  <c r="H24" i="38"/>
  <c r="I24" i="38" s="1"/>
  <c r="J24" i="38" s="1"/>
  <c r="H26" i="38"/>
  <c r="I26" i="38" s="1"/>
  <c r="J26" i="38" s="1"/>
  <c r="H27" i="38"/>
  <c r="I27" i="38" s="1"/>
  <c r="J27" i="38" s="1"/>
  <c r="H22" i="38"/>
  <c r="I22" i="38" s="1"/>
  <c r="J22" i="38" s="1"/>
  <c r="I31" i="40"/>
  <c r="D43" i="39"/>
  <c r="G43" i="39" s="1"/>
  <c r="H17" i="38"/>
  <c r="I17" i="38" s="1"/>
  <c r="J17" i="38" s="1"/>
  <c r="H20" i="38"/>
  <c r="I20" i="38" s="1"/>
  <c r="J20" i="38" s="1"/>
  <c r="D36" i="39"/>
  <c r="G36" i="39" s="1"/>
  <c r="I24" i="40"/>
  <c r="D35" i="39"/>
  <c r="G35" i="39" s="1"/>
  <c r="I23" i="40"/>
  <c r="D40" i="39"/>
  <c r="G40" i="39" s="1"/>
  <c r="I28" i="40"/>
  <c r="H21" i="38"/>
  <c r="I21" i="38" s="1"/>
  <c r="J21" i="38" s="1"/>
  <c r="H25" i="38"/>
  <c r="I25" i="38" s="1"/>
  <c r="J25" i="38" s="1"/>
  <c r="I22" i="40"/>
  <c r="D34" i="39"/>
  <c r="G34" i="39" s="1"/>
  <c r="D38" i="39"/>
  <c r="G38" i="39" s="1"/>
  <c r="I26" i="40"/>
  <c r="I27" i="40" s="1"/>
  <c r="H39" i="38"/>
  <c r="I39" i="38" s="1"/>
  <c r="J39" i="38" s="1"/>
  <c r="D39" i="39" s="1"/>
  <c r="H42" i="38"/>
  <c r="I42" i="38" s="1"/>
  <c r="J42" i="38" s="1"/>
  <c r="H33" i="38"/>
  <c r="I33" i="38" s="1"/>
  <c r="J33" i="38" s="1"/>
  <c r="H41" i="38"/>
  <c r="I41" i="38" s="1"/>
  <c r="J41" i="38" s="1"/>
  <c r="H18" i="38"/>
  <c r="I18" i="38" s="1"/>
  <c r="J18" i="38" s="1"/>
  <c r="H37" i="38"/>
  <c r="I37" i="38" s="1"/>
  <c r="J37" i="38" s="1"/>
  <c r="H19" i="38"/>
  <c r="I19" i="38" s="1"/>
  <c r="J19" i="38" s="1"/>
  <c r="D19" i="39" l="1"/>
  <c r="G19" i="39" s="1"/>
  <c r="I8" i="40"/>
  <c r="I29" i="40"/>
  <c r="D41" i="39"/>
  <c r="G41" i="39" s="1"/>
  <c r="I9" i="40"/>
  <c r="D20" i="39"/>
  <c r="G20" i="39" s="1"/>
  <c r="I30" i="40"/>
  <c r="D42" i="39"/>
  <c r="G42" i="39" s="1"/>
  <c r="I11" i="40"/>
  <c r="I12" i="40" s="1"/>
  <c r="D22" i="39"/>
  <c r="G22" i="39" s="1"/>
  <c r="D24" i="39"/>
  <c r="G24" i="39" s="1"/>
  <c r="I13" i="40"/>
  <c r="D37" i="39"/>
  <c r="G37" i="39" s="1"/>
  <c r="I25" i="40"/>
  <c r="I14" i="40"/>
  <c r="D25" i="39"/>
  <c r="G25" i="39" s="1"/>
  <c r="D18" i="39"/>
  <c r="G18" i="39" s="1"/>
  <c r="I7" i="40"/>
  <c r="D33" i="39"/>
  <c r="G33" i="39" s="1"/>
  <c r="I21" i="40"/>
  <c r="D17" i="39"/>
  <c r="G17" i="39" s="1"/>
  <c r="I6" i="40"/>
  <c r="D27" i="39"/>
  <c r="G27" i="39" s="1"/>
  <c r="I16" i="40"/>
  <c r="I15" i="40"/>
  <c r="D26" i="39"/>
  <c r="G26" i="39" s="1"/>
  <c r="I10" i="40"/>
  <c r="D21" i="39"/>
  <c r="G21" i="39" s="1"/>
  <c r="G28" i="39" l="1"/>
  <c r="H25" i="39" s="1"/>
  <c r="I25" i="39" s="1"/>
  <c r="J25" i="39" s="1"/>
  <c r="J14" i="40" s="1"/>
  <c r="G44" i="39"/>
  <c r="H41" i="39"/>
  <c r="I41" i="39" s="1"/>
  <c r="J41" i="39" s="1"/>
  <c r="J29" i="40" s="1"/>
  <c r="H19" i="39"/>
  <c r="I19" i="39" s="1"/>
  <c r="J19" i="39" s="1"/>
  <c r="J8" i="40" s="1"/>
  <c r="H39" i="39" l="1"/>
  <c r="I39" i="39" s="1"/>
  <c r="J39" i="39" s="1"/>
  <c r="H34" i="39"/>
  <c r="I34" i="39" s="1"/>
  <c r="J34" i="39" s="1"/>
  <c r="J22" i="40" s="1"/>
  <c r="H43" i="39"/>
  <c r="I43" i="39" s="1"/>
  <c r="J43" i="39" s="1"/>
  <c r="J31" i="40" s="1"/>
  <c r="H35" i="39"/>
  <c r="I35" i="39" s="1"/>
  <c r="J35" i="39" s="1"/>
  <c r="J23" i="40" s="1"/>
  <c r="H36" i="39"/>
  <c r="I36" i="39" s="1"/>
  <c r="J36" i="39" s="1"/>
  <c r="J24" i="40" s="1"/>
  <c r="H40" i="39"/>
  <c r="I40" i="39" s="1"/>
  <c r="J40" i="39" s="1"/>
  <c r="J28" i="40" s="1"/>
  <c r="H38" i="39"/>
  <c r="I38" i="39" s="1"/>
  <c r="J38" i="39" s="1"/>
  <c r="J26" i="40" s="1"/>
  <c r="J27" i="40" s="1"/>
  <c r="H33" i="39"/>
  <c r="I33" i="39" s="1"/>
  <c r="J33" i="39" s="1"/>
  <c r="J21" i="40" s="1"/>
  <c r="H28" i="39"/>
  <c r="H23" i="39"/>
  <c r="I23" i="39" s="1"/>
  <c r="J23" i="39" s="1"/>
  <c r="H17" i="39"/>
  <c r="I17" i="39" s="1"/>
  <c r="J17" i="39" s="1"/>
  <c r="J6" i="40" s="1"/>
  <c r="H37" i="39"/>
  <c r="I37" i="39" s="1"/>
  <c r="J37" i="39" s="1"/>
  <c r="J25" i="40" s="1"/>
  <c r="H21" i="39"/>
  <c r="I21" i="39" s="1"/>
  <c r="J21" i="39" s="1"/>
  <c r="J10" i="40" s="1"/>
  <c r="H20" i="39"/>
  <c r="I20" i="39" s="1"/>
  <c r="J20" i="39" s="1"/>
  <c r="J9" i="40" s="1"/>
  <c r="H22" i="39"/>
  <c r="I22" i="39" s="1"/>
  <c r="J22" i="39" s="1"/>
  <c r="J11" i="40" s="1"/>
  <c r="J12" i="40" s="1"/>
  <c r="H27" i="39"/>
  <c r="I27" i="39" s="1"/>
  <c r="J27" i="39" s="1"/>
  <c r="J16" i="40" s="1"/>
  <c r="H18" i="39"/>
  <c r="I18" i="39" s="1"/>
  <c r="J18" i="39" s="1"/>
  <c r="J7" i="40" s="1"/>
  <c r="H42" i="39"/>
  <c r="I42" i="39" s="1"/>
  <c r="J42" i="39" s="1"/>
  <c r="J30" i="40" s="1"/>
  <c r="H24" i="39"/>
  <c r="I24" i="39" s="1"/>
  <c r="J24" i="39" s="1"/>
  <c r="J13" i="40" s="1"/>
  <c r="H26" i="39"/>
  <c r="I26" i="39" s="1"/>
  <c r="J26" i="39" s="1"/>
  <c r="J15" i="40" s="1"/>
  <c r="T19" i="26" l="1"/>
  <c r="T27" i="26"/>
  <c r="T17" i="26"/>
  <c r="T25" i="26"/>
  <c r="T20" i="26"/>
  <c r="T21" i="26"/>
  <c r="T22" i="26"/>
  <c r="T23" i="26" s="1"/>
  <c r="T26" i="26"/>
  <c r="I40" i="26" l="1"/>
  <c r="S25" i="26" l="1"/>
  <c r="S24" i="26"/>
  <c r="S20" i="26"/>
  <c r="S26" i="26"/>
  <c r="S19" i="26"/>
  <c r="S22" i="26"/>
  <c r="S23" i="26" s="1"/>
  <c r="S18" i="26"/>
  <c r="S21" i="26"/>
  <c r="S17" i="26"/>
  <c r="S27" i="26"/>
</calcChain>
</file>

<file path=xl/sharedStrings.xml><?xml version="1.0" encoding="utf-8"?>
<sst xmlns="http://schemas.openxmlformats.org/spreadsheetml/2006/main" count="2050" uniqueCount="224">
  <si>
    <t>Alectra Utilities Corporation-Brampton Rate Zone</t>
  </si>
  <si>
    <t xml:space="preserve">2026 RTSR Workform 
for Electricity Distributors
</t>
  </si>
  <si>
    <t>Alectra Utilities Corporation-Enersource Rate Zone</t>
  </si>
  <si>
    <t xml:space="preserve">v 1.0
</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</si>
  <si>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</si>
  <si>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</si>
  <si>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</si>
  <si>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</si>
  <si>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</si>
  <si>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</si>
  <si>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Burlington Hydro Inc.</t>
  </si>
  <si>
    <t>Canadian Niagara Power Inc.</t>
  </si>
  <si>
    <t>Centre Wellington Hydro Ltd.</t>
  </si>
  <si>
    <t>Chapleau Public Utilities Corporation</t>
  </si>
  <si>
    <t>Drop-down lists are shaded blue; Input cells are shaded green.</t>
  </si>
  <si>
    <t>Cooperative Hydro Embrun Inc.</t>
  </si>
  <si>
    <t>E.L.K. Energy Inc.</t>
  </si>
  <si>
    <t xml:space="preserve">Utility Name   </t>
  </si>
  <si>
    <t>Elexicon Energy Inc.</t>
  </si>
  <si>
    <t>Elexicon Energy Inc.-Whitby Rate Zone</t>
  </si>
  <si>
    <t>Elexicon Energy Inc.-Veridian Rate Zone</t>
  </si>
  <si>
    <t>Assigned EB Number</t>
  </si>
  <si>
    <t>EB-2025-0312</t>
  </si>
  <si>
    <t>Enova Power Corp.-Kitchener-Wilmot Hydro Rate Zone</t>
  </si>
  <si>
    <t>Enova Power Corp.-Waterloo North Rate Zone</t>
  </si>
  <si>
    <t>Name and Title of Contact</t>
  </si>
  <si>
    <t>Erin Stevens, Director, Regulatory Affairs</t>
  </si>
  <si>
    <t>Entegrus Powerlines Inc.-For Entegrus-Main Rate Zone</t>
  </si>
  <si>
    <t>Entegrus Powerlines Inc.-For Former St. Thomas Energy Rate Zone</t>
  </si>
  <si>
    <t>Phone Number</t>
  </si>
  <si>
    <t>ENWIN Utilities Ltd.</t>
  </si>
  <si>
    <t>EPCOR Electricity Distribution Ontario Inc.</t>
  </si>
  <si>
    <t>Email Address</t>
  </si>
  <si>
    <t>estevens@elexiconenergy.com</t>
  </si>
  <si>
    <t>ERTH Power Corporation - ERTH Power Main Rate Zone</t>
  </si>
  <si>
    <t>ERTH POWER CORPORATION – GODERICH RATE ZONE</t>
  </si>
  <si>
    <t>Last COS Re-based Year</t>
  </si>
  <si>
    <t>Espanola Regional Hydro Distribution Corporation</t>
  </si>
  <si>
    <t>Essex Powerlines Corporation</t>
  </si>
  <si>
    <t>Test Year</t>
  </si>
  <si>
    <t>Festival Hydro Inc.</t>
  </si>
  <si>
    <t>Fort Frances Power Corporation</t>
  </si>
  <si>
    <t xml:space="preserve">GrandBridge Energy Inc.-Brantford Power Rate Zone </t>
  </si>
  <si>
    <t xml:space="preserve">GrandBridge Energy Inc.-Energy+ Rate Zone </t>
  </si>
  <si>
    <t>Greater Sudbury Hydro Inc.</t>
  </si>
  <si>
    <t>Grimsby Power Incorporated</t>
  </si>
  <si>
    <t>Halton Hills Hydro Inc.</t>
  </si>
  <si>
    <t>Hearst Power Distribution Co. Ltd.</t>
  </si>
  <si>
    <t>Hydro 2000 Inc.</t>
  </si>
  <si>
    <t>Hydro Hawkesbury Inc.</t>
  </si>
  <si>
    <t>Hydro One Networks Inc.</t>
  </si>
  <si>
    <t>Hydro One Networks Inc.-Former Orillia Power Distribution Corporation Service Area</t>
  </si>
  <si>
    <t>Hydro One Networks Inc.-Former Peterborough Distribution Inc. Service Area</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</si>
  <si>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</si>
  <si>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</si>
  <si>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</si>
  <si>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</si>
  <si>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Hydro Ottawa Limited</t>
  </si>
  <si>
    <t>InnPower Corporation</t>
  </si>
  <si>
    <t>Kingston Hydro Corporation</t>
  </si>
  <si>
    <t>Lakefront Utilities Inc.</t>
  </si>
  <si>
    <t>Lakeland Power Distribution Ltd.</t>
  </si>
  <si>
    <t>London Hydro Inc.</t>
  </si>
  <si>
    <t>Milton Hydro Distribution Inc.</t>
  </si>
  <si>
    <t>Newmarket-Tay Power Distribution Ltd.-For Former Midland Power Utility Rate Zone</t>
  </si>
  <si>
    <t>Newmarket-Tay Power Distribution Ltd.-For Newmarket-Tay Power Main Rate Zone</t>
  </si>
  <si>
    <t>Niagara Peninsula Energy Inc.</t>
  </si>
  <si>
    <t>Niagara-on-the-Lake Hydro Inc.</t>
  </si>
  <si>
    <t>North Bay Hydro Distribution Limited</t>
  </si>
  <si>
    <t>Northern Ontario Wires Inc.</t>
  </si>
  <si>
    <t>Oakville Hydro Electricity Distribution Inc.</t>
  </si>
  <si>
    <t>Orangeville Hydro Limited</t>
  </si>
  <si>
    <t>Oshawa PUC Networks Inc.</t>
  </si>
  <si>
    <t>Ottawa River Power Corporation</t>
  </si>
  <si>
    <t>PUC Distribution Inc.</t>
  </si>
  <si>
    <t>Renfrew Hydro Inc.</t>
  </si>
  <si>
    <t>Rideau St. Lawrence Distribution Inc.</t>
  </si>
  <si>
    <t>Sioux Lookout Hydro Inc.</t>
  </si>
  <si>
    <t>Synergy North Corporation-Kenora Rate Zone</t>
  </si>
  <si>
    <t xml:space="preserve">Synergy North Corporation-Thunder Bay Rate Zone </t>
  </si>
  <si>
    <t>Tillsonburg Hydro Inc.</t>
  </si>
  <si>
    <t>Toronto Hydro-Electric System Limited</t>
  </si>
  <si>
    <t>Wasaga Distribution Inc.</t>
  </si>
  <si>
    <t>Welland Hydro-Electric System Corp.</t>
  </si>
  <si>
    <t>Wellington North Power Inc.</t>
  </si>
  <si>
    <t>Westario Power Inc.</t>
  </si>
  <si>
    <t>1. Info</t>
  </si>
  <si>
    <t>5. Historical Wholesale</t>
  </si>
  <si>
    <t>2. Table of Contents</t>
  </si>
  <si>
    <t>6. Current Wholesale</t>
  </si>
  <si>
    <t>3. RRR Data</t>
  </si>
  <si>
    <t>7. Forecast Wholesale</t>
  </si>
  <si>
    <t>4. UTRs and Sub-Transmission</t>
  </si>
  <si>
    <t>8. RTSR Rates to Forecast</t>
  </si>
  <si>
    <t>9. LV Rates</t>
  </si>
  <si>
    <t>Columns E and F have been populated with data from the most recent RRR filing. Rate classes that have more than one Network or Connection charge will notice that the cells are highlighted in green and unlocked.  
If the data needs to be modified, please make the necessary adjustments and note the changes in your manager's summary. As well, the Loss Factor has been imported from Tab 2.</t>
  </si>
  <si>
    <t>EV Multiplier:</t>
  </si>
  <si>
    <t>Rate Class</t>
  </si>
  <si>
    <t>Rate Description</t>
  </si>
  <si>
    <t>Unit</t>
  </si>
  <si>
    <t>Rate</t>
  </si>
  <si>
    <t>Non-Loss Adjusted Metered kWh</t>
  </si>
  <si>
    <t>Non-Loss Adjusted Metered kW</t>
  </si>
  <si>
    <t>Applicable Loss Factor</t>
  </si>
  <si>
    <t>Loss Adjusted Billed kWh</t>
  </si>
  <si>
    <t>Veridian Rate Zone</t>
  </si>
  <si>
    <t>Residential Service Classification</t>
  </si>
  <si>
    <t>Retail Transmission Rate - Network Service Rate</t>
  </si>
  <si>
    <t>$/kWh</t>
  </si>
  <si>
    <t>Retail Transmission Rate - Line and Transformation Connection Service Rate</t>
  </si>
  <si>
    <t>Seasonal Residential Service Classification</t>
  </si>
  <si>
    <t>General Service Less Than 50 kW Service Classification</t>
  </si>
  <si>
    <t>General Service 50 To 2,999 kW Service Classification</t>
  </si>
  <si>
    <t>$/kW</t>
  </si>
  <si>
    <t>Retail Transmission Rate - Network Service Rate - EV CHARGING</t>
  </si>
  <si>
    <t>Retail Transmission Rate - Line and Transformation Connection Service Rate - EV CHARGING</t>
  </si>
  <si>
    <t>General Service 3,000 To 4,999 kW Service Classification</t>
  </si>
  <si>
    <t xml:space="preserve">Retail Transmission Rate - Line and Transformation Connection Service Rate </t>
  </si>
  <si>
    <t>Retail Transmission Rate - Line and Transformation Connection Service Rate  - EV CHARGING</t>
  </si>
  <si>
    <t>Large Use Service Classification</t>
  </si>
  <si>
    <t>Unmetered Scattered Load Service Classification</t>
  </si>
  <si>
    <t>Sentinel Lighting Service Classification</t>
  </si>
  <si>
    <t>Street Lighting Service Classification</t>
  </si>
  <si>
    <t>Whitby Rate Zone</t>
  </si>
  <si>
    <t>General Service 50 To 4,999 kW Service Classification</t>
  </si>
  <si>
    <t>HONI Revenue Requirements</t>
  </si>
  <si>
    <t>Revenue Requirement</t>
  </si>
  <si>
    <t>EB-2021-0110 Settlement Agreement, Attachment 1, Schedule 2.3</t>
  </si>
  <si>
    <t>Network</t>
  </si>
  <si>
    <t>Forecast UTRs</t>
  </si>
  <si>
    <t>RR</t>
  </si>
  <si>
    <t>Connection</t>
  </si>
  <si>
    <t>Transformation</t>
  </si>
  <si>
    <t>Uniform Transmission Rates</t>
  </si>
  <si>
    <t>2024
Jan to Jun</t>
  </si>
  <si>
    <t>2024
Jul to Dec</t>
  </si>
  <si>
    <t>2025
Jan to Jun</t>
  </si>
  <si>
    <t>2025
Jul to Dec</t>
  </si>
  <si>
    <t>MW</t>
  </si>
  <si>
    <t>Average Increases</t>
  </si>
  <si>
    <t>Network Service Rate</t>
  </si>
  <si>
    <t>kW</t>
  </si>
  <si>
    <t>UTR</t>
  </si>
  <si>
    <t>Line Connection Service Rate</t>
  </si>
  <si>
    <t>Transformation Connection Service Rate</t>
  </si>
  <si>
    <t>Hydro One Sub-Transmission Rates</t>
  </si>
  <si>
    <t>Total</t>
  </si>
  <si>
    <t>2027 Revenue Requirement</t>
  </si>
  <si>
    <t>ST Common Line Charge (Monthly $/kW)</t>
  </si>
  <si>
    <t>LVDS Low Rate (Monthly, $/kW)</t>
  </si>
  <si>
    <t>ST Specific Line Rate (Monthly, per kM)</t>
  </si>
  <si>
    <t>Both Line and Transformation Connection Service Rate</t>
  </si>
  <si>
    <t>If needed, add extra host here. (I)</t>
  </si>
  <si>
    <t>If needed, add extra host here. (II)</t>
  </si>
  <si>
    <t>Low Voltage Switchgear Credit (if applicable, enter as a negative value)</t>
  </si>
  <si>
    <t>$</t>
  </si>
  <si>
    <t xml:space="preserve">In the green shaded cells, enter billing detail for wholesale transmission for the same reporting period as the billing determinants on Tab 10. For Hydro One Sub-transmission Rates, if you are charged a combined Line and Transformer connection rate, please ensure that both the Line Connection and Transformation Connection columns are completed. 
If any of the Hydro One Sub-transmission rates (column E, I and M) are highlighted in red, please double check the billing data entered in "Units Billed" and "Amount" columns. The highlighted rates do not match the Hydro One Sub-transmission rates approved for that time period. If data has been entered correctly, please provide explanation for the discrepancy in rates.
</t>
  </si>
  <si>
    <t>IESO</t>
  </si>
  <si>
    <t>Line Connection</t>
  </si>
  <si>
    <t>Transformation Connection</t>
  </si>
  <si>
    <t>Total Connection</t>
  </si>
  <si>
    <t>Month</t>
  </si>
  <si>
    <t>Units Billed</t>
  </si>
  <si>
    <t>Amount</t>
  </si>
  <si>
    <t>January</t>
  </si>
  <si>
    <t>February</t>
  </si>
  <si>
    <t>March</t>
  </si>
  <si>
    <t>April</t>
  </si>
  <si>
    <t>May</t>
  </si>
  <si>
    <t>June</t>
  </si>
  <si>
    <t>July</t>
  </si>
  <si>
    <t>August</t>
  </si>
  <si>
    <t>September</t>
  </si>
  <si>
    <t>October</t>
  </si>
  <si>
    <t>November</t>
  </si>
  <si>
    <t>December</t>
  </si>
  <si>
    <t>Hydro One</t>
  </si>
  <si>
    <t>Add Extra Host Here (I)</t>
  </si>
  <si>
    <t>(if needed)</t>
  </si>
  <si>
    <t>Add Extra Host Here (II)</t>
  </si>
  <si>
    <t>Low Voltage Switchgear Credit (if applicable)</t>
  </si>
  <si>
    <t>Total including deduction for Low Voltage Switchgear Credit</t>
  </si>
  <si>
    <t>The purpose of this sheet is to calculate the expected billing when current 2025 Uniform Transmission Rates are applied against historical 2024 transmission units.</t>
  </si>
  <si>
    <t>The purpose of this table is to re-align the current RTS Network Rates to recover current wholesale network costs.</t>
  </si>
  <si>
    <t>By Rate Zone</t>
  </si>
  <si>
    <t>Elexicon</t>
  </si>
  <si>
    <t>Current RTSR-Network</t>
  </si>
  <si>
    <t>Billed kW</t>
  </si>
  <si>
    <t>Billed Amount</t>
  </si>
  <si>
    <t>Billed Amount %</t>
  </si>
  <si>
    <t>Current Wholesale Billing</t>
  </si>
  <si>
    <t>Adjusted RTSR Network</t>
  </si>
  <si>
    <t>Harmonized %</t>
  </si>
  <si>
    <t>Total kWh</t>
  </si>
  <si>
    <t>Total kW</t>
  </si>
  <si>
    <t>Harmonized</t>
  </si>
  <si>
    <t>Veridian</t>
  </si>
  <si>
    <t>Whitby</t>
  </si>
  <si>
    <t>Whibty Rate Zone</t>
  </si>
  <si>
    <t>The purpose of this table is to re-align the current RTS Connection Rates to recover current wholesale connection costs.</t>
  </si>
  <si>
    <t>Current RTSR-Connection</t>
  </si>
  <si>
    <t>Adjusted RTSR-Connection</t>
  </si>
  <si>
    <t>WRZ</t>
  </si>
  <si>
    <t>VRZ</t>
  </si>
  <si>
    <t>Line and Transformation</t>
  </si>
  <si>
    <t>2026 LV Charge</t>
  </si>
  <si>
    <t>2027 Billed kWh/kW</t>
  </si>
  <si>
    <t>Total Billed Amount</t>
  </si>
  <si>
    <t>Residential</t>
  </si>
  <si>
    <t>Low Voltage Charge</t>
  </si>
  <si>
    <t>Seasonal Residential</t>
  </si>
  <si>
    <t>GS &lt;50</t>
  </si>
  <si>
    <t>GS 50 - 2,999 kW</t>
  </si>
  <si>
    <t>GS 3,000 - 4,999 kW</t>
  </si>
  <si>
    <t>Large Use &gt;5MW</t>
  </si>
  <si>
    <t>Unmetered Scattered Load</t>
  </si>
  <si>
    <t>Sentinel</t>
  </si>
  <si>
    <t>Street Light</t>
  </si>
  <si>
    <t>Class Share (Connection RTSRs)</t>
  </si>
  <si>
    <t>Allocated 2027 LV Cost</t>
  </si>
  <si>
    <t>2027 LV Charges</t>
  </si>
  <si>
    <t>Billing Unit</t>
  </si>
  <si>
    <t>kWh</t>
  </si>
  <si>
    <t>LV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</si>
</sst>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44" formatCode="_(&quot;$&quot;* #,##0.00_);_(&quot;$&quot;* \(#,##0.00\);_(&quot;$&quot;* &quot;-&quot;??_);_(@_)"/>
    <numFmt numFmtId="43" formatCode="_(* #,##0.00_);_(* \(#,##0.00\);_(* &quot;-&quot;??_);_(@_)"/>
    <numFmt numFmtId="164" formatCode="&quot;$&quot;#,##0;[Red]\-&quot;$&quot;#,##0"/>
    <numFmt numFmtId="165" formatCode="_-&quot;$&quot;* #,##0.00_-;\-&quot;$&quot;* #,##0.00_-;_-&quot;$&quot;* &quot;-&quot;??_-;_-@_-"/>
    <numFmt numFmtId="166" formatCode="_-* #,##0.00_-;\-* #,##0.00_-;_-* &quot;-&quot;??_-;_-@_-"/>
    <numFmt numFmtId="167" formatCode="_(&quot;$&quot;* #,##0_);_(&quot;$&quot;* \(#,##0\);_(&quot;$&quot;* &quot;-&quot;??_);_(@_)"/>
    <numFmt numFmtId="168" formatCode="_(* #,##0_);_(* \(#,##0\);_(* &quot;-&quot;??_);_(@_)"/>
    <numFmt numFmtId="169" formatCode="0.0000"/>
    <numFmt numFmtId="170" formatCode="0.0%"/>
    <numFmt numFmtId="171" formatCode="#,##0;[Red]\(#,##0\)"/>
    <numFmt numFmtId="172" formatCode="_-&quot;$&quot;* #,##0.0000_-;\-&quot;$&quot;* #,##0.0000_-;_-&quot;$&quot;* &quot;-&quot;??_-;_-@_-"/>
    <numFmt numFmtId="173" formatCode="_-&quot;$&quot;* #,##0_-;\-&quot;$&quot;* #,##0_-;_-&quot;$&quot;* &quot;-&quot;??_-;_-@_-"/>
    <numFmt numFmtId="174" formatCode="_-* #,##0_-;\-* #,##0_-;_-* &quot;-&quot;??_-;_-@_-"/>
    <numFmt numFmtId="175" formatCode="&quot;$&quot;#,##0.0000_);\(&quot;$&quot;#,##0.0000\)"/>
    <numFmt numFmtId="176" formatCode="_(&quot;$&quot;* #,##0.0000_);_(&quot;$&quot;* \(#,##0.0000\);_(&quot;$&quot;* &quot;-&quot;??_);_(@_)"/>
    <numFmt numFmtId="177" formatCode="_(* #,##0.0000_);_(* \(#,##0.0000\);_(* &quot;-&quot;??_);_(@_)"/>
    <numFmt numFmtId="178" formatCode="[$-1009]mmmm\ d\,\ yyyy;@"/>
    <numFmt numFmtId="179" formatCode="_-&quot;$&quot;* #,##0.0000000_-;\-&quot;$&quot;* #,##0.0000000_-;_-&quot;$&quot;* &quot;-&quot;??_-;_-@_-"/>
    <numFmt numFmtId="180" formatCode="0.0000%"/>
    <numFmt numFmtId="181" formatCode="0.00000"/>
  </numFmts>
  <fonts count="34">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color theme="1"/>
      <name val="Arial"/>
      <family val="2"/>
    </font>
    <font>
      <sz val="10"/>
      <color theme="0"/>
      <name val="Arial"/>
      <family val="2"/>
    </font>
    <font>
      <b/>
      <sz val="11"/>
      <name val="Arial"/>
      <family val="2"/>
    </font>
    <font>
      <b/>
      <sz val="10"/>
      <name val="Arial"/>
      <family val="2"/>
    </font>
    <font>
      <b/>
      <sz val="14"/>
      <name val="Arial"/>
      <family val="2"/>
    </font>
    <font>
      <b/>
      <sz val="10"/>
      <color theme="0"/>
      <name val="Arial"/>
      <family val="2"/>
    </font>
    <font>
      <b/>
      <sz val="12"/>
      <name val="Arial"/>
      <family val="2"/>
    </font>
    <font>
      <b/>
      <sz val="12"/>
      <color theme="0"/>
      <name val="Arial"/>
      <family val="2"/>
    </font>
    <font>
      <sz val="12"/>
      <color theme="1"/>
      <name val="Arial"/>
      <family val="2"/>
    </font>
    <font>
      <sz val="12"/>
      <name val="Arial"/>
      <family val="2"/>
    </font>
    <font>
      <sz val="12"/>
      <color indexed="8"/>
      <name val="Arial"/>
      <family val="2"/>
    </font>
    <font>
      <sz val="11"/>
      <color theme="1"/>
      <name val="Arial"/>
      <family val="2"/>
    </font>
    <font>
      <sz val="13"/>
      <color indexed="8"/>
      <name val="Arial"/>
      <family val="2"/>
    </font>
    <font>
      <sz val="13"/>
      <name val="Arial"/>
      <family val="2"/>
    </font>
    <font>
      <b/>
      <sz val="12"/>
      <color indexed="8"/>
      <name val="Arial"/>
      <family val="2"/>
    </font>
    <font>
      <b/>
      <sz val="12"/>
      <color theme="1"/>
      <name val="Arial"/>
      <family val="2"/>
    </font>
    <font>
      <sz val="10"/>
      <name val="Book Antiqua"/>
      <family val="1"/>
    </font>
    <font>
      <b/>
      <sz val="10"/>
      <name val="Book Antiqua"/>
      <family val="1"/>
    </font>
    <font>
      <b/>
      <sz val="10"/>
      <color rgb="FFFF0000"/>
      <name val="Arial"/>
      <family val="2"/>
    </font>
    <font>
      <sz val="10"/>
      <color theme="1"/>
      <name val="Aptos Narrow"/>
      <family val="2"/>
      <scheme val="minor"/>
    </font>
    <font>
      <b/>
      <sz val="10"/>
      <color rgb="FF000000"/>
      <name val="Arial"/>
      <family val="2"/>
    </font>
    <font>
      <sz val="11"/>
      <name val="Calibri"/>
      <family val="2"/>
    </font>
    <font>
      <sz val="14"/>
      <name val="Arial"/>
      <family val="2"/>
    </font>
    <font>
      <b/>
      <sz val="20"/>
      <name val="Arial"/>
      <family val="2"/>
    </font>
    <font>
      <b/>
      <sz val="12"/>
      <color indexed="10"/>
      <name val="Arial"/>
      <family val="2"/>
    </font>
    <font>
      <b/>
      <sz val="12"/>
      <name val="Book Antiqua"/>
      <family val="1"/>
    </font>
    <font>
      <b/>
      <sz val="11"/>
      <color indexed="48"/>
      <name val="Arial"/>
      <family val="2"/>
    </font>
    <font>
      <sz val="11"/>
      <name val="Arial"/>
      <family val="2"/>
    </font>
    <font>
      <u/>
      <sz val="11"/>
      <color theme="10"/>
      <name val="Aptos Narrow"/>
      <family val="2"/>
      <scheme val="minor"/>
    </font>
    <font>
      <b/>
      <u/>
      <sz val="12"/>
      <color indexed="12"/>
      <name val="Arial"/>
      <family val="2"/>
    </font>
  </fonts>
  <fills count="9">
    <fill>
      <patternFill patternType="none"/>
    </fill>
    <fill>
      <patternFill patternType="gray125"/>
    </fill>
    <fill>
      <patternFill patternType="solid">
        <fgColor theme="6" tint="0.79995117038483843"/>
        <bgColor indexed="64"/>
      </patternFill>
    </fill>
    <fill>
      <patternFill patternType="solid">
        <fgColor indexed="9"/>
        <bgColor indexed="64"/>
      </patternFill>
    </fill>
    <fill>
      <patternFill patternType="solid">
        <fgColor theme="3"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4" tint="0.79998168889431442"/>
        <bgColor indexed="64"/>
      </patternFill>
    </fill>
  </fills>
  <borders count="2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indexed="9"/>
      </left>
      <right style="thin">
        <color indexed="9"/>
      </right>
      <top style="thin">
        <color indexed="9"/>
      </top>
      <bottom style="thin">
        <color indexed="9"/>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theme="0"/>
      </left>
      <right style="thin">
        <color theme="0"/>
      </right>
      <top style="thin">
        <color theme="0"/>
      </top>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3" fillId="0" borderId="0"/>
    <xf numFmtId="0" fontId="32" fillId="0" borderId="0" applyNumberFormat="0" applyFill="0" applyBorder="0" applyAlignment="0" applyProtection="0"/>
  </cellStyleXfs>
  <cellXfs count="254">
    <xf numFmtId="0" fontId="0" fillId="0" borderId="0" xfId="0"/>
    <xf numFmtId="0" fontId="3" fillId="0" borderId="0" xfId="5"/>
    <xf numFmtId="0" fontId="5" fillId="0" borderId="0" xfId="5" applyFont="1"/>
    <xf numFmtId="0" fontId="7" fillId="0" borderId="0" xfId="5" applyFont="1" applyAlignment="1">
      <alignment vertical="center" wrapText="1"/>
    </xf>
    <xf numFmtId="0" fontId="8" fillId="0" borderId="1" xfId="0" applyFont="1" applyBorder="1" applyAlignment="1">
      <alignment horizontal="right"/>
    </xf>
    <xf numFmtId="0" fontId="8" fillId="0" borderId="2" xfId="0" applyFont="1" applyBorder="1" applyAlignment="1">
      <alignment horizontal="left"/>
    </xf>
    <xf numFmtId="0" fontId="6" fillId="0" borderId="0" xfId="5" applyFont="1"/>
    <xf numFmtId="0" fontId="6" fillId="0" borderId="0" xfId="5" applyFont="1" applyAlignment="1">
      <alignment horizontal="center" vertical="center"/>
    </xf>
    <xf numFmtId="169" fontId="6" fillId="0" borderId="0" xfId="5" applyNumberFormat="1" applyFont="1" applyAlignment="1">
      <alignment horizontal="center" vertical="center"/>
    </xf>
    <xf numFmtId="3" fontId="6" fillId="0" borderId="0" xfId="5" applyNumberFormat="1" applyFont="1" applyAlignment="1">
      <alignment horizontal="center" vertical="center" wrapText="1"/>
    </xf>
    <xf numFmtId="169" fontId="6" fillId="0" borderId="0" xfId="5" applyNumberFormat="1" applyFont="1" applyAlignment="1">
      <alignment horizontal="center" vertical="center" wrapText="1"/>
    </xf>
    <xf numFmtId="0" fontId="6" fillId="0" borderId="0" xfId="5" applyFont="1" applyAlignment="1">
      <alignment horizontal="center" vertical="center" wrapText="1"/>
    </xf>
    <xf numFmtId="169" fontId="3" fillId="0" borderId="0" xfId="5" applyNumberFormat="1"/>
    <xf numFmtId="3" fontId="3" fillId="0" borderId="0" xfId="5" applyNumberFormat="1"/>
    <xf numFmtId="0" fontId="3" fillId="0" borderId="0" xfId="5" applyAlignment="1">
      <alignment horizontal="center"/>
    </xf>
    <xf numFmtId="169" fontId="3" fillId="0" borderId="0" xfId="5" applyNumberFormat="1" applyAlignment="1">
      <alignment horizontal="center"/>
    </xf>
    <xf numFmtId="171" fontId="3" fillId="0" borderId="0" xfId="5" applyNumberFormat="1"/>
    <xf numFmtId="169" fontId="3" fillId="0" borderId="0" xfId="5" applyNumberFormat="1" applyProtection="1">
      <protection locked="0"/>
    </xf>
    <xf numFmtId="171" fontId="3" fillId="2" borderId="3" xfId="5" applyNumberFormat="1" applyFill="1" applyBorder="1" applyProtection="1">
      <protection locked="0"/>
    </xf>
    <xf numFmtId="171" fontId="3" fillId="2" borderId="4" xfId="5" applyNumberFormat="1" applyFill="1" applyBorder="1" applyProtection="1">
      <protection locked="0"/>
    </xf>
    <xf numFmtId="171" fontId="3" fillId="2" borderId="5" xfId="5" applyNumberFormat="1" applyFill="1" applyBorder="1" applyProtection="1">
      <protection locked="0"/>
    </xf>
    <xf numFmtId="171" fontId="3" fillId="2" borderId="6" xfId="5" applyNumberFormat="1" applyFill="1" applyBorder="1" applyProtection="1">
      <protection locked="0"/>
    </xf>
    <xf numFmtId="171" fontId="3" fillId="2" borderId="7" xfId="5" applyNumberFormat="1" applyFill="1" applyBorder="1" applyProtection="1">
      <protection locked="0"/>
    </xf>
    <xf numFmtId="171" fontId="3" fillId="2" borderId="8" xfId="5" applyNumberFormat="1" applyFill="1" applyBorder="1" applyProtection="1">
      <protection locked="0"/>
    </xf>
    <xf numFmtId="0" fontId="9" fillId="0" borderId="0" xfId="5" applyFont="1" applyAlignment="1">
      <alignment horizontal="left" vertical="center"/>
    </xf>
    <xf numFmtId="0" fontId="9" fillId="0" borderId="0" xfId="5" applyFont="1" applyAlignment="1">
      <alignment horizontal="center" vertical="center" wrapText="1"/>
    </xf>
    <xf numFmtId="0" fontId="3" fillId="3" borderId="0" xfId="5" applyFill="1"/>
    <xf numFmtId="0" fontId="3" fillId="3" borderId="0" xfId="5" applyFill="1" applyAlignment="1">
      <alignment horizontal="center"/>
    </xf>
    <xf numFmtId="0" fontId="10" fillId="3" borderId="0" xfId="5" applyFont="1" applyFill="1" applyAlignment="1">
      <alignment horizontal="center" wrapText="1"/>
    </xf>
    <xf numFmtId="0" fontId="11" fillId="4" borderId="0" xfId="0" applyFont="1" applyFill="1" applyAlignment="1">
      <alignment horizontal="left" vertical="center"/>
    </xf>
    <xf numFmtId="0" fontId="11" fillId="4" borderId="0" xfId="0" applyFont="1" applyFill="1" applyAlignment="1">
      <alignment horizontal="center" vertical="center" wrapText="1"/>
    </xf>
    <xf numFmtId="0" fontId="12" fillId="0" borderId="0" xfId="0" applyFont="1"/>
    <xf numFmtId="0" fontId="11" fillId="0" borderId="0" xfId="0" applyFont="1" applyAlignment="1">
      <alignment horizontal="center" vertical="center" wrapText="1"/>
    </xf>
    <xf numFmtId="0" fontId="10" fillId="0" borderId="0" xfId="0" applyFont="1"/>
    <xf numFmtId="0" fontId="13" fillId="0" borderId="0" xfId="0" applyFont="1"/>
    <xf numFmtId="0" fontId="10" fillId="0" borderId="0" xfId="0" applyFont="1" applyAlignment="1">
      <alignment horizontal="center"/>
    </xf>
    <xf numFmtId="0" fontId="14" fillId="3" borderId="0" xfId="0" applyFont="1" applyFill="1" applyAlignment="1">
      <alignment horizontal="left"/>
    </xf>
    <xf numFmtId="0" fontId="13" fillId="3" borderId="0" xfId="0" applyFont="1" applyFill="1" applyAlignment="1">
      <alignment horizontal="center"/>
    </xf>
    <xf numFmtId="0" fontId="13" fillId="3" borderId="0" xfId="0" applyFont="1" applyFill="1"/>
    <xf numFmtId="44" fontId="10" fillId="5" borderId="0" xfId="6" applyFont="1" applyFill="1" applyProtection="1"/>
    <xf numFmtId="44" fontId="10" fillId="5" borderId="0" xfId="6" applyFont="1" applyFill="1" applyProtection="1">
      <protection locked="0"/>
    </xf>
    <xf numFmtId="44" fontId="10" fillId="0" borderId="0" xfId="6" applyFont="1" applyFill="1" applyProtection="1">
      <protection locked="0"/>
    </xf>
    <xf numFmtId="44" fontId="10" fillId="6" borderId="0" xfId="6" applyFont="1" applyFill="1" applyProtection="1">
      <protection locked="0"/>
    </xf>
    <xf numFmtId="44" fontId="10" fillId="3" borderId="0" xfId="6" applyFont="1" applyFill="1" applyProtection="1"/>
    <xf numFmtId="44" fontId="10" fillId="0" borderId="0" xfId="6" applyFont="1" applyFill="1" applyProtection="1"/>
    <xf numFmtId="0" fontId="10" fillId="3" borderId="0" xfId="0" applyFont="1" applyFill="1"/>
    <xf numFmtId="0" fontId="12" fillId="3" borderId="0" xfId="0" applyFont="1" applyFill="1" applyAlignment="1">
      <alignment horizontal="center"/>
    </xf>
    <xf numFmtId="49" fontId="9" fillId="0" borderId="0" xfId="0" applyNumberFormat="1" applyFont="1" applyAlignment="1">
      <alignment horizontal="center"/>
    </xf>
    <xf numFmtId="0" fontId="4" fillId="3" borderId="0" xfId="0" applyFont="1" applyFill="1"/>
    <xf numFmtId="0" fontId="9" fillId="0" borderId="0" xfId="0" applyFont="1" applyAlignment="1">
      <alignment horizontal="center"/>
    </xf>
    <xf numFmtId="0" fontId="12" fillId="3" borderId="0" xfId="0" applyFont="1" applyFill="1"/>
    <xf numFmtId="0" fontId="10" fillId="3" borderId="0" xfId="0" applyFont="1" applyFill="1" applyAlignment="1">
      <alignment horizontal="center" wrapText="1"/>
    </xf>
    <xf numFmtId="172" fontId="10" fillId="5" borderId="0" xfId="6" applyNumberFormat="1" applyFont="1" applyFill="1" applyProtection="1">
      <protection locked="0"/>
    </xf>
    <xf numFmtId="172" fontId="10" fillId="6" borderId="0" xfId="6" applyNumberFormat="1" applyFont="1" applyFill="1" applyProtection="1">
      <protection locked="0"/>
    </xf>
    <xf numFmtId="172" fontId="10" fillId="3" borderId="0" xfId="6" applyNumberFormat="1" applyFont="1" applyFill="1" applyProtection="1"/>
    <xf numFmtId="0" fontId="0" fillId="3" borderId="0" xfId="0" applyFill="1"/>
    <xf numFmtId="0" fontId="11" fillId="7" borderId="0" xfId="0" applyFont="1" applyFill="1" applyAlignment="1" applyProtection="1">
      <alignment horizontal="left" vertical="center"/>
      <protection locked="0"/>
    </xf>
    <xf numFmtId="0" fontId="9" fillId="7" borderId="0" xfId="0" applyFont="1" applyFill="1" applyAlignment="1">
      <alignment horizontal="center" vertical="center" wrapText="1"/>
    </xf>
    <xf numFmtId="0" fontId="11" fillId="7" borderId="0" xfId="0" applyFont="1" applyFill="1" applyAlignment="1">
      <alignment horizontal="center" vertical="center" wrapText="1"/>
    </xf>
    <xf numFmtId="0" fontId="0" fillId="3" borderId="0" xfId="0" applyFill="1" applyAlignment="1">
      <alignment horizontal="center"/>
    </xf>
    <xf numFmtId="0" fontId="3" fillId="0" borderId="0" xfId="0" applyFont="1"/>
    <xf numFmtId="0" fontId="15" fillId="0" borderId="0" xfId="0" applyFont="1"/>
    <xf numFmtId="0" fontId="16" fillId="3" borderId="0" xfId="0" applyFont="1" applyFill="1" applyAlignment="1">
      <alignment horizontal="left"/>
    </xf>
    <xf numFmtId="0" fontId="17" fillId="3" borderId="0" xfId="0" applyFont="1" applyFill="1" applyAlignment="1">
      <alignment horizontal="center"/>
    </xf>
    <xf numFmtId="0" fontId="17" fillId="3" borderId="0" xfId="0" applyFont="1" applyFill="1"/>
    <xf numFmtId="0" fontId="15" fillId="3" borderId="0" xfId="0" applyFont="1" applyFill="1"/>
    <xf numFmtId="0" fontId="18" fillId="0" borderId="0" xfId="0" applyFont="1" applyAlignment="1">
      <alignment horizontal="center" vertical="center"/>
    </xf>
    <xf numFmtId="0" fontId="18" fillId="0" borderId="0" xfId="0" applyFont="1" applyAlignment="1">
      <alignment horizontal="left" wrapText="1"/>
    </xf>
    <xf numFmtId="0" fontId="13" fillId="0" borderId="0" xfId="0" applyFont="1" applyAlignment="1">
      <alignment horizontal="center"/>
    </xf>
    <xf numFmtId="172" fontId="10" fillId="0" borderId="0" xfId="6" applyNumberFormat="1" applyFont="1" applyFill="1" applyProtection="1"/>
    <xf numFmtId="173" fontId="10" fillId="6" borderId="0" xfId="6" applyNumberFormat="1" applyFont="1" applyFill="1" applyProtection="1">
      <protection locked="0"/>
    </xf>
    <xf numFmtId="0" fontId="9" fillId="4" borderId="0" xfId="5" applyFont="1" applyFill="1" applyAlignment="1">
      <alignment horizontal="center" vertical="center"/>
    </xf>
    <xf numFmtId="0" fontId="7" fillId="0" borderId="0" xfId="5" applyFont="1" applyAlignment="1">
      <alignment horizontal="center" vertical="center"/>
    </xf>
    <xf numFmtId="0" fontId="10" fillId="3" borderId="0" xfId="5" applyFont="1" applyFill="1" applyAlignment="1">
      <alignment wrapText="1"/>
    </xf>
    <xf numFmtId="0" fontId="7" fillId="0" borderId="0" xfId="5" applyFont="1" applyAlignment="1">
      <alignment horizontal="center" wrapText="1"/>
    </xf>
    <xf numFmtId="0" fontId="20" fillId="3" borderId="0" xfId="5" applyFont="1" applyFill="1"/>
    <xf numFmtId="0" fontId="21" fillId="3" borderId="0" xfId="5" applyFont="1" applyFill="1" applyAlignment="1">
      <alignment horizontal="center" wrapText="1"/>
    </xf>
    <xf numFmtId="174" fontId="3" fillId="6" borderId="9" xfId="7" applyNumberFormat="1" applyFont="1" applyFill="1" applyBorder="1" applyProtection="1">
      <protection locked="0"/>
    </xf>
    <xf numFmtId="7" fontId="3" fillId="6" borderId="9" xfId="6" applyNumberFormat="1" applyFont="1" applyFill="1" applyBorder="1" applyAlignment="1" applyProtection="1">
      <alignment horizontal="center"/>
      <protection locked="0"/>
    </xf>
    <xf numFmtId="173" fontId="3" fillId="6" borderId="9" xfId="6" applyNumberFormat="1" applyFont="1" applyFill="1" applyBorder="1" applyProtection="1">
      <protection locked="0"/>
    </xf>
    <xf numFmtId="173" fontId="3" fillId="3" borderId="0" xfId="6" applyNumberFormat="1" applyFont="1" applyFill="1" applyProtection="1"/>
    <xf numFmtId="174" fontId="3" fillId="3" borderId="10" xfId="7" applyNumberFormat="1" applyFont="1" applyFill="1" applyBorder="1" applyProtection="1"/>
    <xf numFmtId="44" fontId="3" fillId="3" borderId="10" xfId="6" applyFont="1" applyFill="1" applyBorder="1" applyProtection="1"/>
    <xf numFmtId="173" fontId="3" fillId="3" borderId="10" xfId="6" applyNumberFormat="1" applyFont="1" applyFill="1" applyBorder="1" applyProtection="1"/>
    <xf numFmtId="175" fontId="3" fillId="2" borderId="9" xfId="6" applyNumberFormat="1" applyFont="1" applyFill="1" applyBorder="1" applyAlignment="1" applyProtection="1">
      <alignment horizontal="center"/>
      <protection locked="0"/>
    </xf>
    <xf numFmtId="176" fontId="3" fillId="3" borderId="10" xfId="6" applyNumberFormat="1" applyFont="1" applyFill="1" applyBorder="1" applyProtection="1"/>
    <xf numFmtId="0" fontId="9" fillId="4" borderId="0" xfId="5" applyFont="1" applyFill="1" applyAlignment="1" applyProtection="1">
      <alignment horizontal="center" vertical="center"/>
      <protection locked="0"/>
    </xf>
    <xf numFmtId="0" fontId="22" fillId="0" borderId="0" xfId="5" applyFont="1" applyAlignment="1">
      <alignment horizontal="center" wrapText="1"/>
    </xf>
    <xf numFmtId="172" fontId="3" fillId="6" borderId="9" xfId="6" applyNumberFormat="1" applyFont="1" applyFill="1" applyBorder="1" applyAlignment="1" applyProtection="1">
      <alignment horizontal="center"/>
      <protection locked="0"/>
    </xf>
    <xf numFmtId="173" fontId="23" fillId="6" borderId="9" xfId="6" applyNumberFormat="1" applyFont="1" applyFill="1" applyBorder="1" applyProtection="1">
      <protection locked="0"/>
    </xf>
    <xf numFmtId="0" fontId="7" fillId="3" borderId="0" xfId="5" applyFont="1" applyFill="1" applyAlignment="1">
      <alignment horizontal="center" wrapText="1"/>
    </xf>
    <xf numFmtId="174" fontId="3" fillId="3" borderId="0" xfId="7" applyNumberFormat="1" applyFont="1" applyFill="1" applyProtection="1"/>
    <xf numFmtId="172" fontId="3" fillId="3" borderId="9" xfId="6" applyNumberFormat="1" applyFont="1" applyFill="1" applyBorder="1" applyProtection="1"/>
    <xf numFmtId="0" fontId="3" fillId="0" borderId="0" xfId="5" applyAlignment="1">
      <alignment vertical="top"/>
    </xf>
    <xf numFmtId="0" fontId="7" fillId="0" borderId="0" xfId="5" applyFont="1" applyAlignment="1">
      <alignment horizontal="right" vertical="top"/>
    </xf>
    <xf numFmtId="173" fontId="3" fillId="5" borderId="0" xfId="6" applyNumberFormat="1" applyFont="1" applyFill="1" applyProtection="1"/>
    <xf numFmtId="0" fontId="7" fillId="0" borderId="0" xfId="5" applyFont="1" applyAlignment="1">
      <alignment horizontal="right"/>
    </xf>
    <xf numFmtId="174" fontId="3" fillId="3" borderId="9" xfId="7" applyNumberFormat="1" applyFont="1" applyFill="1" applyBorder="1" applyProtection="1"/>
    <xf numFmtId="173" fontId="3" fillId="3" borderId="9" xfId="6" applyNumberFormat="1" applyFont="1" applyFill="1" applyBorder="1" applyProtection="1"/>
    <xf numFmtId="0" fontId="3" fillId="0" borderId="0" xfId="5" applyAlignment="1">
      <alignment horizontal="center" vertical="center"/>
    </xf>
    <xf numFmtId="169" fontId="3" fillId="0" borderId="0" xfId="5" applyNumberFormat="1" applyAlignment="1">
      <alignment horizontal="center" vertical="center"/>
    </xf>
    <xf numFmtId="174" fontId="3" fillId="0" borderId="0" xfId="5" applyNumberFormat="1" applyAlignment="1">
      <alignment horizontal="center" vertical="center"/>
    </xf>
    <xf numFmtId="170" fontId="3" fillId="0" borderId="0" xfId="5" applyNumberFormat="1" applyAlignment="1">
      <alignment horizontal="center" vertical="center"/>
    </xf>
    <xf numFmtId="0" fontId="10" fillId="0" borderId="0" xfId="5" applyFont="1"/>
    <xf numFmtId="0" fontId="10" fillId="0" borderId="0" xfId="5" applyFont="1" applyAlignment="1">
      <alignment horizontal="left" vertical="center" wrapText="1"/>
    </xf>
    <xf numFmtId="0" fontId="10" fillId="0" borderId="0" xfId="5" applyFont="1" applyAlignment="1">
      <alignment horizontal="center" vertical="center" wrapText="1"/>
    </xf>
    <xf numFmtId="169" fontId="10" fillId="0" borderId="0" xfId="5" applyNumberFormat="1" applyFont="1" applyAlignment="1">
      <alignment horizontal="center" vertical="center" wrapText="1"/>
    </xf>
    <xf numFmtId="174" fontId="10" fillId="0" borderId="0" xfId="5" applyNumberFormat="1" applyFont="1" applyAlignment="1">
      <alignment horizontal="center" vertical="center" wrapText="1"/>
    </xf>
    <xf numFmtId="174" fontId="10" fillId="5" borderId="0" xfId="5" applyNumberFormat="1" applyFont="1" applyFill="1" applyAlignment="1">
      <alignment horizontal="center" vertical="center" wrapText="1"/>
    </xf>
    <xf numFmtId="3" fontId="10" fillId="5" borderId="0" xfId="5" applyNumberFormat="1" applyFont="1" applyFill="1" applyAlignment="1">
      <alignment horizontal="center" vertical="center" wrapText="1"/>
    </xf>
    <xf numFmtId="170" fontId="10" fillId="5" borderId="0" xfId="5" applyNumberFormat="1" applyFont="1" applyFill="1" applyAlignment="1">
      <alignment horizontal="center" vertical="center" wrapText="1"/>
    </xf>
    <xf numFmtId="169" fontId="10" fillId="5" borderId="0" xfId="5" applyNumberFormat="1" applyFont="1" applyFill="1" applyAlignment="1">
      <alignment horizontal="center" vertical="center" wrapText="1"/>
    </xf>
    <xf numFmtId="3" fontId="3" fillId="0" borderId="0" xfId="5" applyNumberFormat="1" applyAlignment="1">
      <alignment horizontal="center" vertical="center"/>
    </xf>
    <xf numFmtId="170" fontId="3" fillId="0" borderId="0" xfId="3" applyNumberFormat="1" applyFont="1" applyAlignment="1" applyProtection="1">
      <alignment horizontal="center" vertical="center"/>
    </xf>
    <xf numFmtId="169" fontId="7" fillId="0" borderId="0" xfId="5" applyNumberFormat="1" applyFont="1" applyAlignment="1">
      <alignment horizontal="center" vertical="center"/>
    </xf>
    <xf numFmtId="2" fontId="13" fillId="0" borderId="0" xfId="0" applyNumberFormat="1" applyFont="1" applyAlignment="1">
      <alignment horizontal="center"/>
    </xf>
    <xf numFmtId="0" fontId="0" fillId="5" borderId="0" xfId="0" applyFill="1"/>
    <xf numFmtId="0" fontId="2" fillId="5" borderId="0" xfId="0" applyFont="1" applyFill="1"/>
    <xf numFmtId="174" fontId="3" fillId="0" borderId="0" xfId="1" applyNumberFormat="1" applyFont="1"/>
    <xf numFmtId="174" fontId="3" fillId="0" borderId="0" xfId="5" applyNumberFormat="1"/>
    <xf numFmtId="170" fontId="3" fillId="0" borderId="0" xfId="5" applyNumberFormat="1"/>
    <xf numFmtId="165" fontId="3" fillId="0" borderId="0" xfId="5" applyNumberFormat="1"/>
    <xf numFmtId="172" fontId="3" fillId="0" borderId="0" xfId="5" applyNumberFormat="1"/>
    <xf numFmtId="10" fontId="3" fillId="0" borderId="0" xfId="3" applyNumberFormat="1" applyFont="1"/>
    <xf numFmtId="0" fontId="2" fillId="5" borderId="0" xfId="0" applyFont="1" applyFill="1" applyAlignment="1">
      <alignment horizontal="center"/>
    </xf>
    <xf numFmtId="0" fontId="7" fillId="0" borderId="0" xfId="5" applyFont="1"/>
    <xf numFmtId="0" fontId="10" fillId="0" borderId="14" xfId="0" applyFont="1" applyBorder="1" applyAlignment="1">
      <alignment horizontal="center"/>
    </xf>
    <xf numFmtId="0" fontId="0" fillId="6" borderId="15" xfId="0" applyFill="1" applyBorder="1" applyAlignment="1" applyProtection="1">
      <alignment vertical="center"/>
      <protection locked="0"/>
    </xf>
    <xf numFmtId="0" fontId="10" fillId="0" borderId="18" xfId="0" applyFont="1" applyBorder="1" applyAlignment="1">
      <alignment horizontal="center"/>
    </xf>
    <xf numFmtId="0" fontId="6" fillId="8" borderId="15" xfId="0" applyFont="1" applyFill="1" applyBorder="1" applyAlignment="1" applyProtection="1">
      <alignment horizontal="center" vertical="center" wrapText="1"/>
      <protection locked="0"/>
    </xf>
    <xf numFmtId="0" fontId="3" fillId="5" borderId="0" xfId="0" applyFont="1" applyFill="1"/>
    <xf numFmtId="0" fontId="7" fillId="5" borderId="0" xfId="0" applyFont="1" applyFill="1"/>
    <xf numFmtId="0" fontId="33" fillId="5" borderId="0" xfId="9" applyFont="1" applyFill="1" applyAlignment="1" applyProtection="1"/>
    <xf numFmtId="0" fontId="10" fillId="5" borderId="0" xfId="0" applyFont="1" applyFill="1"/>
    <xf numFmtId="0" fontId="10" fillId="5" borderId="0" xfId="0" applyFont="1" applyFill="1" applyAlignment="1">
      <alignment horizontal="center"/>
    </xf>
    <xf numFmtId="0" fontId="0" fillId="5" borderId="0" xfId="0" applyFill="1" applyAlignment="1">
      <alignment horizontal="left"/>
    </xf>
    <xf numFmtId="0" fontId="0" fillId="5" borderId="11" xfId="0" applyFill="1" applyBorder="1"/>
    <xf numFmtId="0" fontId="25" fillId="5" borderId="0" xfId="0" applyFont="1" applyFill="1" applyAlignment="1">
      <alignment wrapText="1"/>
    </xf>
    <xf numFmtId="0" fontId="0" fillId="5" borderId="0" xfId="0" applyFill="1" applyAlignment="1">
      <alignment horizontal="center"/>
    </xf>
    <xf numFmtId="0" fontId="0" fillId="5" borderId="0" xfId="0" applyFill="1" applyAlignment="1">
      <alignment horizontal="left" wrapText="1"/>
    </xf>
    <xf numFmtId="0" fontId="27" fillId="5" borderId="0" xfId="0" applyFont="1" applyFill="1"/>
    <xf numFmtId="0" fontId="2" fillId="5" borderId="0" xfId="0" applyFont="1" applyFill="1" applyAlignment="1">
      <alignment horizontal="right" vertical="center"/>
    </xf>
    <xf numFmtId="0" fontId="0" fillId="5" borderId="14" xfId="0" applyFill="1" applyBorder="1"/>
    <xf numFmtId="0" fontId="2" fillId="5" borderId="14" xfId="0" applyFont="1" applyFill="1" applyBorder="1" applyAlignment="1">
      <alignment horizontal="right" vertical="center" indent="1"/>
    </xf>
    <xf numFmtId="0" fontId="28" fillId="5" borderId="14" xfId="0" applyFont="1" applyFill="1" applyBorder="1" applyAlignment="1">
      <alignment horizontal="left" vertical="center" wrapText="1"/>
    </xf>
    <xf numFmtId="0" fontId="28" fillId="5" borderId="0" xfId="0" applyFont="1" applyFill="1" applyAlignment="1">
      <alignment horizontal="left" vertical="center" wrapText="1"/>
    </xf>
    <xf numFmtId="0" fontId="0" fillId="5" borderId="18" xfId="0" applyFill="1" applyBorder="1"/>
    <xf numFmtId="0" fontId="7" fillId="5" borderId="0" xfId="0" applyFont="1" applyFill="1" applyAlignment="1">
      <alignment horizontal="left"/>
    </xf>
    <xf numFmtId="0" fontId="7" fillId="5" borderId="0" xfId="0" applyFont="1" applyFill="1" applyAlignment="1">
      <alignment horizontal="center"/>
    </xf>
    <xf numFmtId="0" fontId="2" fillId="5" borderId="0" xfId="0" applyFont="1" applyFill="1" applyAlignment="1">
      <alignment horizontal="right" vertical="center" indent="1"/>
    </xf>
    <xf numFmtId="0" fontId="0" fillId="5" borderId="0" xfId="1" applyNumberFormat="1" applyFont="1" applyFill="1" applyAlignment="1" applyProtection="1">
      <alignment horizontal="center"/>
    </xf>
    <xf numFmtId="22" fontId="0" fillId="5" borderId="0" xfId="0" applyNumberFormat="1" applyFill="1" applyAlignment="1">
      <alignment horizontal="center"/>
    </xf>
    <xf numFmtId="178" fontId="10" fillId="5" borderId="0" xfId="0" applyNumberFormat="1" applyFont="1" applyFill="1" applyAlignment="1">
      <alignment horizontal="center"/>
    </xf>
    <xf numFmtId="49" fontId="0" fillId="5" borderId="0" xfId="0" applyNumberFormat="1" applyFill="1"/>
    <xf numFmtId="0" fontId="29" fillId="5" borderId="0" xfId="0" applyFont="1" applyFill="1"/>
    <xf numFmtId="0" fontId="29" fillId="5" borderId="0" xfId="0" applyFont="1" applyFill="1" applyAlignment="1">
      <alignment horizontal="left" indent="4"/>
    </xf>
    <xf numFmtId="0" fontId="30" fillId="5" borderId="0" xfId="0" applyFont="1" applyFill="1"/>
    <xf numFmtId="0" fontId="6" fillId="5" borderId="0" xfId="0" applyFont="1" applyFill="1" applyAlignment="1">
      <alignment horizontal="left"/>
    </xf>
    <xf numFmtId="0" fontId="31" fillId="5" borderId="0" xfId="0" applyFont="1" applyFill="1" applyAlignment="1">
      <alignment horizontal="left"/>
    </xf>
    <xf numFmtId="0" fontId="29" fillId="5" borderId="0" xfId="0" applyFont="1" applyFill="1" applyAlignment="1">
      <alignment horizontal="left"/>
    </xf>
    <xf numFmtId="178" fontId="30" fillId="5" borderId="0" xfId="0" applyNumberFormat="1" applyFont="1" applyFill="1"/>
    <xf numFmtId="0" fontId="29" fillId="5" borderId="0" xfId="0" applyFont="1" applyFill="1" applyAlignment="1">
      <alignment vertical="top" wrapText="1"/>
    </xf>
    <xf numFmtId="0" fontId="29" fillId="5" borderId="0" xfId="0" applyFont="1" applyFill="1" applyAlignment="1">
      <alignment horizontal="left" vertical="top" wrapText="1"/>
    </xf>
    <xf numFmtId="178" fontId="30" fillId="5" borderId="0" xfId="0" applyNumberFormat="1" applyFont="1" applyFill="1" applyAlignment="1">
      <alignment vertical="center"/>
    </xf>
    <xf numFmtId="22" fontId="0" fillId="5" borderId="0" xfId="0" applyNumberFormat="1" applyFill="1" applyAlignment="1">
      <alignment horizontal="left"/>
    </xf>
    <xf numFmtId="0" fontId="0" fillId="0" borderId="19" xfId="0" applyBorder="1"/>
    <xf numFmtId="0" fontId="0" fillId="0" borderId="20" xfId="0" applyBorder="1"/>
    <xf numFmtId="0" fontId="0" fillId="0" borderId="21" xfId="0" applyBorder="1"/>
    <xf numFmtId="0" fontId="0" fillId="0" borderId="22" xfId="0" applyBorder="1"/>
    <xf numFmtId="43" fontId="0" fillId="0" borderId="0" xfId="4" applyFont="1" applyBorder="1"/>
    <xf numFmtId="43" fontId="0" fillId="0" borderId="23" xfId="4" applyFont="1" applyBorder="1"/>
    <xf numFmtId="0" fontId="0" fillId="0" borderId="23" xfId="0" applyBorder="1"/>
    <xf numFmtId="168" fontId="0" fillId="0" borderId="0" xfId="4" applyNumberFormat="1" applyFont="1" applyBorder="1"/>
    <xf numFmtId="168" fontId="0" fillId="0" borderId="23" xfId="4" applyNumberFormat="1" applyFont="1" applyBorder="1"/>
    <xf numFmtId="166" fontId="0" fillId="0" borderId="23" xfId="0" applyNumberFormat="1" applyBorder="1"/>
    <xf numFmtId="170" fontId="3" fillId="0" borderId="0" xfId="3" applyNumberFormat="1" applyFont="1" applyBorder="1"/>
    <xf numFmtId="170" fontId="3" fillId="0" borderId="23" xfId="3" applyNumberFormat="1" applyFont="1" applyBorder="1"/>
    <xf numFmtId="177" fontId="0" fillId="0" borderId="0" xfId="4" applyNumberFormat="1" applyFont="1" applyBorder="1"/>
    <xf numFmtId="177" fontId="0" fillId="0" borderId="23" xfId="4" applyNumberFormat="1" applyFont="1" applyBorder="1"/>
    <xf numFmtId="0" fontId="0" fillId="0" borderId="24" xfId="0" applyBorder="1"/>
    <xf numFmtId="0" fontId="0" fillId="0" borderId="25" xfId="0" applyBorder="1"/>
    <xf numFmtId="170" fontId="3" fillId="0" borderId="25" xfId="3" applyNumberFormat="1" applyFont="1" applyBorder="1"/>
    <xf numFmtId="170" fontId="3" fillId="0" borderId="26" xfId="3" applyNumberFormat="1" applyFont="1" applyBorder="1"/>
    <xf numFmtId="169" fontId="0" fillId="5" borderId="0" xfId="0" applyNumberFormat="1" applyFill="1"/>
    <xf numFmtId="174" fontId="0" fillId="5" borderId="0" xfId="1" applyNumberFormat="1" applyFont="1" applyFill="1"/>
    <xf numFmtId="172" fontId="0" fillId="5" borderId="0" xfId="2" applyNumberFormat="1" applyFont="1" applyFill="1"/>
    <xf numFmtId="166" fontId="0" fillId="0" borderId="0" xfId="0" applyNumberFormat="1"/>
    <xf numFmtId="0" fontId="2" fillId="0" borderId="0" xfId="0" applyFont="1"/>
    <xf numFmtId="173" fontId="0" fillId="5" borderId="11" xfId="2" applyNumberFormat="1" applyFont="1" applyFill="1" applyBorder="1"/>
    <xf numFmtId="170" fontId="0" fillId="5" borderId="0" xfId="3" applyNumberFormat="1" applyFont="1" applyFill="1"/>
    <xf numFmtId="172" fontId="0" fillId="5" borderId="11" xfId="2" applyNumberFormat="1" applyFont="1" applyFill="1" applyBorder="1"/>
    <xf numFmtId="0" fontId="2" fillId="5" borderId="11" xfId="0" applyFont="1" applyFill="1" applyBorder="1" applyAlignment="1">
      <alignment horizontal="center"/>
    </xf>
    <xf numFmtId="0" fontId="2" fillId="5" borderId="11" xfId="0" applyFont="1" applyFill="1" applyBorder="1" applyAlignment="1">
      <alignment horizontal="center" vertical="center" wrapText="1"/>
    </xf>
    <xf numFmtId="176" fontId="0" fillId="5" borderId="11" xfId="2" applyNumberFormat="1" applyFont="1" applyFill="1" applyBorder="1"/>
    <xf numFmtId="168" fontId="0" fillId="5" borderId="11" xfId="4" applyNumberFormat="1" applyFont="1" applyFill="1" applyBorder="1"/>
    <xf numFmtId="167" fontId="0" fillId="5" borderId="11" xfId="2" applyNumberFormat="1" applyFont="1" applyFill="1" applyBorder="1"/>
    <xf numFmtId="167" fontId="0" fillId="5" borderId="11" xfId="0" applyNumberFormat="1" applyFill="1" applyBorder="1"/>
    <xf numFmtId="0" fontId="2" fillId="5" borderId="11" xfId="0" applyFont="1" applyFill="1" applyBorder="1"/>
    <xf numFmtId="167" fontId="2" fillId="5" borderId="11" xfId="0" applyNumberFormat="1" applyFont="1" applyFill="1" applyBorder="1"/>
    <xf numFmtId="0" fontId="0" fillId="5" borderId="21" xfId="0" applyFill="1" applyBorder="1"/>
    <xf numFmtId="170" fontId="0" fillId="5" borderId="11" xfId="3" applyNumberFormat="1" applyFont="1" applyFill="1" applyBorder="1"/>
    <xf numFmtId="168" fontId="0" fillId="5" borderId="11" xfId="0" applyNumberFormat="1" applyFill="1" applyBorder="1"/>
    <xf numFmtId="170" fontId="0" fillId="5" borderId="0" xfId="0" applyNumberFormat="1" applyFill="1"/>
    <xf numFmtId="170" fontId="2" fillId="5" borderId="11" xfId="3" applyNumberFormat="1" applyFont="1" applyFill="1" applyBorder="1"/>
    <xf numFmtId="164" fontId="0" fillId="5" borderId="0" xfId="0" applyNumberFormat="1" applyFill="1"/>
    <xf numFmtId="0" fontId="0" fillId="5" borderId="11" xfId="0" applyFill="1" applyBorder="1" applyAlignment="1">
      <alignment horizontal="center"/>
    </xf>
    <xf numFmtId="168" fontId="0" fillId="5" borderId="11" xfId="0" applyNumberFormat="1" applyFill="1" applyBorder="1" applyAlignment="1">
      <alignment horizontal="center"/>
    </xf>
    <xf numFmtId="172" fontId="0" fillId="5" borderId="11" xfId="0" applyNumberFormat="1" applyFill="1" applyBorder="1"/>
    <xf numFmtId="173" fontId="2" fillId="5" borderId="11" xfId="2" applyNumberFormat="1" applyFont="1" applyFill="1" applyBorder="1"/>
    <xf numFmtId="179" fontId="0" fillId="5" borderId="0" xfId="0" applyNumberFormat="1" applyFill="1"/>
    <xf numFmtId="180" fontId="0" fillId="5" borderId="0" xfId="0" applyNumberFormat="1" applyFill="1"/>
    <xf numFmtId="174" fontId="0" fillId="5" borderId="11" xfId="1" applyNumberFormat="1" applyFont="1" applyFill="1" applyBorder="1"/>
    <xf numFmtId="165" fontId="0" fillId="5" borderId="0" xfId="0" applyNumberFormat="1" applyFill="1"/>
    <xf numFmtId="10" fontId="0" fillId="5" borderId="0" xfId="3" applyNumberFormat="1" applyFont="1" applyFill="1"/>
    <xf numFmtId="181" fontId="3" fillId="0" borderId="0" xfId="5" applyNumberFormat="1"/>
    <xf numFmtId="0" fontId="3" fillId="0" borderId="19" xfId="5" applyBorder="1"/>
    <xf numFmtId="0" fontId="3" fillId="0" borderId="20" xfId="5" applyBorder="1"/>
    <xf numFmtId="0" fontId="3" fillId="0" borderId="21" xfId="5" applyBorder="1"/>
    <xf numFmtId="0" fontId="3" fillId="0" borderId="22" xfId="5" applyBorder="1"/>
    <xf numFmtId="0" fontId="3" fillId="0" borderId="23" xfId="5" applyBorder="1"/>
    <xf numFmtId="173" fontId="3" fillId="0" borderId="23" xfId="2" applyNumberFormat="1" applyFont="1" applyBorder="1"/>
    <xf numFmtId="0" fontId="3" fillId="0" borderId="24" xfId="5" applyBorder="1"/>
    <xf numFmtId="0" fontId="3" fillId="0" borderId="25" xfId="5" applyBorder="1"/>
    <xf numFmtId="0" fontId="3" fillId="0" borderId="26" xfId="5" applyBorder="1"/>
    <xf numFmtId="0" fontId="3" fillId="0" borderId="23" xfId="5" applyBorder="1" applyAlignment="1">
      <alignment horizontal="right"/>
    </xf>
    <xf numFmtId="0" fontId="6" fillId="0" borderId="0" xfId="5" applyFont="1" applyAlignment="1">
      <alignment horizontal="left" vertical="top" wrapText="1"/>
    </xf>
    <xf numFmtId="0" fontId="32" fillId="6" borderId="16" xfId="9" applyFill="1" applyBorder="1" applyAlignment="1" applyProtection="1">
      <alignment horizontal="left" vertical="center"/>
      <protection locked="0"/>
    </xf>
    <xf numFmtId="0" fontId="3" fillId="6" borderId="17" xfId="0" applyFont="1" applyFill="1" applyBorder="1" applyAlignment="1" applyProtection="1">
      <alignment horizontal="left" vertical="center"/>
      <protection locked="0"/>
    </xf>
    <xf numFmtId="0" fontId="0" fillId="8" borderId="12" xfId="0" applyFill="1" applyBorder="1" applyAlignment="1" applyProtection="1">
      <alignment horizontal="left" vertical="center" wrapText="1"/>
      <protection locked="0"/>
    </xf>
    <xf numFmtId="0" fontId="0" fillId="8" borderId="13" xfId="0" applyFill="1" applyBorder="1" applyAlignment="1" applyProtection="1">
      <alignment horizontal="left" vertical="center" wrapText="1"/>
      <protection locked="0"/>
    </xf>
    <xf numFmtId="0" fontId="3" fillId="6" borderId="16" xfId="0" applyFont="1" applyFill="1" applyBorder="1" applyAlignment="1" applyProtection="1">
      <alignment horizontal="left" vertical="center"/>
      <protection locked="0"/>
    </xf>
    <xf numFmtId="0" fontId="10" fillId="0" borderId="0" xfId="0" applyFont="1" applyAlignment="1">
      <alignment horizontal="center"/>
    </xf>
    <xf numFmtId="0" fontId="11" fillId="4" borderId="0" xfId="0" applyFont="1" applyFill="1" applyAlignment="1">
      <alignment horizontal="center" vertical="center" wrapText="1"/>
    </xf>
    <xf numFmtId="0" fontId="9" fillId="7" borderId="0" xfId="0" applyFont="1" applyFill="1" applyAlignment="1">
      <alignment horizontal="center" vertical="center" wrapText="1"/>
    </xf>
    <xf numFmtId="0" fontId="11" fillId="7" borderId="0" xfId="0" applyFont="1" applyFill="1" applyAlignment="1">
      <alignment horizontal="center" vertical="center" wrapText="1"/>
    </xf>
    <xf numFmtId="172" fontId="10" fillId="3" borderId="0" xfId="6" applyNumberFormat="1" applyFont="1" applyFill="1" applyAlignment="1" applyProtection="1">
      <alignment horizontal="right"/>
    </xf>
    <xf numFmtId="172" fontId="10" fillId="5" borderId="0" xfId="6" applyNumberFormat="1" applyFont="1" applyFill="1" applyAlignment="1" applyProtection="1">
      <alignment horizontal="center"/>
    </xf>
    <xf numFmtId="44" fontId="10" fillId="3" borderId="0" xfId="6" applyFont="1" applyFill="1" applyAlignment="1" applyProtection="1"/>
    <xf numFmtId="172" fontId="10" fillId="3" borderId="0" xfId="6" applyNumberFormat="1" applyFont="1" applyFill="1" applyAlignment="1" applyProtection="1"/>
    <xf numFmtId="44" fontId="10" fillId="6" borderId="0" xfId="0" applyNumberFormat="1" applyFont="1" applyFill="1" applyAlignment="1" applyProtection="1">
      <alignment horizontal="center"/>
      <protection locked="0"/>
    </xf>
    <xf numFmtId="44" fontId="10" fillId="6" borderId="0" xfId="6" applyFont="1" applyFill="1" applyAlignment="1" applyProtection="1">
      <alignment horizontal="center"/>
      <protection locked="0"/>
    </xf>
    <xf numFmtId="44" fontId="10" fillId="3" borderId="0" xfId="6" applyFont="1" applyFill="1" applyAlignment="1" applyProtection="1">
      <alignment horizontal="center"/>
    </xf>
    <xf numFmtId="44" fontId="10" fillId="6" borderId="0" xfId="0" applyNumberFormat="1" applyFont="1" applyFill="1" applyAlignment="1">
      <alignment horizontal="center"/>
    </xf>
    <xf numFmtId="173" fontId="19" fillId="6" borderId="0" xfId="0" applyNumberFormat="1" applyFont="1" applyFill="1" applyAlignment="1">
      <alignment horizontal="center"/>
    </xf>
    <xf numFmtId="0" fontId="18" fillId="0" borderId="0" xfId="0" applyFont="1" applyAlignment="1">
      <alignment horizontal="center" vertical="center"/>
    </xf>
    <xf numFmtId="0" fontId="7" fillId="0" borderId="0" xfId="5" applyFont="1" applyAlignment="1">
      <alignment horizontal="left" vertical="top" wrapText="1"/>
    </xf>
    <xf numFmtId="0" fontId="0" fillId="0" borderId="0" xfId="0" applyAlignment="1">
      <alignment wrapText="1"/>
    </xf>
    <xf numFmtId="0" fontId="9" fillId="4" borderId="0" xfId="5" applyFont="1" applyFill="1" applyAlignment="1">
      <alignment horizontal="center" vertical="center"/>
    </xf>
    <xf numFmtId="0" fontId="7" fillId="3" borderId="0" xfId="5" applyFont="1" applyFill="1" applyAlignment="1">
      <alignment horizontal="center" wrapText="1"/>
    </xf>
    <xf numFmtId="0" fontId="24" fillId="0" borderId="0" xfId="5" applyFont="1" applyAlignment="1">
      <alignment horizontal="left" vertical="top" wrapText="1"/>
    </xf>
    <xf numFmtId="174" fontId="7" fillId="0" borderId="0" xfId="5" applyNumberFormat="1" applyFont="1" applyAlignment="1">
      <alignment horizontal="center" vertical="center"/>
    </xf>
    <xf numFmtId="0" fontId="2" fillId="5" borderId="11" xfId="0" applyFont="1" applyFill="1" applyBorder="1" applyAlignment="1">
      <alignment horizontal="center"/>
    </xf>
    <xf numFmtId="0" fontId="26" fillId="5" borderId="0" xfId="0" applyFont="1" applyFill="1" applyAlignment="1"/>
    <xf numFmtId="0" fontId="0" fillId="0" borderId="0" xfId="0" applyAlignment="1"/>
  </cellXfs>
  <cellStyles count="10">
    <cellStyle name="Comma" xfId="1" builtinId="3"/>
    <cellStyle name="Comma 2" xfId="4" xr:uid="{C35F8854-0603-41AD-9C3C-046795FAD5A6}"/>
    <cellStyle name="Comma 4" xfId="7" xr:uid="{DAA626F2-90EB-44C2-853D-85C7339DFF6D}"/>
    <cellStyle name="Currency" xfId="2" builtinId="4"/>
    <cellStyle name="Currency 2" xfId="6" xr:uid="{673D4685-675C-4B0F-9770-09CB055D4D58}"/>
    <cellStyle name="Hyperlink" xfId="9" builtinId="8"/>
    <cellStyle name="Normal" xfId="0" builtinId="0"/>
    <cellStyle name="Normal 2" xfId="5" xr:uid="{744F9B0C-A8F2-4670-A74A-4EF43021B24E}"/>
    <cellStyle name="Normal 2 2 2 2 2" xfId="8" xr:uid="{8ED9CCDA-8BB9-4A33-8D1D-1758C22514C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2" name="Text Box 13">
          <a:extLst>
            <a:ext uri="{FF2B5EF4-FFF2-40B4-BE49-F238E27FC236}">
              <a16:creationId xmlns:a16="http://schemas.microsoft.com/office/drawing/2014/main" id="{30D97225-71CE-4A06-BDA5-419ECB59B4FB}"/>
            </a:ext>
          </a:extLst>
        </xdr:cNvPr>
        <xdr:cNvSpPr txBox="1">
          <a:spLocks noChangeArrowheads="1" noTextEdit="1"/>
        </xdr:cNvSpPr>
      </xdr:nvSpPr>
      <xdr:spPr bwMode="auto">
        <a:xfrm>
          <a:off x="10597515" y="2539365"/>
          <a:ext cx="110871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v 1.0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3" name="Text Box 15">
          <a:extLst>
            <a:ext uri="{FF2B5EF4-FFF2-40B4-BE49-F238E27FC236}">
              <a16:creationId xmlns:a16="http://schemas.microsoft.com/office/drawing/2014/main" id="{3A8161DB-EEE4-4E54-A71B-C1BA70DCF549}"/>
            </a:ext>
          </a:extLst>
        </xdr:cNvPr>
        <xdr:cNvSpPr txBox="1">
          <a:spLocks noChangeArrowheads="1" noTextEdit="1"/>
        </xdr:cNvSpPr>
      </xdr:nvSpPr>
      <xdr:spPr bwMode="auto">
        <a:xfrm>
          <a:off x="14133195" y="2535555"/>
          <a:ext cx="107823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197783</xdr:colOff>
      <xdr:row>13</xdr:row>
      <xdr:rowOff>10645</xdr:rowOff>
    </xdr:from>
    <xdr:to>
      <xdr:col>17</xdr:col>
      <xdr:colOff>8404</xdr:colOff>
      <xdr:row>14</xdr:row>
      <xdr:rowOff>58270</xdr:rowOff>
    </xdr:to>
    <xdr:sp macro="" textlink="$AE$2">
      <xdr:nvSpPr>
        <xdr:cNvPr id="4" name="Text Box 16">
          <a:extLst>
            <a:ext uri="{FF2B5EF4-FFF2-40B4-BE49-F238E27FC236}">
              <a16:creationId xmlns:a16="http://schemas.microsoft.com/office/drawing/2014/main" id="{B7BF41EC-DD2B-4645-8746-48C0141223AB}"/>
            </a:ext>
          </a:extLst>
        </xdr:cNvPr>
        <xdr:cNvSpPr txBox="1">
          <a:spLocks noChangeArrowheads="1" noTextEdit="1"/>
        </xdr:cNvSpPr>
      </xdr:nvSpPr>
      <xdr:spPr bwMode="auto">
        <a:xfrm>
          <a:off x="14188103" y="2746225"/>
          <a:ext cx="1090781"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5" name="Text Box 17">
          <a:extLst>
            <a:ext uri="{FF2B5EF4-FFF2-40B4-BE49-F238E27FC236}">
              <a16:creationId xmlns:a16="http://schemas.microsoft.com/office/drawing/2014/main" id="{BEBE4694-4AD1-4407-8812-3D0931E62EF1}"/>
            </a:ext>
          </a:extLst>
        </xdr:cNvPr>
        <xdr:cNvSpPr txBox="1">
          <a:spLocks noChangeArrowheads="1" noTextEdit="1"/>
        </xdr:cNvSpPr>
      </xdr:nvSpPr>
      <xdr:spPr bwMode="auto">
        <a:xfrm>
          <a:off x="10597515" y="2773680"/>
          <a:ext cx="110871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27</xdr:row>
      <xdr:rowOff>19049</xdr:rowOff>
    </xdr:from>
    <xdr:to>
      <xdr:col>4</xdr:col>
      <xdr:colOff>2065020</xdr:colOff>
      <xdr:row>34</xdr:row>
      <xdr:rowOff>142874</xdr:rowOff>
    </xdr:to>
    <xdr:sp macro="" textlink="">
      <xdr:nvSpPr>
        <xdr:cNvPr id="6" name="Text Box 50">
          <a:extLst>
            <a:ext uri="{FF2B5EF4-FFF2-40B4-BE49-F238E27FC236}">
              <a16:creationId xmlns:a16="http://schemas.microsoft.com/office/drawing/2014/main" id="{C524F8A5-8DED-4277-BC79-EC8099AD2AB1}"/>
            </a:ext>
          </a:extLst>
        </xdr:cNvPr>
        <xdr:cNvSpPr txBox="1">
          <a:spLocks noChangeArrowheads="1"/>
        </xdr:cNvSpPr>
      </xdr:nvSpPr>
      <xdr:spPr bwMode="auto">
        <a:xfrm>
          <a:off x="0" y="5604509"/>
          <a:ext cx="7261860" cy="151066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9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9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9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900" b="1" i="1"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7</xdr:col>
      <xdr:colOff>244280</xdr:colOff>
      <xdr:row>9</xdr:row>
      <xdr:rowOff>1241</xdr:rowOff>
    </xdr:to>
    <xdr:grpSp>
      <xdr:nvGrpSpPr>
        <xdr:cNvPr id="7" name="Group 6">
          <a:extLst>
            <a:ext uri="{FF2B5EF4-FFF2-40B4-BE49-F238E27FC236}">
              <a16:creationId xmlns:a16="http://schemas.microsoft.com/office/drawing/2014/main" id="{B1093A39-9B77-47C6-968D-06421C6D0A5B}"/>
            </a:ext>
          </a:extLst>
        </xdr:cNvPr>
        <xdr:cNvGrpSpPr/>
      </xdr:nvGrpSpPr>
      <xdr:grpSpPr>
        <a:xfrm>
          <a:off x="0" y="0"/>
          <a:ext cx="8873930" cy="2182466"/>
          <a:chOff x="7801016" y="4233022"/>
          <a:chExt cx="8857415" cy="1915766"/>
        </a:xfrm>
      </xdr:grpSpPr>
      <xdr:pic>
        <xdr:nvPicPr>
          <xdr:cNvPr id="8" name="Picture 7">
            <a:extLst>
              <a:ext uri="{FF2B5EF4-FFF2-40B4-BE49-F238E27FC236}">
                <a16:creationId xmlns:a16="http://schemas.microsoft.com/office/drawing/2014/main" id="{E68C9A44-C34F-0D28-9E32-D873C2838DF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01016" y="4233022"/>
            <a:ext cx="8857415" cy="1915766"/>
          </a:xfrm>
          <a:prstGeom prst="rect">
            <a:avLst/>
          </a:prstGeom>
          <a:ln>
            <a:noFill/>
          </a:ln>
          <a:effectLst>
            <a:softEdge rad="112500"/>
          </a:effectLst>
        </xdr:spPr>
      </xdr:pic>
      <xdr:sp macro="" textlink="$AC$2">
        <xdr:nvSpPr>
          <xdr:cNvPr id="9" name="TextBox 8">
            <a:extLst>
              <a:ext uri="{FF2B5EF4-FFF2-40B4-BE49-F238E27FC236}">
                <a16:creationId xmlns:a16="http://schemas.microsoft.com/office/drawing/2014/main" id="{03D465CF-5E52-1AA3-D070-0D2F7E273B66}"/>
              </a:ext>
            </a:extLst>
          </xdr:cNvPr>
          <xdr:cNvSpPr txBox="1"/>
        </xdr:nvSpPr>
        <xdr:spPr>
          <a:xfrm>
            <a:off x="15840066"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33E85EEF-DD87-4B9A-A504-157995BC64C1}" type="TxLink">
              <a:rPr lang="en-US" sz="1400" b="0" i="0" u="none" strike="noStrike">
                <a:solidFill>
                  <a:srgbClr val="000000"/>
                </a:solidFill>
                <a:latin typeface="Arial"/>
                <a:cs typeface="Arial"/>
              </a:rPr>
              <a:pPr/>
              <a:t>v 1.0
</a:t>
            </a:fld>
            <a:endParaRPr lang="en-CA" sz="2400" b="1"/>
          </a:p>
        </xdr:txBody>
      </xdr:sp>
      <xdr:sp macro="" textlink="$AC$1">
        <xdr:nvSpPr>
          <xdr:cNvPr id="10" name="Rectangle 9">
            <a:extLst>
              <a:ext uri="{FF2B5EF4-FFF2-40B4-BE49-F238E27FC236}">
                <a16:creationId xmlns:a16="http://schemas.microsoft.com/office/drawing/2014/main" id="{248EC41A-87A9-26AE-8EBD-2227902245B3}"/>
              </a:ext>
            </a:extLst>
          </xdr:cNvPr>
          <xdr:cNvSpPr/>
        </xdr:nvSpPr>
        <xdr:spPr>
          <a:xfrm>
            <a:off x="7801016" y="4660974"/>
            <a:ext cx="856656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3B1A34D-5963-474D-8AFE-4B9EA71F55BE}" type="TxLink">
              <a:rPr lang="en-US" sz="44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2026 RTSR Workform 
for Electricity Distributors
</a:t>
            </a:fld>
            <a:endParaRPr lang="en-CA" sz="71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1" name="Rectangle 10">
            <a:extLst>
              <a:ext uri="{FF2B5EF4-FFF2-40B4-BE49-F238E27FC236}">
                <a16:creationId xmlns:a16="http://schemas.microsoft.com/office/drawing/2014/main" id="{84499A78-E061-4F6D-92B8-885D791EF634}"/>
              </a:ext>
            </a:extLst>
          </xdr:cNvPr>
          <xdr:cNvSpPr/>
        </xdr:nvSpPr>
        <xdr:spPr>
          <a:xfrm>
            <a:off x="8394964" y="4415895"/>
            <a:ext cx="2583212"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2" name="Picture 11">
            <a:extLst>
              <a:ext uri="{FF2B5EF4-FFF2-40B4-BE49-F238E27FC236}">
                <a16:creationId xmlns:a16="http://schemas.microsoft.com/office/drawing/2014/main" id="{F7D15057-6F41-A843-BA2A-9218F6C5F4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22859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52C412D8-55B2-4D8E-864D-428487F0DE17}"/>
            </a:ext>
          </a:extLst>
        </xdr:cNvPr>
        <xdr:cNvGrpSpPr/>
      </xdr:nvGrpSpPr>
      <xdr:grpSpPr>
        <a:xfrm>
          <a:off x="22859" y="0"/>
          <a:ext cx="16687800" cy="1819275"/>
          <a:chOff x="200024" y="4499942"/>
          <a:chExt cx="9312502" cy="1915766"/>
        </a:xfrm>
      </xdr:grpSpPr>
      <xdr:pic>
        <xdr:nvPicPr>
          <xdr:cNvPr id="3" name="Picture 2">
            <a:extLst>
              <a:ext uri="{FF2B5EF4-FFF2-40B4-BE49-F238E27FC236}">
                <a16:creationId xmlns:a16="http://schemas.microsoft.com/office/drawing/2014/main" id="{5887754C-21CA-82E2-ECF3-BEAC89E4A86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7097783D-5CF4-094F-76F6-A4E34A05DC02}"/>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D4CE7DAE-99E5-40AB-80F7-A7B2CBA52EEE}"/>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CF1A047A-BF22-44CB-7CEE-DDE6386597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9B88D2A0-0106-6EC3-CFDC-7AF092EBF8D1}"/>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130781</xdr:rowOff>
    </xdr:to>
    <xdr:grpSp>
      <xdr:nvGrpSpPr>
        <xdr:cNvPr id="2" name="Group 1">
          <a:extLst>
            <a:ext uri="{FF2B5EF4-FFF2-40B4-BE49-F238E27FC236}">
              <a16:creationId xmlns:a16="http://schemas.microsoft.com/office/drawing/2014/main" id="{3CDF89CA-5CC6-4335-97EF-25B0601C7AF0}"/>
            </a:ext>
          </a:extLst>
        </xdr:cNvPr>
        <xdr:cNvGrpSpPr/>
      </xdr:nvGrpSpPr>
      <xdr:grpSpPr>
        <a:xfrm>
          <a:off x="0" y="0"/>
          <a:ext cx="11953875" cy="1911956"/>
          <a:chOff x="200024" y="4499942"/>
          <a:chExt cx="8857420" cy="1915766"/>
        </a:xfrm>
      </xdr:grpSpPr>
      <xdr:pic>
        <xdr:nvPicPr>
          <xdr:cNvPr id="3" name="Picture 2">
            <a:extLst>
              <a:ext uri="{FF2B5EF4-FFF2-40B4-BE49-F238E27FC236}">
                <a16:creationId xmlns:a16="http://schemas.microsoft.com/office/drawing/2014/main" id="{9DFFC043-49B4-DA8C-0FC3-D66F3FB0A1F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C026E007-8440-7B6D-13AE-F6ECF25A1442}"/>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ED2136-E4C6-AF13-C2B7-28937662D5DF}"/>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D3B73EA2-9847-80CF-3C2D-4CBBBE4E8B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5DCC92CE-82B9-671C-7837-402908110E8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19049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5FB40331-F2E6-4933-B716-8984A5B0F753}"/>
            </a:ext>
          </a:extLst>
        </xdr:cNvPr>
        <xdr:cNvGrpSpPr/>
      </xdr:nvGrpSpPr>
      <xdr:grpSpPr>
        <a:xfrm>
          <a:off x="19049" y="0"/>
          <a:ext cx="16691610" cy="1819275"/>
          <a:chOff x="200024" y="4499942"/>
          <a:chExt cx="9312502" cy="1915766"/>
        </a:xfrm>
      </xdr:grpSpPr>
      <xdr:pic>
        <xdr:nvPicPr>
          <xdr:cNvPr id="3" name="Picture 2">
            <a:extLst>
              <a:ext uri="{FF2B5EF4-FFF2-40B4-BE49-F238E27FC236}">
                <a16:creationId xmlns:a16="http://schemas.microsoft.com/office/drawing/2014/main" id="{B27448EA-5CEA-6688-6D0D-FE61593808F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109FD3F7-638D-C499-31B4-D9C59D6DE5F7}"/>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3F73A60B-38B1-651A-3612-B67FEEF69A60}"/>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9B40DDFF-95AF-C0F4-B607-6B0D8688BD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15CCFA5E-81CD-5E52-5FDF-10DF8116BE18}"/>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134591</xdr:rowOff>
    </xdr:to>
    <xdr:grpSp>
      <xdr:nvGrpSpPr>
        <xdr:cNvPr id="2" name="Group 1">
          <a:extLst>
            <a:ext uri="{FF2B5EF4-FFF2-40B4-BE49-F238E27FC236}">
              <a16:creationId xmlns:a16="http://schemas.microsoft.com/office/drawing/2014/main" id="{5CA59E44-240C-47AC-8A14-154D65E9CBAF}"/>
            </a:ext>
          </a:extLst>
        </xdr:cNvPr>
        <xdr:cNvGrpSpPr/>
      </xdr:nvGrpSpPr>
      <xdr:grpSpPr>
        <a:xfrm>
          <a:off x="0" y="0"/>
          <a:ext cx="11953875" cy="1915766"/>
          <a:chOff x="200024" y="4499942"/>
          <a:chExt cx="8857420" cy="1915766"/>
        </a:xfrm>
      </xdr:grpSpPr>
      <xdr:pic>
        <xdr:nvPicPr>
          <xdr:cNvPr id="3" name="Picture 2">
            <a:extLst>
              <a:ext uri="{FF2B5EF4-FFF2-40B4-BE49-F238E27FC236}">
                <a16:creationId xmlns:a16="http://schemas.microsoft.com/office/drawing/2014/main" id="{F1564120-0578-2AA3-E63E-14768379E80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A8ADE1A6-DEBD-F480-C6E4-B0AE12A11F7D}"/>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EE58DC85-7C52-E1BD-02D3-D349EBCDDC43}"/>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BC056D39-8729-1904-F3E2-F872589354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C530F7CA-495C-5F3D-C812-13BB0935B219}"/>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22859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38D6489F-4814-4B76-B86C-6F28B04618D6}"/>
            </a:ext>
          </a:extLst>
        </xdr:cNvPr>
        <xdr:cNvGrpSpPr/>
      </xdr:nvGrpSpPr>
      <xdr:grpSpPr>
        <a:xfrm>
          <a:off x="22859" y="0"/>
          <a:ext cx="16687800" cy="1819275"/>
          <a:chOff x="200024" y="4499942"/>
          <a:chExt cx="9312502" cy="1915766"/>
        </a:xfrm>
      </xdr:grpSpPr>
      <xdr:pic>
        <xdr:nvPicPr>
          <xdr:cNvPr id="3" name="Picture 2">
            <a:extLst>
              <a:ext uri="{FF2B5EF4-FFF2-40B4-BE49-F238E27FC236}">
                <a16:creationId xmlns:a16="http://schemas.microsoft.com/office/drawing/2014/main" id="{BD1F47CC-216A-0098-69C8-F222D6B31BC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C1AECC92-31EB-4E9B-15FF-FC889F64F8E6}"/>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1B37EA50-226F-C74C-B520-9E419D0EA511}"/>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E49DE636-EABB-CE5A-D37E-9FB4312F0A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7F68703-2163-6701-BC63-D71E5312C981}"/>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134591</xdr:rowOff>
    </xdr:to>
    <xdr:pic>
      <xdr:nvPicPr>
        <xdr:cNvPr id="7" name="Picture 6">
          <a:extLst>
            <a:ext uri="{FF2B5EF4-FFF2-40B4-BE49-F238E27FC236}">
              <a16:creationId xmlns:a16="http://schemas.microsoft.com/office/drawing/2014/main" id="{15F10CB8-8A43-4B68-96DC-6ED8E13513C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78631"/>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
      <xdr:nvSpPr>
        <xdr:cNvPr id="8" name="TextBox 7">
          <a:extLst>
            <a:ext uri="{FF2B5EF4-FFF2-40B4-BE49-F238E27FC236}">
              <a16:creationId xmlns:a16="http://schemas.microsoft.com/office/drawing/2014/main" id="{ABE7CC2F-A064-40D1-A1FF-C977EE7D4056}"/>
            </a:ext>
          </a:extLst>
        </xdr:cNvPr>
        <xdr:cNvSpPr txBox="1"/>
      </xdr:nvSpPr>
      <xdr:spPr>
        <a:xfrm>
          <a:off x="7991475" y="186690"/>
          <a:ext cx="540148" cy="3229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1234A42-87C3-40EF-965C-3F7C162A5AFC}"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14</xdr:col>
      <xdr:colOff>169381</xdr:colOff>
      <xdr:row>9</xdr:row>
      <xdr:rowOff>142875</xdr:rowOff>
    </xdr:to>
    <xdr:sp macro="" textlink="">
      <xdr:nvSpPr>
        <xdr:cNvPr id="9" name="Rectangle 8">
          <a:extLst>
            <a:ext uri="{FF2B5EF4-FFF2-40B4-BE49-F238E27FC236}">
              <a16:creationId xmlns:a16="http://schemas.microsoft.com/office/drawing/2014/main" id="{F8944023-1843-4EDA-8DDC-A734AD99CE33}"/>
            </a:ext>
          </a:extLst>
        </xdr:cNvPr>
        <xdr:cNvSpPr/>
      </xdr:nvSpPr>
      <xdr:spPr>
        <a:xfrm>
          <a:off x="137211" y="455816"/>
          <a:ext cx="8566570" cy="119581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DC1165C-D6C2-4690-BF94-A3754D73B88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2026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81585</xdr:colOff>
      <xdr:row>3</xdr:row>
      <xdr:rowOff>8696</xdr:rowOff>
    </xdr:to>
    <xdr:sp macro="" textlink="">
      <xdr:nvSpPr>
        <xdr:cNvPr id="10" name="Rectangle 9">
          <a:extLst>
            <a:ext uri="{FF2B5EF4-FFF2-40B4-BE49-F238E27FC236}">
              <a16:creationId xmlns:a16="http://schemas.microsoft.com/office/drawing/2014/main" id="{35A5AFDA-1DF0-4019-974D-9B076A1D548D}"/>
            </a:ext>
          </a:extLst>
        </xdr:cNvPr>
        <xdr:cNvSpPr/>
      </xdr:nvSpPr>
      <xdr:spPr>
        <a:xfrm>
          <a:off x="546371" y="158221"/>
          <a:ext cx="2583214" cy="35339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17025</xdr:rowOff>
    </xdr:from>
    <xdr:to>
      <xdr:col>0</xdr:col>
      <xdr:colOff>585581</xdr:colOff>
      <xdr:row>3</xdr:row>
      <xdr:rowOff>71320</xdr:rowOff>
    </xdr:to>
    <xdr:pic>
      <xdr:nvPicPr>
        <xdr:cNvPr id="11" name="Picture 10">
          <a:extLst>
            <a:ext uri="{FF2B5EF4-FFF2-40B4-BE49-F238E27FC236}">
              <a16:creationId xmlns:a16="http://schemas.microsoft.com/office/drawing/2014/main" id="{C35C4584-49B8-42AD-9F52-DF7C0FA26F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84665"/>
          <a:ext cx="389282" cy="38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17357</xdr:colOff>
      <xdr:row>0</xdr:row>
      <xdr:rowOff>17356</xdr:rowOff>
    </xdr:from>
    <xdr:to>
      <xdr:col>11</xdr:col>
      <xdr:colOff>606686</xdr:colOff>
      <xdr:row>13</xdr:row>
      <xdr:rowOff>18600</xdr:rowOff>
    </xdr:to>
    <xdr:grpSp>
      <xdr:nvGrpSpPr>
        <xdr:cNvPr id="2" name="Group 1">
          <a:extLst>
            <a:ext uri="{FF2B5EF4-FFF2-40B4-BE49-F238E27FC236}">
              <a16:creationId xmlns:a16="http://schemas.microsoft.com/office/drawing/2014/main" id="{EB2D56D7-5BC7-479E-B174-C7BAC0994EA3}"/>
            </a:ext>
          </a:extLst>
        </xdr:cNvPr>
        <xdr:cNvGrpSpPr/>
      </xdr:nvGrpSpPr>
      <xdr:grpSpPr>
        <a:xfrm>
          <a:off x="798407" y="17356"/>
          <a:ext cx="13305204" cy="2163419"/>
          <a:chOff x="200024" y="4499942"/>
          <a:chExt cx="8857420" cy="1915766"/>
        </a:xfrm>
      </xdr:grpSpPr>
      <xdr:pic>
        <xdr:nvPicPr>
          <xdr:cNvPr id="3" name="Picture 2">
            <a:extLst>
              <a:ext uri="{FF2B5EF4-FFF2-40B4-BE49-F238E27FC236}">
                <a16:creationId xmlns:a16="http://schemas.microsoft.com/office/drawing/2014/main" id="{2DDEE3F4-3FCF-773A-58F1-D616FCD9935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D15CE587-9BBB-4999-1B57-35F5F42347B8}"/>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12448F6-A6E7-CED3-C844-48631C7323C3}"/>
              </a:ext>
            </a:extLst>
          </xdr:cNvPr>
          <xdr:cNvSpPr/>
        </xdr:nvSpPr>
        <xdr:spPr>
          <a:xfrm>
            <a:off x="337235" y="4917469"/>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D9AE6D39-ACC5-4824-506A-DF77E4657F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6C1C54F4-FCAD-9D29-0B41-AE7B7E64319F}"/>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38099</xdr:colOff>
      <xdr:row>0</xdr:row>
      <xdr:rowOff>20955</xdr:rowOff>
    </xdr:from>
    <xdr:to>
      <xdr:col>16</xdr:col>
      <xdr:colOff>76199</xdr:colOff>
      <xdr:row>11</xdr:row>
      <xdr:rowOff>57151</xdr:rowOff>
    </xdr:to>
    <xdr:grpSp>
      <xdr:nvGrpSpPr>
        <xdr:cNvPr id="2" name="Group 1">
          <a:extLst>
            <a:ext uri="{FF2B5EF4-FFF2-40B4-BE49-F238E27FC236}">
              <a16:creationId xmlns:a16="http://schemas.microsoft.com/office/drawing/2014/main" id="{834ADEBC-0FBE-4367-83B6-8E6FC94FB420}"/>
            </a:ext>
          </a:extLst>
        </xdr:cNvPr>
        <xdr:cNvGrpSpPr/>
      </xdr:nvGrpSpPr>
      <xdr:grpSpPr>
        <a:xfrm>
          <a:off x="38099" y="20955"/>
          <a:ext cx="11715750" cy="1817371"/>
          <a:chOff x="200024" y="4499942"/>
          <a:chExt cx="8857420" cy="1915766"/>
        </a:xfrm>
      </xdr:grpSpPr>
      <xdr:pic>
        <xdr:nvPicPr>
          <xdr:cNvPr id="3" name="Picture 2">
            <a:extLst>
              <a:ext uri="{FF2B5EF4-FFF2-40B4-BE49-F238E27FC236}">
                <a16:creationId xmlns:a16="http://schemas.microsoft.com/office/drawing/2014/main" id="{63C1C1D8-CC8E-4FAF-E01E-772F5C270C5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0DFCC27D-E07D-A031-6DA9-FA987310EB63}"/>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724780CA-D472-4E88-5BBA-D69D0293222D}"/>
              </a:ext>
            </a:extLst>
          </xdr:cNvPr>
          <xdr:cNvSpPr/>
        </xdr:nvSpPr>
        <xdr:spPr>
          <a:xfrm>
            <a:off x="322821" y="495823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2BF14B40-8352-B35D-5ED6-6F69EC5ED3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7610040F-4903-6FB5-BD31-7120B6724573}"/>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130781</xdr:rowOff>
    </xdr:to>
    <xdr:grpSp>
      <xdr:nvGrpSpPr>
        <xdr:cNvPr id="2" name="Group 1">
          <a:extLst>
            <a:ext uri="{FF2B5EF4-FFF2-40B4-BE49-F238E27FC236}">
              <a16:creationId xmlns:a16="http://schemas.microsoft.com/office/drawing/2014/main" id="{7F1744C7-7D1C-44E6-BEA4-7E731A4EC3A3}"/>
            </a:ext>
          </a:extLst>
        </xdr:cNvPr>
        <xdr:cNvGrpSpPr/>
      </xdr:nvGrpSpPr>
      <xdr:grpSpPr>
        <a:xfrm>
          <a:off x="0" y="0"/>
          <a:ext cx="11953875" cy="1911956"/>
          <a:chOff x="200024" y="4499942"/>
          <a:chExt cx="8857420" cy="1915766"/>
        </a:xfrm>
      </xdr:grpSpPr>
      <xdr:pic>
        <xdr:nvPicPr>
          <xdr:cNvPr id="3" name="Picture 2">
            <a:extLst>
              <a:ext uri="{FF2B5EF4-FFF2-40B4-BE49-F238E27FC236}">
                <a16:creationId xmlns:a16="http://schemas.microsoft.com/office/drawing/2014/main" id="{ECCA8482-560A-105E-4CD0-2980DEBCE4F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BDDDE1E0-BBAE-84FC-F1BE-346FC9B53424}"/>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4B90111A-4B15-02A2-BD55-C2141622ACE4}"/>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8E28DF9B-7C7F-F9D5-A7CD-6CD1DECC79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F3B536A9-719F-4903-CEB0-593417BF682C}"/>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22859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57974039-ACC8-4898-B34C-D09202619B99}"/>
            </a:ext>
          </a:extLst>
        </xdr:cNvPr>
        <xdr:cNvGrpSpPr/>
      </xdr:nvGrpSpPr>
      <xdr:grpSpPr>
        <a:xfrm>
          <a:off x="22859" y="0"/>
          <a:ext cx="16687800" cy="1819275"/>
          <a:chOff x="200024" y="4499942"/>
          <a:chExt cx="9312502" cy="1915766"/>
        </a:xfrm>
      </xdr:grpSpPr>
      <xdr:pic>
        <xdr:nvPicPr>
          <xdr:cNvPr id="3" name="Picture 2">
            <a:extLst>
              <a:ext uri="{FF2B5EF4-FFF2-40B4-BE49-F238E27FC236}">
                <a16:creationId xmlns:a16="http://schemas.microsoft.com/office/drawing/2014/main" id="{646AAE25-A73A-1AF0-C943-0D6AB0276A9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E49DCB0C-25B5-875A-7E21-7AE4DDF8B007}"/>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B40D8552-0236-91FC-BEEF-A5D384FFDD58}"/>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D11E5A0B-72F2-B4E7-D1AA-CF76E0D271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882CC536-723D-8108-3924-D6016844D7E5}"/>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134591</xdr:rowOff>
    </xdr:to>
    <xdr:grpSp>
      <xdr:nvGrpSpPr>
        <xdr:cNvPr id="2" name="Group 1">
          <a:extLst>
            <a:ext uri="{FF2B5EF4-FFF2-40B4-BE49-F238E27FC236}">
              <a16:creationId xmlns:a16="http://schemas.microsoft.com/office/drawing/2014/main" id="{43929D3E-34F2-4665-9B37-5C048512AB8B}"/>
            </a:ext>
          </a:extLst>
        </xdr:cNvPr>
        <xdr:cNvGrpSpPr/>
      </xdr:nvGrpSpPr>
      <xdr:grpSpPr>
        <a:xfrm>
          <a:off x="0" y="0"/>
          <a:ext cx="11953875" cy="1915766"/>
          <a:chOff x="200024" y="4499942"/>
          <a:chExt cx="8857420" cy="1915766"/>
        </a:xfrm>
      </xdr:grpSpPr>
      <xdr:pic>
        <xdr:nvPicPr>
          <xdr:cNvPr id="3" name="Picture 2">
            <a:extLst>
              <a:ext uri="{FF2B5EF4-FFF2-40B4-BE49-F238E27FC236}">
                <a16:creationId xmlns:a16="http://schemas.microsoft.com/office/drawing/2014/main" id="{95195A94-4595-8F59-4F59-E18FB077440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2774F49F-DD7B-C661-F0AA-A1E046EF3C9A}"/>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BB6060-4379-8331-26D0-D594E65CCF2A}"/>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1D8637-6898-C61C-7EEB-D10109E66E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DB25EAC2-AC0A-3F9F-074E-27F4A1AFF895}"/>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19049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4FD8600C-D43D-45C9-9F17-8B879B8795DD}"/>
            </a:ext>
          </a:extLst>
        </xdr:cNvPr>
        <xdr:cNvGrpSpPr/>
      </xdr:nvGrpSpPr>
      <xdr:grpSpPr>
        <a:xfrm>
          <a:off x="19049" y="0"/>
          <a:ext cx="16691610" cy="1819275"/>
          <a:chOff x="200024" y="4499942"/>
          <a:chExt cx="9312502" cy="1915766"/>
        </a:xfrm>
      </xdr:grpSpPr>
      <xdr:pic>
        <xdr:nvPicPr>
          <xdr:cNvPr id="3" name="Picture 2">
            <a:extLst>
              <a:ext uri="{FF2B5EF4-FFF2-40B4-BE49-F238E27FC236}">
                <a16:creationId xmlns:a16="http://schemas.microsoft.com/office/drawing/2014/main" id="{239C72E5-FF25-F36D-2C5C-EF91C811167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5B50DCC5-E3CD-0156-4D9C-EF0EDA9EA626}"/>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FBF89DAE-404B-52CD-C735-9C640D225977}"/>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CDFB1E08-701C-111B-B9D1-643D7FEBC6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1FF6F658-0914-52FE-FB13-AF65814D05A8}"/>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134591</xdr:rowOff>
    </xdr:to>
    <xdr:grpSp>
      <xdr:nvGrpSpPr>
        <xdr:cNvPr id="2" name="Group 1">
          <a:extLst>
            <a:ext uri="{FF2B5EF4-FFF2-40B4-BE49-F238E27FC236}">
              <a16:creationId xmlns:a16="http://schemas.microsoft.com/office/drawing/2014/main" id="{2A26B785-32C4-4FF6-AB5C-A2FA99B8A6C1}"/>
            </a:ext>
          </a:extLst>
        </xdr:cNvPr>
        <xdr:cNvGrpSpPr/>
      </xdr:nvGrpSpPr>
      <xdr:grpSpPr>
        <a:xfrm>
          <a:off x="0" y="0"/>
          <a:ext cx="11953875" cy="1915766"/>
          <a:chOff x="200024" y="4499942"/>
          <a:chExt cx="8857420" cy="1915766"/>
        </a:xfrm>
      </xdr:grpSpPr>
      <xdr:pic>
        <xdr:nvPicPr>
          <xdr:cNvPr id="3" name="Picture 2">
            <a:extLst>
              <a:ext uri="{FF2B5EF4-FFF2-40B4-BE49-F238E27FC236}">
                <a16:creationId xmlns:a16="http://schemas.microsoft.com/office/drawing/2014/main" id="{A892F170-1F23-3E05-1DCF-0F02F81F42CD}"/>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172D3F4E-7DB8-375D-99FA-34AA218175A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43F1E028-FE3E-AAEC-B1D6-9B55297380B8}"/>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4BC773AC-2171-9391-FA3C-FC8C0F2557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5DDC2E09-6ABC-D6DA-E094-BCFCEC37699C}"/>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stevens@elexiconenergy.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CACF-7793-47CD-932D-2F815714CDDF}">
  <dimension ref="A1:AH108"/>
  <sheetViews>
    <sheetView workbookViewId="0">
      <selection activeCell="D21" sqref="D21"/>
    </sheetView>
  </sheetViews>
  <sheetFormatPr defaultColWidth="9.28515625" defaultRowHeight="15.6" zeroHeight="1"/>
  <cols>
    <col min="1" max="1" width="14.7109375" style="116" customWidth="1"/>
    <col min="2" max="2" width="11.42578125" style="116" hidden="1" customWidth="1"/>
    <col min="3" max="3" width="26.7109375" style="116" customWidth="1"/>
    <col min="4" max="4" width="34.42578125" style="116" customWidth="1"/>
    <col min="5" max="5" width="30.7109375" style="134" customWidth="1"/>
    <col min="6" max="6" width="13.5703125" style="116" customWidth="1"/>
    <col min="7" max="25" width="9.28515625" style="116"/>
    <col min="26" max="26" width="8.5703125" style="116" customWidth="1"/>
    <col min="27" max="27" width="3.7109375" style="135" customWidth="1"/>
    <col min="28" max="28" width="67.7109375" style="135" hidden="1" customWidth="1"/>
    <col min="29" max="29" width="36" style="135" hidden="1" customWidth="1"/>
    <col min="30" max="31" width="16.28515625" style="135" customWidth="1"/>
    <col min="32" max="32" width="13.7109375" style="138" customWidth="1"/>
    <col min="33" max="33" width="24.42578125" style="138" customWidth="1"/>
    <col min="34" max="34" width="6.28515625" style="116" customWidth="1"/>
    <col min="35" max="35" width="9.28515625" style="116"/>
    <col min="36" max="36" width="45.28515625" style="116" customWidth="1"/>
    <col min="37" max="16384" width="9.28515625" style="116"/>
  </cols>
  <sheetData>
    <row r="1" spans="1:34" ht="31.5" customHeight="1">
      <c r="AB1" s="136" t="s">
        <v>0</v>
      </c>
      <c r="AC1" s="137" t="s">
        <v>1</v>
      </c>
    </row>
    <row r="2" spans="1:34" ht="28.9">
      <c r="C2" s="252"/>
      <c r="D2" s="252"/>
      <c r="E2" s="252"/>
      <c r="F2" s="252"/>
      <c r="G2" s="252"/>
      <c r="H2" s="252"/>
      <c r="I2" s="252"/>
      <c r="J2" s="252"/>
      <c r="AB2" s="136" t="s">
        <v>2</v>
      </c>
      <c r="AC2" s="139" t="s">
        <v>3</v>
      </c>
      <c r="AF2" s="135"/>
      <c r="AG2" s="135"/>
      <c r="AH2" s="135"/>
    </row>
    <row r="3" spans="1:34" ht="17.45">
      <c r="C3" s="252"/>
      <c r="D3" s="252"/>
      <c r="E3" s="252"/>
      <c r="F3" s="252"/>
      <c r="G3" s="252"/>
      <c r="H3" s="252"/>
      <c r="I3" s="252"/>
      <c r="J3" s="252"/>
      <c r="AB3" s="136" t="s">
        <v>4</v>
      </c>
    </row>
    <row r="4" spans="1:34" ht="17.45">
      <c r="C4" s="252"/>
      <c r="D4" s="252"/>
      <c r="E4" s="252"/>
      <c r="F4" s="252"/>
      <c r="G4" s="252"/>
      <c r="H4" s="252"/>
      <c r="I4" s="252"/>
      <c r="J4" s="252"/>
      <c r="AB4" s="136" t="s">
        <v>5</v>
      </c>
    </row>
    <row r="5" spans="1:34" ht="17.45">
      <c r="C5" s="252"/>
      <c r="D5" s="252"/>
      <c r="E5" s="252"/>
      <c r="F5" s="252"/>
      <c r="G5" s="252"/>
      <c r="H5" s="252"/>
      <c r="I5" s="252"/>
      <c r="J5" s="252"/>
      <c r="AB5" s="136" t="s">
        <v>6</v>
      </c>
    </row>
    <row r="6" spans="1:34">
      <c r="AB6" s="136" t="s">
        <v>7</v>
      </c>
    </row>
    <row r="7" spans="1:34">
      <c r="AB7" s="136" t="s">
        <v>8</v>
      </c>
    </row>
    <row r="8" spans="1:34">
      <c r="AB8" s="136" t="s">
        <v>9</v>
      </c>
    </row>
    <row r="9" spans="1:34">
      <c r="AB9" s="136" t="s">
        <v>10</v>
      </c>
    </row>
    <row r="10" spans="1:34" ht="9" customHeight="1">
      <c r="C10" s="140"/>
      <c r="AB10" s="136" t="s">
        <v>11</v>
      </c>
    </row>
    <row r="11" spans="1:34" ht="9" customHeight="1">
      <c r="AB11" s="136" t="s">
        <v>12</v>
      </c>
    </row>
    <row r="12" spans="1:34" ht="9" customHeight="1">
      <c r="AB12" s="136" t="s">
        <v>13</v>
      </c>
    </row>
    <row r="13" spans="1:34">
      <c r="A13" s="133" t="s">
        <v>14</v>
      </c>
      <c r="AB13" s="136" t="s">
        <v>15</v>
      </c>
    </row>
    <row r="14" spans="1:34" ht="16.149999999999999" thickBot="1">
      <c r="F14" s="134"/>
      <c r="G14" s="134"/>
      <c r="H14" s="134"/>
      <c r="AB14" s="136" t="s">
        <v>16</v>
      </c>
    </row>
    <row r="15" spans="1:34" ht="16.899999999999999" thickTop="1" thickBot="1">
      <c r="C15" s="141" t="s">
        <v>17</v>
      </c>
      <c r="D15" s="228" t="s">
        <v>18</v>
      </c>
      <c r="E15" s="229"/>
      <c r="F15" s="134"/>
      <c r="G15" s="134"/>
      <c r="H15" s="134"/>
      <c r="AB15" s="136" t="s">
        <v>19</v>
      </c>
    </row>
    <row r="16" spans="1:34" ht="16.149999999999999" thickBot="1">
      <c r="C16" s="142"/>
      <c r="D16"/>
      <c r="E16" s="126"/>
      <c r="G16" s="142"/>
      <c r="I16" s="142"/>
      <c r="AB16" s="136" t="s">
        <v>20</v>
      </c>
    </row>
    <row r="17" spans="3:33" ht="16.149999999999999" thickTop="1">
      <c r="C17" s="143" t="s">
        <v>21</v>
      </c>
      <c r="D17" s="127" t="s">
        <v>22</v>
      </c>
      <c r="E17" s="126"/>
      <c r="G17" s="142"/>
      <c r="I17" s="142"/>
      <c r="AB17" s="136" t="s">
        <v>23</v>
      </c>
    </row>
    <row r="18" spans="3:33" ht="16.149999999999999" thickBot="1">
      <c r="C18" s="142"/>
      <c r="D18"/>
      <c r="E18" s="126"/>
      <c r="G18" s="142"/>
      <c r="I18" s="142"/>
      <c r="AB18" s="136" t="s">
        <v>24</v>
      </c>
    </row>
    <row r="19" spans="3:33" ht="16.149999999999999" thickTop="1">
      <c r="C19" s="143" t="s">
        <v>25</v>
      </c>
      <c r="D19" s="230" t="s">
        <v>26</v>
      </c>
      <c r="E19" s="227"/>
      <c r="G19" s="144"/>
      <c r="H19" s="145"/>
      <c r="I19" s="142"/>
      <c r="AB19" s="136" t="s">
        <v>27</v>
      </c>
    </row>
    <row r="20" spans="3:33" ht="16.149999999999999" thickBot="1">
      <c r="C20" s="146"/>
      <c r="D20"/>
      <c r="E20" s="128"/>
      <c r="G20" s="146"/>
      <c r="I20" s="146"/>
      <c r="AA20" s="147"/>
      <c r="AB20" s="136" t="s">
        <v>28</v>
      </c>
      <c r="AD20" s="147"/>
      <c r="AE20" s="147"/>
      <c r="AF20" s="148"/>
      <c r="AG20" s="148"/>
    </row>
    <row r="21" spans="3:33" ht="16.149999999999999" thickTop="1">
      <c r="C21" s="149" t="s">
        <v>29</v>
      </c>
      <c r="D21" s="127"/>
      <c r="AB21" s="136" t="s">
        <v>30</v>
      </c>
      <c r="AE21" s="116"/>
      <c r="AF21" s="150"/>
      <c r="AG21" s="151"/>
    </row>
    <row r="22" spans="3:33" ht="16.149999999999999" thickBot="1">
      <c r="E22" s="145"/>
      <c r="AB22" s="136" t="s">
        <v>31</v>
      </c>
      <c r="AE22" s="116"/>
      <c r="AF22" s="150"/>
      <c r="AG22" s="151"/>
    </row>
    <row r="23" spans="3:33" ht="15" thickTop="1">
      <c r="C23" s="149" t="s">
        <v>32</v>
      </c>
      <c r="D23" s="226" t="s">
        <v>33</v>
      </c>
      <c r="E23" s="227"/>
      <c r="AB23" s="136" t="s">
        <v>34</v>
      </c>
      <c r="AE23" s="116"/>
      <c r="AF23" s="150"/>
      <c r="AG23" s="151"/>
    </row>
    <row r="24" spans="3:33" ht="16.149999999999999" thickBot="1">
      <c r="D24" s="152"/>
      <c r="I24" s="153"/>
      <c r="AB24" s="136" t="s">
        <v>35</v>
      </c>
      <c r="AE24" s="116"/>
      <c r="AF24" s="150"/>
      <c r="AG24" s="151"/>
    </row>
    <row r="25" spans="3:33" ht="15.75" customHeight="1" thickTop="1">
      <c r="C25" s="149" t="s">
        <v>36</v>
      </c>
      <c r="D25" s="129"/>
      <c r="AB25" s="136" t="s">
        <v>37</v>
      </c>
      <c r="AE25" s="116"/>
      <c r="AF25" s="150"/>
      <c r="AG25" s="151"/>
    </row>
    <row r="26" spans="3:33" ht="15.75" customHeight="1" thickBot="1">
      <c r="AB26" s="136" t="s">
        <v>38</v>
      </c>
      <c r="AE26" s="116"/>
      <c r="AF26" s="150"/>
      <c r="AG26" s="151"/>
    </row>
    <row r="27" spans="3:33" ht="15.75" customHeight="1" thickTop="1">
      <c r="C27" s="149" t="s">
        <v>39</v>
      </c>
      <c r="D27" s="129">
        <v>2027</v>
      </c>
      <c r="AB27" s="136" t="s">
        <v>40</v>
      </c>
      <c r="AE27" s="116"/>
      <c r="AF27" s="150"/>
      <c r="AG27" s="151"/>
    </row>
    <row r="28" spans="3:33" ht="15.75" customHeight="1">
      <c r="C28" s="154"/>
      <c r="AB28" s="136" t="s">
        <v>41</v>
      </c>
      <c r="AE28" s="116"/>
      <c r="AF28" s="150"/>
      <c r="AG28" s="151"/>
    </row>
    <row r="29" spans="3:33" ht="15.75" customHeight="1">
      <c r="C29" s="154"/>
      <c r="AB29" s="136" t="s">
        <v>42</v>
      </c>
      <c r="AE29" s="116"/>
      <c r="AF29" s="150"/>
      <c r="AG29" s="151"/>
    </row>
    <row r="30" spans="3:33" ht="15.75" customHeight="1">
      <c r="AB30" s="136" t="s">
        <v>43</v>
      </c>
      <c r="AE30" s="116"/>
      <c r="AF30" s="150"/>
      <c r="AG30" s="151"/>
    </row>
    <row r="31" spans="3:33">
      <c r="AB31" s="136" t="s">
        <v>44</v>
      </c>
      <c r="AE31" s="116"/>
      <c r="AF31" s="150"/>
      <c r="AG31" s="151"/>
    </row>
    <row r="32" spans="3:33">
      <c r="F32" s="135"/>
      <c r="G32" s="135"/>
      <c r="H32" s="135"/>
      <c r="I32" s="135"/>
      <c r="J32" s="135"/>
      <c r="K32" s="135"/>
      <c r="AB32" s="136" t="s">
        <v>45</v>
      </c>
      <c r="AE32" s="116"/>
      <c r="AF32" s="150"/>
      <c r="AG32" s="151"/>
    </row>
    <row r="33" spans="3:33">
      <c r="F33" s="135"/>
      <c r="G33" s="135"/>
      <c r="H33" s="135"/>
      <c r="I33" s="135"/>
      <c r="J33" s="135"/>
      <c r="K33" s="135"/>
      <c r="AB33" s="136" t="s">
        <v>46</v>
      </c>
      <c r="AE33" s="116"/>
      <c r="AF33" s="150"/>
      <c r="AG33" s="151"/>
    </row>
    <row r="34" spans="3:33">
      <c r="F34" s="135"/>
      <c r="G34" s="135"/>
      <c r="H34" s="135"/>
      <c r="I34" s="135"/>
      <c r="J34" s="135"/>
      <c r="K34" s="135"/>
      <c r="AB34" s="136" t="s">
        <v>47</v>
      </c>
      <c r="AE34" s="116"/>
      <c r="AF34" s="150"/>
      <c r="AG34" s="151"/>
    </row>
    <row r="35" spans="3:33">
      <c r="D35" s="155"/>
      <c r="E35" s="116"/>
      <c r="F35" s="156"/>
      <c r="G35" s="156"/>
      <c r="H35" s="156"/>
      <c r="I35" s="156"/>
      <c r="J35" s="156"/>
      <c r="K35" s="156"/>
      <c r="AB35" s="136" t="s">
        <v>48</v>
      </c>
      <c r="AE35" s="116"/>
      <c r="AF35" s="150"/>
      <c r="AG35" s="151"/>
    </row>
    <row r="36" spans="3:33" ht="15.75" customHeight="1">
      <c r="D36" s="154"/>
      <c r="E36" s="116"/>
      <c r="F36" s="157"/>
      <c r="G36" s="135"/>
      <c r="H36" s="135"/>
      <c r="I36" s="135"/>
      <c r="J36" s="135"/>
      <c r="K36" s="135"/>
      <c r="AB36" s="136" t="s">
        <v>49</v>
      </c>
      <c r="AE36" s="116"/>
      <c r="AF36" s="150"/>
      <c r="AG36" s="151"/>
    </row>
    <row r="37" spans="3:33" ht="15.75" customHeight="1">
      <c r="D37" s="155"/>
      <c r="E37" s="116"/>
      <c r="F37" s="156"/>
      <c r="G37" s="156"/>
      <c r="H37" s="156"/>
      <c r="I37" s="156"/>
      <c r="J37" s="156"/>
      <c r="K37" s="156"/>
      <c r="AB37" s="136" t="s">
        <v>50</v>
      </c>
      <c r="AE37" s="116"/>
      <c r="AF37" s="150"/>
      <c r="AG37" s="151"/>
    </row>
    <row r="38" spans="3:33" ht="15.75" customHeight="1">
      <c r="D38" s="154"/>
      <c r="E38" s="116"/>
      <c r="F38" s="157"/>
      <c r="G38" s="135"/>
      <c r="H38" s="135"/>
      <c r="I38" s="135"/>
      <c r="J38" s="135"/>
      <c r="K38" s="135"/>
      <c r="AB38" s="136" t="s">
        <v>51</v>
      </c>
      <c r="AE38" s="116"/>
      <c r="AF38" s="150"/>
      <c r="AG38" s="151"/>
    </row>
    <row r="39" spans="3:33" ht="15.75" customHeight="1">
      <c r="D39" s="155"/>
      <c r="E39" s="155"/>
      <c r="F39" s="156"/>
      <c r="G39" s="156"/>
      <c r="H39" s="156"/>
      <c r="I39" s="156"/>
      <c r="J39" s="156"/>
      <c r="K39" s="156"/>
      <c r="AB39" s="136" t="s">
        <v>52</v>
      </c>
      <c r="AE39" s="116"/>
      <c r="AF39" s="150"/>
      <c r="AG39" s="151"/>
    </row>
    <row r="40" spans="3:33">
      <c r="D40" s="154"/>
      <c r="E40" s="116"/>
      <c r="F40" s="158"/>
      <c r="G40" s="135"/>
      <c r="H40" s="135"/>
      <c r="I40" s="135"/>
      <c r="J40" s="135"/>
      <c r="K40" s="135"/>
      <c r="AB40" s="136" t="s">
        <v>53</v>
      </c>
      <c r="AE40" s="116"/>
      <c r="AF40" s="150"/>
      <c r="AG40" s="151"/>
    </row>
    <row r="41" spans="3:33">
      <c r="D41" s="154"/>
      <c r="E41" s="154"/>
      <c r="F41" s="156"/>
      <c r="G41" s="156"/>
      <c r="H41" s="156"/>
      <c r="I41" s="156"/>
      <c r="J41" s="156"/>
      <c r="K41" s="156"/>
      <c r="AB41" s="136" t="s">
        <v>54</v>
      </c>
      <c r="AE41" s="116"/>
      <c r="AF41" s="150"/>
      <c r="AG41" s="151"/>
    </row>
    <row r="42" spans="3:33" ht="14.45">
      <c r="E42" s="116"/>
      <c r="F42" s="135"/>
      <c r="G42" s="135"/>
      <c r="H42" s="135"/>
      <c r="I42" s="135"/>
      <c r="J42" s="135"/>
      <c r="K42" s="135"/>
      <c r="AB42" s="136" t="s">
        <v>55</v>
      </c>
      <c r="AE42" s="116"/>
      <c r="AF42" s="150"/>
      <c r="AG42" s="151"/>
    </row>
    <row r="43" spans="3:33">
      <c r="D43" s="154"/>
      <c r="E43" s="154"/>
      <c r="F43" s="159"/>
      <c r="G43" s="159"/>
      <c r="H43" s="160"/>
      <c r="I43" s="160"/>
      <c r="J43" s="160"/>
      <c r="K43" s="160"/>
      <c r="AB43" s="136" t="s">
        <v>56</v>
      </c>
      <c r="AE43" s="116"/>
      <c r="AF43" s="150"/>
      <c r="AG43" s="151"/>
    </row>
    <row r="44" spans="3:33" ht="14.45">
      <c r="E44" s="116"/>
      <c r="F44" s="135"/>
      <c r="G44" s="135"/>
      <c r="H44" s="135"/>
      <c r="I44" s="135"/>
      <c r="J44" s="135"/>
      <c r="K44" s="135"/>
      <c r="AB44" s="136" t="s">
        <v>57</v>
      </c>
      <c r="AE44" s="116"/>
      <c r="AF44" s="150"/>
      <c r="AG44" s="151"/>
    </row>
    <row r="45" spans="3:33" ht="15" customHeight="1">
      <c r="D45" s="161"/>
      <c r="E45" s="161"/>
      <c r="F45" s="162"/>
      <c r="G45" s="162"/>
      <c r="H45" s="162"/>
      <c r="I45" s="163"/>
      <c r="J45" s="163"/>
      <c r="K45" s="163"/>
      <c r="AB45" s="136" t="s">
        <v>58</v>
      </c>
      <c r="AE45" s="116"/>
      <c r="AF45" s="150"/>
      <c r="AG45" s="151"/>
    </row>
    <row r="46" spans="3:33" ht="15" customHeight="1">
      <c r="C46" s="161"/>
      <c r="D46" s="161"/>
      <c r="E46" s="161"/>
      <c r="F46" s="162"/>
      <c r="G46" s="162"/>
      <c r="H46" s="162"/>
      <c r="I46" s="163"/>
      <c r="J46" s="163"/>
      <c r="K46" s="163"/>
      <c r="AB46" s="136" t="s">
        <v>59</v>
      </c>
      <c r="AE46" s="116"/>
      <c r="AF46" s="150"/>
      <c r="AG46" s="151"/>
    </row>
    <row r="47" spans="3:33">
      <c r="F47" s="135"/>
      <c r="G47" s="135"/>
      <c r="H47" s="135"/>
      <c r="I47" s="135"/>
      <c r="J47" s="135"/>
      <c r="K47" s="135"/>
      <c r="AB47" s="136" t="s">
        <v>60</v>
      </c>
      <c r="AE47" s="116"/>
      <c r="AF47" s="150"/>
      <c r="AG47" s="151"/>
    </row>
    <row r="48" spans="3:33">
      <c r="F48" s="135"/>
      <c r="G48" s="135"/>
      <c r="H48" s="135"/>
      <c r="I48" s="135"/>
      <c r="J48" s="135"/>
      <c r="K48" s="135"/>
      <c r="AB48" s="136" t="s">
        <v>61</v>
      </c>
      <c r="AE48" s="116"/>
      <c r="AF48" s="150"/>
      <c r="AG48" s="151"/>
    </row>
    <row r="49" spans="28:33">
      <c r="AB49" s="136" t="s">
        <v>62</v>
      </c>
      <c r="AE49" s="116"/>
      <c r="AF49" s="150"/>
      <c r="AG49" s="151"/>
    </row>
    <row r="50" spans="28:33">
      <c r="AB50" s="136" t="s">
        <v>63</v>
      </c>
      <c r="AE50" s="116"/>
      <c r="AF50" s="150"/>
      <c r="AG50" s="151"/>
    </row>
    <row r="51" spans="28:33">
      <c r="AB51" s="136" t="s">
        <v>64</v>
      </c>
      <c r="AE51" s="116"/>
      <c r="AF51" s="150"/>
      <c r="AG51" s="151"/>
    </row>
    <row r="52" spans="28:33">
      <c r="AB52" s="136" t="s">
        <v>65</v>
      </c>
      <c r="AE52" s="116"/>
      <c r="AF52" s="150"/>
      <c r="AG52" s="151"/>
    </row>
    <row r="53" spans="28:33">
      <c r="AB53" s="136" t="s">
        <v>66</v>
      </c>
      <c r="AE53" s="116"/>
      <c r="AF53" s="150"/>
      <c r="AG53" s="151"/>
    </row>
    <row r="54" spans="28:33">
      <c r="AB54" s="136" t="s">
        <v>67</v>
      </c>
      <c r="AE54" s="116"/>
      <c r="AF54" s="150"/>
      <c r="AG54" s="151"/>
    </row>
    <row r="55" spans="28:33">
      <c r="AB55" s="136" t="s">
        <v>68</v>
      </c>
      <c r="AE55" s="116"/>
      <c r="AF55" s="150"/>
      <c r="AG55" s="151"/>
    </row>
    <row r="56" spans="28:33">
      <c r="AB56" s="136" t="s">
        <v>69</v>
      </c>
      <c r="AE56" s="116"/>
      <c r="AF56" s="150"/>
      <c r="AG56" s="151"/>
    </row>
    <row r="57" spans="28:33">
      <c r="AB57" s="136" t="s">
        <v>70</v>
      </c>
      <c r="AE57" s="116"/>
      <c r="AF57" s="150"/>
      <c r="AG57" s="151"/>
    </row>
    <row r="58" spans="28:33">
      <c r="AB58" s="136" t="s">
        <v>71</v>
      </c>
      <c r="AE58" s="116"/>
      <c r="AF58" s="150"/>
      <c r="AG58" s="151"/>
    </row>
    <row r="59" spans="28:33">
      <c r="AB59" s="136" t="s">
        <v>72</v>
      </c>
      <c r="AE59" s="116"/>
      <c r="AF59" s="150"/>
      <c r="AG59" s="151"/>
    </row>
    <row r="60" spans="28:33">
      <c r="AB60" s="136" t="s">
        <v>73</v>
      </c>
      <c r="AE60" s="116"/>
      <c r="AF60" s="150"/>
      <c r="AG60" s="151"/>
    </row>
    <row r="61" spans="28:33">
      <c r="AB61" s="136" t="s">
        <v>74</v>
      </c>
      <c r="AE61" s="116"/>
      <c r="AF61" s="150"/>
      <c r="AG61" s="151"/>
    </row>
    <row r="62" spans="28:33">
      <c r="AB62" s="136" t="s">
        <v>75</v>
      </c>
      <c r="AE62" s="116"/>
      <c r="AF62" s="150"/>
      <c r="AG62" s="151"/>
    </row>
    <row r="63" spans="28:33">
      <c r="AB63" s="136" t="s">
        <v>76</v>
      </c>
      <c r="AE63" s="116"/>
      <c r="AF63" s="150"/>
      <c r="AG63" s="151"/>
    </row>
    <row r="64" spans="28:33">
      <c r="AB64" s="136" t="s">
        <v>77</v>
      </c>
      <c r="AE64" s="116"/>
      <c r="AF64" s="150"/>
      <c r="AG64" s="151"/>
    </row>
    <row r="65" spans="28:33">
      <c r="AB65" s="136" t="s">
        <v>78</v>
      </c>
      <c r="AE65" s="116"/>
      <c r="AF65" s="150"/>
      <c r="AG65" s="151"/>
    </row>
    <row r="66" spans="28:33">
      <c r="AB66" s="136" t="s">
        <v>79</v>
      </c>
      <c r="AE66" s="116"/>
      <c r="AF66" s="150"/>
      <c r="AG66" s="151"/>
    </row>
    <row r="67" spans="28:33">
      <c r="AB67" s="136" t="s">
        <v>80</v>
      </c>
      <c r="AE67" s="116"/>
      <c r="AF67" s="150"/>
      <c r="AG67" s="151"/>
    </row>
    <row r="68" spans="28:33">
      <c r="AB68" s="136" t="s">
        <v>81</v>
      </c>
      <c r="AE68" s="116"/>
      <c r="AF68" s="150"/>
      <c r="AG68" s="151"/>
    </row>
    <row r="69" spans="28:33">
      <c r="AB69" s="136" t="s">
        <v>82</v>
      </c>
      <c r="AE69" s="116"/>
      <c r="AF69" s="150"/>
      <c r="AG69" s="151"/>
    </row>
    <row r="70" spans="28:33">
      <c r="AB70" s="136" t="s">
        <v>83</v>
      </c>
      <c r="AE70" s="116"/>
      <c r="AF70" s="150"/>
      <c r="AG70" s="151"/>
    </row>
    <row r="71" spans="28:33">
      <c r="AB71" s="136" t="s">
        <v>84</v>
      </c>
      <c r="AE71" s="116"/>
      <c r="AF71" s="150"/>
      <c r="AG71" s="151"/>
    </row>
    <row r="72" spans="28:33">
      <c r="AB72" s="136" t="s">
        <v>85</v>
      </c>
      <c r="AC72" s="116"/>
      <c r="AE72" s="116"/>
      <c r="AF72" s="150"/>
      <c r="AG72" s="151"/>
    </row>
    <row r="73" spans="28:33">
      <c r="AC73" s="116"/>
      <c r="AE73" s="116"/>
      <c r="AF73" s="150"/>
      <c r="AG73" s="151"/>
    </row>
    <row r="74" spans="28:33">
      <c r="AC74" s="116"/>
      <c r="AE74" s="116"/>
      <c r="AF74" s="150"/>
      <c r="AG74" s="151"/>
    </row>
    <row r="75" spans="28:33">
      <c r="AC75" s="116"/>
      <c r="AE75" s="116"/>
      <c r="AF75" s="150"/>
      <c r="AG75" s="151"/>
    </row>
    <row r="76" spans="28:33">
      <c r="AC76" s="116"/>
      <c r="AE76" s="116"/>
      <c r="AF76" s="150"/>
      <c r="AG76" s="151"/>
    </row>
    <row r="77" spans="28:33">
      <c r="AC77" s="116"/>
      <c r="AE77" s="116"/>
      <c r="AF77" s="150"/>
      <c r="AG77" s="151"/>
    </row>
    <row r="78" spans="28:33">
      <c r="AC78" s="116"/>
      <c r="AE78" s="116"/>
      <c r="AF78" s="150"/>
      <c r="AG78" s="151"/>
    </row>
    <row r="79" spans="28:33">
      <c r="AC79" s="116"/>
      <c r="AE79" s="116"/>
      <c r="AF79" s="150"/>
      <c r="AG79" s="151"/>
    </row>
    <row r="80" spans="28:33">
      <c r="AC80" s="116"/>
      <c r="AE80" s="116"/>
      <c r="AF80" s="150"/>
      <c r="AG80" s="151"/>
    </row>
    <row r="81" spans="29:33">
      <c r="AC81" s="116"/>
      <c r="AE81" s="116"/>
      <c r="AF81" s="150"/>
      <c r="AG81" s="151"/>
    </row>
    <row r="82" spans="29:33">
      <c r="AC82" s="116"/>
      <c r="AE82" s="116"/>
      <c r="AF82" s="150"/>
      <c r="AG82" s="151"/>
    </row>
    <row r="83" spans="29:33">
      <c r="AC83" s="116"/>
      <c r="AE83" s="116"/>
      <c r="AF83" s="150"/>
      <c r="AG83" s="151"/>
    </row>
    <row r="84" spans="29:33">
      <c r="AC84" s="116"/>
      <c r="AE84" s="116"/>
      <c r="AF84" s="150"/>
      <c r="AG84" s="151"/>
    </row>
    <row r="85" spans="29:33">
      <c r="AC85" s="116"/>
      <c r="AE85" s="116"/>
      <c r="AF85" s="151"/>
      <c r="AG85" s="151"/>
    </row>
    <row r="86" spans="29:33">
      <c r="AC86" s="116"/>
      <c r="AE86" s="116"/>
      <c r="AF86" s="151"/>
      <c r="AG86" s="151"/>
    </row>
    <row r="87" spans="29:33">
      <c r="AC87" s="116"/>
      <c r="AE87" s="116"/>
      <c r="AF87" s="151"/>
      <c r="AG87" s="151"/>
    </row>
    <row r="88" spans="29:33">
      <c r="AC88" s="164"/>
      <c r="AF88" s="151"/>
      <c r="AG88" s="151"/>
    </row>
    <row r="89" spans="29:33">
      <c r="AC89" s="164"/>
      <c r="AF89" s="151"/>
      <c r="AG89" s="151"/>
    </row>
    <row r="90" spans="29:33">
      <c r="AC90" s="164"/>
      <c r="AF90" s="151"/>
      <c r="AG90" s="151"/>
    </row>
    <row r="91" spans="29:33">
      <c r="AC91" s="164"/>
      <c r="AF91" s="151"/>
      <c r="AG91" s="151"/>
    </row>
    <row r="92" spans="29:33">
      <c r="AC92" s="164"/>
      <c r="AF92" s="151"/>
      <c r="AG92" s="151"/>
    </row>
    <row r="93" spans="29:33">
      <c r="AC93" s="164"/>
      <c r="AF93" s="151"/>
      <c r="AG93" s="151"/>
    </row>
    <row r="94" spans="29:33">
      <c r="AC94" s="164"/>
      <c r="AF94" s="151"/>
      <c r="AG94" s="151"/>
    </row>
    <row r="95" spans="29:33">
      <c r="AC95" s="164"/>
      <c r="AF95" s="151"/>
      <c r="AG95" s="151"/>
    </row>
    <row r="96" spans="29:33">
      <c r="AC96" s="164"/>
      <c r="AF96" s="151"/>
      <c r="AG96" s="151"/>
    </row>
    <row r="97" spans="29:33">
      <c r="AC97" s="164"/>
      <c r="AF97" s="151"/>
      <c r="AG97" s="151"/>
    </row>
    <row r="98" spans="29:33">
      <c r="AC98" s="164"/>
      <c r="AF98" s="151"/>
      <c r="AG98" s="151"/>
    </row>
    <row r="99" spans="29:33">
      <c r="AC99" s="164"/>
      <c r="AF99" s="151"/>
      <c r="AG99" s="151"/>
    </row>
    <row r="100" spans="29:33">
      <c r="AC100" s="164"/>
      <c r="AF100" s="151"/>
      <c r="AG100" s="151"/>
    </row>
    <row r="101" spans="29:33">
      <c r="AC101" s="164"/>
      <c r="AF101" s="151"/>
      <c r="AG101" s="151"/>
    </row>
    <row r="102" spans="29:33">
      <c r="AC102" s="164"/>
      <c r="AF102" s="151"/>
      <c r="AG102" s="151"/>
    </row>
    <row r="103" spans="29:33">
      <c r="AC103" s="164"/>
      <c r="AF103" s="151"/>
      <c r="AG103" s="151"/>
    </row>
    <row r="104" spans="29:33">
      <c r="AC104" s="164"/>
      <c r="AF104" s="151"/>
      <c r="AG104" s="151"/>
    </row>
    <row r="105" spans="29:33" hidden="1">
      <c r="AC105" s="164"/>
      <c r="AF105" s="151"/>
      <c r="AG105" s="151"/>
    </row>
    <row r="106" spans="29:33" hidden="1">
      <c r="AC106" s="164"/>
      <c r="AF106" s="151"/>
      <c r="AG106" s="151"/>
    </row>
    <row r="107" spans="29:33"/>
    <row r="108" spans="29:33"/>
  </sheetData>
  <mergeCells count="7">
    <mergeCell ref="D23:E23"/>
    <mergeCell ref="C2:J2"/>
    <mergeCell ref="C3:J3"/>
    <mergeCell ref="C4:J4"/>
    <mergeCell ref="C5:J5"/>
    <mergeCell ref="D15:E15"/>
    <mergeCell ref="D19:E19"/>
  </mergeCells>
  <dataValidations count="4">
    <dataValidation type="list" allowBlank="1" showInputMessage="1" showErrorMessage="1" sqref="D27" xr:uid="{379A6C1E-3386-4C51-9457-EE67BBEBFFAA}">
      <formula1>"2026,2027,2028"</formula1>
    </dataValidation>
    <dataValidation type="list" allowBlank="1" showInputMessage="1" showErrorMessage="1" sqref="I45:K46" xr:uid="{72BB161A-4EC7-47BD-90D2-540F1486E76F}">
      <formula1>"Excel 2000, Excel 2003, Excel 2007, Excel 2010"</formula1>
    </dataValidation>
    <dataValidation allowBlank="1" showInputMessage="1" showErrorMessage="1" promptTitle="Inputting Date" prompt="Please Use the following format:_x000a__x000a_E.g:  May 1, 2012" sqref="H43:K43" xr:uid="{8C2F61B2-C735-4B30-A76E-C4E1DD0330F0}"/>
    <dataValidation type="list" allowBlank="1" showInputMessage="1" showErrorMessage="1" sqref="D25" xr:uid="{C526A2D0-0FA8-4700-A401-F82C75D45BA2}">
      <formula1>"2009,2010,2011,2012, 2013, 2014, 2015, 2016, 2017,2018,2019,2020,2021,2022,2023"</formula1>
    </dataValidation>
  </dataValidations>
  <hyperlinks>
    <hyperlink ref="D23" r:id="rId1" xr:uid="{ED6DDB92-CFDF-4CDC-8E90-F0DB1C475DC4}"/>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92DD-747F-4D05-BBCD-C6AC5388EE78}">
  <dimension ref="A13:T113"/>
  <sheetViews>
    <sheetView topLeftCell="B24" workbookViewId="0">
      <selection activeCell="F15" sqref="F15"/>
    </sheetView>
  </sheetViews>
  <sheetFormatPr defaultColWidth="9.28515625" defaultRowHeight="13.15"/>
  <cols>
    <col min="1" max="1" width="11.7109375" style="1" hidden="1" customWidth="1"/>
    <col min="2" max="2" width="30.28515625" style="1" customWidth="1"/>
    <col min="3" max="3" width="3.7109375" style="1" customWidth="1"/>
    <col min="4" max="4" width="13.7109375" style="1" customWidth="1"/>
    <col min="5" max="5" width="15.28515625" style="1" customWidth="1"/>
    <col min="6" max="6" width="13.7109375" style="1" customWidth="1"/>
    <col min="7" max="7" width="2.7109375" style="1" customWidth="1"/>
    <col min="8" max="8" width="13.7109375" style="1" customWidth="1"/>
    <col min="9" max="9" width="10.28515625" style="1" bestFit="1" customWidth="1"/>
    <col min="10" max="10" width="13.7109375" style="1" customWidth="1"/>
    <col min="11" max="11" width="3.28515625" style="1" customWidth="1"/>
    <col min="12" max="12" width="13.7109375" style="1" customWidth="1"/>
    <col min="13" max="13" width="9.42578125" style="1" bestFit="1" customWidth="1"/>
    <col min="14" max="14" width="13.7109375" style="1" customWidth="1"/>
    <col min="15" max="15" width="3.7109375" style="1" customWidth="1"/>
    <col min="16" max="16" width="18.28515625" style="1" customWidth="1"/>
    <col min="17" max="17" width="9.28515625" style="1"/>
    <col min="18" max="20" width="11.5703125" style="1" customWidth="1"/>
    <col min="21" max="16384" width="9.28515625" style="1"/>
  </cols>
  <sheetData>
    <row r="13" spans="2:17" ht="18.75" customHeight="1">
      <c r="B13" s="249" t="s">
        <v>182</v>
      </c>
      <c r="C13" s="246"/>
      <c r="D13" s="246"/>
      <c r="E13" s="246"/>
      <c r="F13" s="246"/>
      <c r="G13" s="246"/>
      <c r="H13" s="246"/>
      <c r="I13" s="246"/>
      <c r="J13" s="246"/>
      <c r="K13" s="246"/>
      <c r="L13" s="246"/>
      <c r="M13" s="246"/>
      <c r="N13" s="246"/>
      <c r="O13" s="246"/>
      <c r="P13" s="246"/>
    </row>
    <row r="16" spans="2:17">
      <c r="B16" s="71" t="s">
        <v>157</v>
      </c>
      <c r="C16" s="72"/>
      <c r="D16" s="247" t="s">
        <v>128</v>
      </c>
      <c r="E16" s="247"/>
      <c r="F16" s="247"/>
      <c r="G16" s="72"/>
      <c r="H16" s="247" t="s">
        <v>158</v>
      </c>
      <c r="I16" s="247"/>
      <c r="J16" s="247"/>
      <c r="K16" s="72"/>
      <c r="L16" s="247" t="s">
        <v>159</v>
      </c>
      <c r="M16" s="247"/>
      <c r="N16" s="247"/>
      <c r="O16" s="72"/>
      <c r="P16" s="71" t="s">
        <v>160</v>
      </c>
      <c r="Q16" s="26"/>
    </row>
    <row r="17" spans="2:17" ht="15.6">
      <c r="B17" s="26"/>
      <c r="C17" s="26"/>
      <c r="D17" s="248"/>
      <c r="E17" s="248"/>
      <c r="F17" s="248"/>
      <c r="G17" s="26"/>
      <c r="H17" s="248"/>
      <c r="I17" s="248"/>
      <c r="J17" s="248"/>
      <c r="K17" s="26"/>
      <c r="L17" s="248"/>
      <c r="M17" s="248"/>
      <c r="N17" s="248"/>
      <c r="O17" s="26"/>
      <c r="P17" s="90"/>
      <c r="Q17" s="73"/>
    </row>
    <row r="18" spans="2:17">
      <c r="B18" s="74" t="s">
        <v>161</v>
      </c>
      <c r="C18" s="26"/>
      <c r="D18" s="90" t="s">
        <v>162</v>
      </c>
      <c r="E18" s="90" t="s">
        <v>100</v>
      </c>
      <c r="F18" s="90" t="s">
        <v>163</v>
      </c>
      <c r="G18" s="26"/>
      <c r="H18" s="90" t="s">
        <v>162</v>
      </c>
      <c r="I18" s="90" t="s">
        <v>100</v>
      </c>
      <c r="J18" s="90" t="s">
        <v>163</v>
      </c>
      <c r="K18" s="26"/>
      <c r="L18" s="90" t="s">
        <v>162</v>
      </c>
      <c r="M18" s="90" t="s">
        <v>100</v>
      </c>
      <c r="N18" s="90" t="s">
        <v>163</v>
      </c>
      <c r="O18" s="26"/>
      <c r="P18" s="90" t="s">
        <v>163</v>
      </c>
      <c r="Q18" s="26"/>
    </row>
    <row r="19" spans="2:17">
      <c r="B19" s="26"/>
      <c r="C19" s="26"/>
      <c r="D19" s="26"/>
      <c r="E19" s="26"/>
      <c r="F19" s="26"/>
      <c r="G19" s="26"/>
      <c r="H19" s="26"/>
      <c r="I19" s="26"/>
      <c r="J19" s="26"/>
      <c r="K19" s="26"/>
      <c r="L19" s="26"/>
      <c r="M19" s="26"/>
      <c r="N19" s="26"/>
      <c r="O19" s="26"/>
      <c r="P19" s="26"/>
      <c r="Q19" s="26"/>
    </row>
    <row r="20" spans="2:17">
      <c r="B20" s="27" t="s">
        <v>164</v>
      </c>
      <c r="C20" s="26"/>
      <c r="D20" s="97">
        <v>326530.70121265564</v>
      </c>
      <c r="E20" s="92">
        <f>'4. UTRs &amp; Sub-Transmission'!M22</f>
        <v>6.7584755882424217</v>
      </c>
      <c r="F20" s="98">
        <f>D20*E20</f>
        <v>2206849.7729574135</v>
      </c>
      <c r="G20" s="26"/>
      <c r="H20" s="97">
        <v>168961.19519859072</v>
      </c>
      <c r="I20" s="92">
        <f>'4. UTRs &amp; Sub-Transmission'!M24</f>
        <v>1.0878936347271062</v>
      </c>
      <c r="J20" s="98">
        <f>H20*I20</f>
        <v>183811.80877243096</v>
      </c>
      <c r="K20" s="26"/>
      <c r="L20" s="97">
        <v>347901.76421254757</v>
      </c>
      <c r="M20" s="92">
        <f>'4. UTRs &amp; Sub-Transmission'!M26</f>
        <v>3.6651792464754558</v>
      </c>
      <c r="N20" s="98">
        <f>L20*M20</f>
        <v>1275122.3260040267</v>
      </c>
      <c r="O20" s="26"/>
      <c r="P20" s="80">
        <f t="shared" ref="P20:P31" si="0">J20+N20</f>
        <v>1458934.1347764577</v>
      </c>
      <c r="Q20" s="26"/>
    </row>
    <row r="21" spans="2:17">
      <c r="B21" s="27" t="s">
        <v>165</v>
      </c>
      <c r="C21" s="26"/>
      <c r="D21" s="97">
        <v>320392.31702196045</v>
      </c>
      <c r="E21" s="92">
        <f>E20</f>
        <v>6.7584755882424217</v>
      </c>
      <c r="F21" s="98">
        <f t="shared" ref="F21:F31" si="1">D21*E21</f>
        <v>2165363.6532533467</v>
      </c>
      <c r="G21" s="26"/>
      <c r="H21" s="97">
        <v>177457.32026418729</v>
      </c>
      <c r="I21" s="92">
        <f>I20</f>
        <v>1.0878936347271062</v>
      </c>
      <c r="J21" s="98">
        <f t="shared" ref="J21:J31" si="2">H21*I21</f>
        <v>193054.68915113888</v>
      </c>
      <c r="K21" s="26"/>
      <c r="L21" s="97">
        <v>340405.05871853023</v>
      </c>
      <c r="M21" s="92">
        <f>M20</f>
        <v>3.6651792464754558</v>
      </c>
      <c r="N21" s="98">
        <f t="shared" ref="N21:N31" si="3">L21*M21</f>
        <v>1247645.5566104159</v>
      </c>
      <c r="O21" s="26"/>
      <c r="P21" s="80">
        <f t="shared" si="0"/>
        <v>1440700.2457615547</v>
      </c>
      <c r="Q21" s="26"/>
    </row>
    <row r="22" spans="2:17">
      <c r="B22" s="27" t="s">
        <v>166</v>
      </c>
      <c r="C22" s="26"/>
      <c r="D22" s="97">
        <v>315171.83195050166</v>
      </c>
      <c r="E22" s="92">
        <f>E21</f>
        <v>6.7584755882424217</v>
      </c>
      <c r="F22" s="98">
        <f t="shared" si="1"/>
        <v>2130081.1323391083</v>
      </c>
      <c r="G22" s="26"/>
      <c r="H22" s="97">
        <v>169692.7618553293</v>
      </c>
      <c r="I22" s="92">
        <f t="shared" ref="I22:I31" si="4">I21</f>
        <v>1.0878936347271062</v>
      </c>
      <c r="J22" s="98">
        <f t="shared" si="2"/>
        <v>184607.67548167543</v>
      </c>
      <c r="K22" s="26"/>
      <c r="L22" s="97">
        <v>324150.72748711531</v>
      </c>
      <c r="M22" s="92">
        <f t="shared" ref="M22:M31" si="5">M21</f>
        <v>3.6651792464754558</v>
      </c>
      <c r="N22" s="98">
        <f t="shared" si="3"/>
        <v>1188070.5191156962</v>
      </c>
      <c r="O22" s="26"/>
      <c r="P22" s="80">
        <f t="shared" si="0"/>
        <v>1372678.1945973716</v>
      </c>
      <c r="Q22" s="26"/>
    </row>
    <row r="23" spans="2:17">
      <c r="B23" s="27" t="s">
        <v>167</v>
      </c>
      <c r="C23" s="26"/>
      <c r="D23" s="97">
        <v>306677.82429925166</v>
      </c>
      <c r="E23" s="92">
        <f t="shared" ref="E23:E31" si="6">E22</f>
        <v>6.7584755882424217</v>
      </c>
      <c r="F23" s="98">
        <f t="shared" si="1"/>
        <v>2072674.5889817909</v>
      </c>
      <c r="G23" s="26"/>
      <c r="H23" s="97">
        <v>162170.64738915314</v>
      </c>
      <c r="I23" s="92">
        <f t="shared" si="4"/>
        <v>1.0878936347271062</v>
      </c>
      <c r="J23" s="98">
        <f t="shared" si="2"/>
        <v>176424.41503423371</v>
      </c>
      <c r="K23" s="26"/>
      <c r="L23" s="97">
        <v>309086.38311847061</v>
      </c>
      <c r="M23" s="92">
        <f t="shared" si="5"/>
        <v>3.6651792464754558</v>
      </c>
      <c r="N23" s="98">
        <f t="shared" si="3"/>
        <v>1132856.9967739801</v>
      </c>
      <c r="O23" s="26"/>
      <c r="P23" s="80">
        <f t="shared" si="0"/>
        <v>1309281.4118082137</v>
      </c>
      <c r="Q23" s="26"/>
    </row>
    <row r="24" spans="2:17">
      <c r="B24" s="27" t="s">
        <v>168</v>
      </c>
      <c r="C24" s="26"/>
      <c r="D24" s="97">
        <v>376617.07887350413</v>
      </c>
      <c r="E24" s="92">
        <f t="shared" si="6"/>
        <v>6.7584755882424217</v>
      </c>
      <c r="F24" s="98">
        <f t="shared" si="1"/>
        <v>2545357.3336817482</v>
      </c>
      <c r="G24" s="26"/>
      <c r="H24" s="97">
        <v>216217.64858525354</v>
      </c>
      <c r="I24" s="92">
        <f t="shared" si="4"/>
        <v>1.0878936347271062</v>
      </c>
      <c r="J24" s="98">
        <f t="shared" si="2"/>
        <v>235221.80361155962</v>
      </c>
      <c r="K24" s="26"/>
      <c r="L24" s="97">
        <v>388304.14735937584</v>
      </c>
      <c r="M24" s="92">
        <f t="shared" si="5"/>
        <v>3.6651792464754558</v>
      </c>
      <c r="N24" s="98">
        <f t="shared" si="3"/>
        <v>1423204.3022219315</v>
      </c>
      <c r="O24" s="26"/>
      <c r="P24" s="80">
        <f t="shared" si="0"/>
        <v>1658426.1058334911</v>
      </c>
      <c r="Q24" s="26"/>
    </row>
    <row r="25" spans="2:17">
      <c r="B25" s="27" t="s">
        <v>169</v>
      </c>
      <c r="C25" s="26"/>
      <c r="D25" s="97">
        <v>428686.41506991175</v>
      </c>
      <c r="E25" s="92">
        <f t="shared" si="6"/>
        <v>6.7584755882424217</v>
      </c>
      <c r="F25" s="98">
        <f t="shared" si="1"/>
        <v>2897266.6712611569</v>
      </c>
      <c r="G25" s="26"/>
      <c r="H25" s="97">
        <v>269708.82851538033</v>
      </c>
      <c r="I25" s="92">
        <f t="shared" si="4"/>
        <v>1.0878936347271062</v>
      </c>
      <c r="J25" s="98">
        <f t="shared" si="2"/>
        <v>293414.51777158689</v>
      </c>
      <c r="K25" s="26"/>
      <c r="L25" s="97">
        <v>463578.22737980168</v>
      </c>
      <c r="M25" s="92">
        <f t="shared" si="5"/>
        <v>3.6651792464754558</v>
      </c>
      <c r="N25" s="98">
        <f t="shared" si="3"/>
        <v>1699097.2981103291</v>
      </c>
      <c r="O25" s="26"/>
      <c r="P25" s="80">
        <f t="shared" si="0"/>
        <v>1992511.8158819159</v>
      </c>
      <c r="Q25" s="26"/>
    </row>
    <row r="26" spans="2:17">
      <c r="B26" s="27" t="s">
        <v>170</v>
      </c>
      <c r="C26" s="26"/>
      <c r="D26" s="97">
        <v>468993.51457114454</v>
      </c>
      <c r="E26" s="92">
        <f t="shared" si="6"/>
        <v>6.7584755882424217</v>
      </c>
      <c r="F26" s="98">
        <f t="shared" si="1"/>
        <v>3169681.2192730969</v>
      </c>
      <c r="G26" s="26"/>
      <c r="H26" s="97">
        <v>282469.42607496108</v>
      </c>
      <c r="I26" s="92">
        <f t="shared" si="4"/>
        <v>1.0878936347271062</v>
      </c>
      <c r="J26" s="98">
        <f t="shared" si="2"/>
        <v>307296.69063196902</v>
      </c>
      <c r="K26" s="26"/>
      <c r="L26" s="97">
        <v>480965.37528662942</v>
      </c>
      <c r="M26" s="92">
        <f t="shared" si="5"/>
        <v>3.6651792464754558</v>
      </c>
      <c r="N26" s="98">
        <f t="shared" si="3"/>
        <v>1762824.3117738331</v>
      </c>
      <c r="O26" s="26"/>
      <c r="P26" s="80">
        <f t="shared" si="0"/>
        <v>2070121.0024058023</v>
      </c>
      <c r="Q26" s="26"/>
    </row>
    <row r="27" spans="2:17">
      <c r="B27" s="27" t="s">
        <v>171</v>
      </c>
      <c r="C27" s="26"/>
      <c r="D27" s="97">
        <v>456034.93877015985</v>
      </c>
      <c r="E27" s="92">
        <f t="shared" si="6"/>
        <v>6.7584755882424217</v>
      </c>
      <c r="F27" s="98">
        <f t="shared" si="1"/>
        <v>3082101.0010637529</v>
      </c>
      <c r="G27" s="26"/>
      <c r="H27" s="97">
        <v>273911.8959933141</v>
      </c>
      <c r="I27" s="92">
        <f t="shared" si="4"/>
        <v>1.0878936347271062</v>
      </c>
      <c r="J27" s="98">
        <f t="shared" si="2"/>
        <v>297987.00812715956</v>
      </c>
      <c r="K27" s="26"/>
      <c r="L27" s="97">
        <v>473378.67968288303</v>
      </c>
      <c r="M27" s="92">
        <f t="shared" si="5"/>
        <v>3.6651792464754558</v>
      </c>
      <c r="N27" s="98">
        <f t="shared" si="3"/>
        <v>1735017.7124976553</v>
      </c>
      <c r="O27" s="26"/>
      <c r="P27" s="80">
        <f t="shared" si="0"/>
        <v>2033004.7206248147</v>
      </c>
      <c r="Q27" s="26"/>
    </row>
    <row r="28" spans="2:17">
      <c r="B28" s="27" t="s">
        <v>172</v>
      </c>
      <c r="C28" s="26"/>
      <c r="D28" s="97">
        <v>396450.89905778901</v>
      </c>
      <c r="E28" s="92">
        <f t="shared" si="6"/>
        <v>6.7584755882424217</v>
      </c>
      <c r="F28" s="98">
        <f t="shared" si="1"/>
        <v>2679403.7232188275</v>
      </c>
      <c r="G28" s="26"/>
      <c r="H28" s="97">
        <v>223291.92991713097</v>
      </c>
      <c r="I28" s="92">
        <f t="shared" si="4"/>
        <v>1.0878936347271062</v>
      </c>
      <c r="J28" s="98">
        <f t="shared" si="2"/>
        <v>242917.86924277787</v>
      </c>
      <c r="K28" s="26"/>
      <c r="L28" s="97">
        <v>397507.48881672556</v>
      </c>
      <c r="M28" s="92">
        <f t="shared" si="5"/>
        <v>3.6651792464754558</v>
      </c>
      <c r="N28" s="98">
        <f t="shared" si="3"/>
        <v>1456936.1983296368</v>
      </c>
      <c r="O28" s="26"/>
      <c r="P28" s="80">
        <f t="shared" si="0"/>
        <v>1699854.0675724146</v>
      </c>
      <c r="Q28" s="26"/>
    </row>
    <row r="29" spans="2:17">
      <c r="B29" s="27" t="s">
        <v>173</v>
      </c>
      <c r="C29" s="26"/>
      <c r="D29" s="97">
        <v>324701.2552172225</v>
      </c>
      <c r="E29" s="92">
        <f t="shared" si="6"/>
        <v>6.7584755882424217</v>
      </c>
      <c r="F29" s="98">
        <f t="shared" si="1"/>
        <v>2194485.5068572704</v>
      </c>
      <c r="G29" s="26"/>
      <c r="H29" s="97">
        <v>233605.85519925458</v>
      </c>
      <c r="I29" s="92">
        <f t="shared" si="4"/>
        <v>1.0878936347271062</v>
      </c>
      <c r="J29" s="98">
        <f t="shared" si="2"/>
        <v>254138.32290625112</v>
      </c>
      <c r="K29" s="26"/>
      <c r="L29" s="97">
        <v>340236.72427797818</v>
      </c>
      <c r="M29" s="92">
        <f t="shared" si="5"/>
        <v>3.6651792464754558</v>
      </c>
      <c r="N29" s="98">
        <f t="shared" si="3"/>
        <v>1247028.5807124374</v>
      </c>
      <c r="O29" s="26"/>
      <c r="P29" s="80">
        <f t="shared" si="0"/>
        <v>1501166.9036186885</v>
      </c>
      <c r="Q29" s="26"/>
    </row>
    <row r="30" spans="2:17">
      <c r="B30" s="27" t="s">
        <v>174</v>
      </c>
      <c r="C30" s="26"/>
      <c r="D30" s="97">
        <v>312542.00333206652</v>
      </c>
      <c r="E30" s="92">
        <f t="shared" si="6"/>
        <v>6.7584755882424217</v>
      </c>
      <c r="F30" s="98">
        <f t="shared" si="1"/>
        <v>2112307.4998201532</v>
      </c>
      <c r="G30" s="26"/>
      <c r="H30" s="97">
        <v>177575.89546759499</v>
      </c>
      <c r="I30" s="92">
        <f t="shared" si="4"/>
        <v>1.0878936347271062</v>
      </c>
      <c r="J30" s="98">
        <f t="shared" si="2"/>
        <v>193183.6863601626</v>
      </c>
      <c r="K30" s="26"/>
      <c r="L30" s="97">
        <v>293198.36456901167</v>
      </c>
      <c r="M30" s="92">
        <f t="shared" si="5"/>
        <v>3.6651792464754558</v>
      </c>
      <c r="N30" s="98">
        <f t="shared" si="3"/>
        <v>1074624.5609188862</v>
      </c>
      <c r="O30" s="26"/>
      <c r="P30" s="80">
        <f t="shared" si="0"/>
        <v>1267808.2472790489</v>
      </c>
      <c r="Q30" s="26"/>
    </row>
    <row r="31" spans="2:17">
      <c r="B31" s="27" t="s">
        <v>175</v>
      </c>
      <c r="C31" s="26"/>
      <c r="D31" s="97">
        <v>340380.70845354471</v>
      </c>
      <c r="E31" s="92">
        <f t="shared" si="6"/>
        <v>6.7584755882424217</v>
      </c>
      <c r="F31" s="98">
        <f t="shared" si="1"/>
        <v>2300454.7087919428</v>
      </c>
      <c r="G31" s="26"/>
      <c r="H31" s="97">
        <v>218922.64541299178</v>
      </c>
      <c r="I31" s="92">
        <f t="shared" si="4"/>
        <v>1.0878936347271062</v>
      </c>
      <c r="J31" s="98">
        <f t="shared" si="2"/>
        <v>238164.55244241309</v>
      </c>
      <c r="K31" s="26"/>
      <c r="L31" s="97">
        <v>339262.71367855777</v>
      </c>
      <c r="M31" s="92">
        <f t="shared" si="5"/>
        <v>3.6651792464754558</v>
      </c>
      <c r="N31" s="98">
        <f t="shared" si="3"/>
        <v>1243458.6572775948</v>
      </c>
      <c r="O31" s="26"/>
      <c r="P31" s="80">
        <f t="shared" si="0"/>
        <v>1481623.2097200078</v>
      </c>
      <c r="Q31" s="26"/>
    </row>
    <row r="32" spans="2:17">
      <c r="B32" s="26"/>
      <c r="C32" s="26"/>
      <c r="D32" s="26"/>
      <c r="E32" s="26"/>
      <c r="F32" s="26"/>
      <c r="G32" s="26"/>
      <c r="H32" s="26"/>
      <c r="I32" s="26"/>
      <c r="J32" s="26"/>
      <c r="K32" s="26"/>
      <c r="L32" s="26"/>
      <c r="M32" s="26"/>
      <c r="N32" s="26"/>
      <c r="O32" s="26"/>
      <c r="P32" s="26"/>
      <c r="Q32" s="26"/>
    </row>
    <row r="33" spans="2:20" ht="13.9" thickBot="1">
      <c r="B33" s="74" t="s">
        <v>146</v>
      </c>
      <c r="C33" s="26"/>
      <c r="D33" s="81">
        <f>SUM(D20:D31)</f>
        <v>4373179.4878297122</v>
      </c>
      <c r="E33" s="82">
        <f>IF(D33&lt;&gt;0,F33/D33,0)</f>
        <v>6.7584755882424217</v>
      </c>
      <c r="F33" s="83">
        <f>SUM(F20:F31)</f>
        <v>29556026.811499607</v>
      </c>
      <c r="G33" s="26"/>
      <c r="H33" s="81">
        <f>SUM(H20:H31)</f>
        <v>2573986.049873142</v>
      </c>
      <c r="I33" s="82">
        <f>IF(H33&lt;&gt;0,J33/H33,0)</f>
        <v>1.0878936347271062</v>
      </c>
      <c r="J33" s="83">
        <f>SUM(J20:J31)</f>
        <v>2800223.039533359</v>
      </c>
      <c r="K33" s="26"/>
      <c r="L33" s="81">
        <f>SUM(L20:L31)</f>
        <v>4497975.6545876265</v>
      </c>
      <c r="M33" s="82">
        <f>IF(L33&lt;&gt;0,N33/L33,0)</f>
        <v>3.6651792464754562</v>
      </c>
      <c r="N33" s="83">
        <f>SUM(N20:N31)</f>
        <v>16485887.020346424</v>
      </c>
      <c r="O33" s="26"/>
      <c r="P33" s="83">
        <f>SUM(P20:P31)</f>
        <v>19286110.05987978</v>
      </c>
      <c r="Q33" s="26"/>
      <c r="R33" s="118"/>
      <c r="S33" s="118"/>
      <c r="T33" s="118"/>
    </row>
    <row r="34" spans="2:20">
      <c r="B34" s="26"/>
      <c r="C34" s="26"/>
      <c r="D34" s="26"/>
      <c r="E34" s="26"/>
      <c r="F34" s="26"/>
      <c r="G34" s="26"/>
      <c r="H34" s="26"/>
      <c r="I34" s="26"/>
      <c r="J34" s="26"/>
      <c r="K34" s="26"/>
      <c r="L34" s="26"/>
      <c r="M34" s="26"/>
      <c r="N34" s="26"/>
      <c r="O34" s="26"/>
      <c r="P34" s="26"/>
      <c r="Q34" s="26"/>
    </row>
    <row r="35" spans="2:20">
      <c r="B35" s="71" t="s">
        <v>176</v>
      </c>
      <c r="C35" s="72"/>
      <c r="D35" s="247" t="s">
        <v>128</v>
      </c>
      <c r="E35" s="247"/>
      <c r="F35" s="247"/>
      <c r="G35" s="72"/>
      <c r="H35" s="247" t="s">
        <v>158</v>
      </c>
      <c r="I35" s="247"/>
      <c r="J35" s="247"/>
      <c r="K35" s="72"/>
      <c r="L35" s="247" t="s">
        <v>159</v>
      </c>
      <c r="M35" s="247"/>
      <c r="N35" s="247"/>
      <c r="O35" s="72"/>
      <c r="P35" s="71" t="s">
        <v>160</v>
      </c>
      <c r="Q35" s="26"/>
    </row>
    <row r="36" spans="2:20">
      <c r="B36" s="74"/>
      <c r="C36" s="26"/>
      <c r="D36" s="90"/>
      <c r="E36" s="90"/>
      <c r="F36" s="90"/>
      <c r="G36" s="26"/>
      <c r="H36" s="90"/>
      <c r="I36" s="90"/>
      <c r="J36" s="90"/>
      <c r="K36" s="26"/>
      <c r="L36" s="90"/>
      <c r="M36" s="90"/>
      <c r="N36" s="90"/>
      <c r="O36" s="26"/>
      <c r="P36" s="90"/>
      <c r="Q36" s="26"/>
    </row>
    <row r="37" spans="2:20">
      <c r="B37" s="74" t="s">
        <v>161</v>
      </c>
      <c r="C37" s="26"/>
      <c r="D37" s="90" t="s">
        <v>162</v>
      </c>
      <c r="E37" s="90" t="s">
        <v>100</v>
      </c>
      <c r="F37" s="90" t="s">
        <v>163</v>
      </c>
      <c r="G37" s="26"/>
      <c r="H37" s="90" t="s">
        <v>162</v>
      </c>
      <c r="I37" s="90" t="s">
        <v>100</v>
      </c>
      <c r="J37" s="90" t="s">
        <v>163</v>
      </c>
      <c r="K37" s="26"/>
      <c r="L37" s="90" t="s">
        <v>162</v>
      </c>
      <c r="M37" s="90" t="s">
        <v>100</v>
      </c>
      <c r="N37" s="90" t="s">
        <v>163</v>
      </c>
      <c r="O37" s="26"/>
      <c r="P37" s="90" t="s">
        <v>163</v>
      </c>
      <c r="Q37" s="26"/>
    </row>
    <row r="38" spans="2:20">
      <c r="B38" s="26"/>
      <c r="C38" s="26"/>
      <c r="D38" s="26"/>
      <c r="E38" s="26"/>
      <c r="F38" s="26"/>
      <c r="G38" s="26"/>
      <c r="H38" s="26"/>
      <c r="I38" s="26"/>
      <c r="J38" s="26"/>
      <c r="K38" s="26"/>
      <c r="L38" s="26"/>
      <c r="M38" s="26"/>
      <c r="N38" s="26"/>
      <c r="O38" s="26"/>
      <c r="P38" s="26"/>
      <c r="Q38" s="26"/>
    </row>
    <row r="39" spans="2:20">
      <c r="B39" s="27" t="s">
        <v>164</v>
      </c>
      <c r="C39" s="26"/>
      <c r="D39" s="97">
        <v>285850.08982068859</v>
      </c>
      <c r="E39" s="92">
        <f>'4. UTRs &amp; Sub-Transmission'!M35</f>
        <v>5.7862704613703659</v>
      </c>
      <c r="F39" s="98">
        <f>D39*E39</f>
        <v>1654005.9311095164</v>
      </c>
      <c r="G39" s="26"/>
      <c r="H39" s="97">
        <v>259890.42053864014</v>
      </c>
      <c r="I39" s="92">
        <f>'4. UTRs &amp; Sub-Transmission'!M37</f>
        <v>0.74504870867621431</v>
      </c>
      <c r="J39" s="98">
        <f>H39*I39</f>
        <v>193631.02221963211</v>
      </c>
      <c r="K39" s="26"/>
      <c r="L39" s="97">
        <v>301325.31844328443</v>
      </c>
      <c r="M39" s="92">
        <f>'4. UTRs &amp; Sub-Transmission'!M39</f>
        <v>3.7775639933990832</v>
      </c>
      <c r="N39" s="98">
        <f>L39*M39</f>
        <v>1138275.673250864</v>
      </c>
      <c r="O39" s="26"/>
      <c r="P39" s="80">
        <f t="shared" ref="P39:P50" si="7">J39+N39</f>
        <v>1331906.6954704961</v>
      </c>
      <c r="Q39" s="26"/>
    </row>
    <row r="40" spans="2:20">
      <c r="B40" s="27" t="s">
        <v>165</v>
      </c>
      <c r="C40" s="26"/>
      <c r="D40" s="97">
        <v>285965.57359915035</v>
      </c>
      <c r="E40" s="92">
        <f t="shared" ref="E40:E50" si="8">E39</f>
        <v>5.7862704613703659</v>
      </c>
      <c r="F40" s="98">
        <f t="shared" ref="F40:F50" si="9">D40*E40</f>
        <v>1654674.151485597</v>
      </c>
      <c r="G40" s="26"/>
      <c r="H40" s="97">
        <v>238323.70845312549</v>
      </c>
      <c r="I40" s="92">
        <f t="shared" ref="I40:I50" si="10">I39</f>
        <v>0.74504870867621431</v>
      </c>
      <c r="J40" s="98">
        <f t="shared" ref="J40:J50" si="11">H40*I40</f>
        <v>177562.77122992772</v>
      </c>
      <c r="K40" s="26"/>
      <c r="L40" s="97">
        <v>287526.563216654</v>
      </c>
      <c r="M40" s="92">
        <f t="shared" ref="M40:M50" si="12">M39</f>
        <v>3.7775639933990832</v>
      </c>
      <c r="N40" s="98">
        <f t="shared" ref="N40:N50" si="13">L40*M40</f>
        <v>1086149.9923530174</v>
      </c>
      <c r="O40" s="26"/>
      <c r="P40" s="80">
        <f t="shared" si="7"/>
        <v>1263712.7635829451</v>
      </c>
      <c r="Q40" s="26"/>
    </row>
    <row r="41" spans="2:20">
      <c r="B41" s="27" t="s">
        <v>166</v>
      </c>
      <c r="C41" s="26"/>
      <c r="D41" s="97">
        <v>240627.61406826542</v>
      </c>
      <c r="E41" s="92">
        <f t="shared" si="8"/>
        <v>5.7862704613703659</v>
      </c>
      <c r="F41" s="98">
        <f t="shared" si="9"/>
        <v>1392336.4554732325</v>
      </c>
      <c r="G41" s="26"/>
      <c r="H41" s="97">
        <v>205229.85618733527</v>
      </c>
      <c r="I41" s="92">
        <f t="shared" si="10"/>
        <v>0.74504870867621431</v>
      </c>
      <c r="J41" s="98">
        <f t="shared" si="11"/>
        <v>152906.23933417932</v>
      </c>
      <c r="K41" s="26"/>
      <c r="L41" s="97">
        <v>245035.29788157964</v>
      </c>
      <c r="M41" s="92">
        <f t="shared" si="12"/>
        <v>3.7775639933990832</v>
      </c>
      <c r="N41" s="98">
        <f t="shared" si="13"/>
        <v>925636.5183892739</v>
      </c>
      <c r="O41" s="26"/>
      <c r="P41" s="80">
        <f t="shared" si="7"/>
        <v>1078542.7577234532</v>
      </c>
      <c r="Q41" s="26"/>
    </row>
    <row r="42" spans="2:20">
      <c r="B42" s="27" t="s">
        <v>167</v>
      </c>
      <c r="C42" s="26"/>
      <c r="D42" s="97">
        <v>211749.19498019293</v>
      </c>
      <c r="E42" s="92">
        <f t="shared" si="8"/>
        <v>5.7862704613703659</v>
      </c>
      <c r="F42" s="98">
        <f t="shared" si="9"/>
        <v>1225238.1121328445</v>
      </c>
      <c r="G42" s="26"/>
      <c r="H42" s="97">
        <v>187297.51643455363</v>
      </c>
      <c r="I42" s="92">
        <f t="shared" si="10"/>
        <v>0.74504870867621431</v>
      </c>
      <c r="J42" s="98">
        <f t="shared" si="11"/>
        <v>139545.7727578262</v>
      </c>
      <c r="K42" s="26"/>
      <c r="L42" s="97">
        <v>216100.29089509512</v>
      </c>
      <c r="M42" s="92">
        <f t="shared" si="12"/>
        <v>3.7775639933990832</v>
      </c>
      <c r="N42" s="98">
        <f t="shared" si="13"/>
        <v>816332.67784837913</v>
      </c>
      <c r="O42" s="26"/>
      <c r="P42" s="80">
        <f t="shared" si="7"/>
        <v>955878.45060620527</v>
      </c>
      <c r="Q42" s="26"/>
    </row>
    <row r="43" spans="2:20">
      <c r="B43" s="27" t="s">
        <v>168</v>
      </c>
      <c r="C43" s="26"/>
      <c r="D43" s="97">
        <v>247391.91652687729</v>
      </c>
      <c r="E43" s="92">
        <f t="shared" si="8"/>
        <v>5.7862704613703659</v>
      </c>
      <c r="F43" s="98">
        <f t="shared" si="9"/>
        <v>1431476.5389812733</v>
      </c>
      <c r="G43" s="26"/>
      <c r="H43" s="97">
        <v>205554.70989638547</v>
      </c>
      <c r="I43" s="92">
        <f t="shared" si="10"/>
        <v>0.74504870867621431</v>
      </c>
      <c r="J43" s="98">
        <f t="shared" si="11"/>
        <v>153148.27117061583</v>
      </c>
      <c r="K43" s="26"/>
      <c r="L43" s="97">
        <v>249524.53390845182</v>
      </c>
      <c r="M43" s="92">
        <f t="shared" si="12"/>
        <v>3.7775639933990832</v>
      </c>
      <c r="N43" s="98">
        <f t="shared" si="13"/>
        <v>942594.89476225618</v>
      </c>
      <c r="O43" s="26"/>
      <c r="P43" s="80">
        <f t="shared" si="7"/>
        <v>1095743.1659328721</v>
      </c>
      <c r="Q43" s="26"/>
    </row>
    <row r="44" spans="2:20">
      <c r="B44" s="27" t="s">
        <v>169</v>
      </c>
      <c r="C44" s="26"/>
      <c r="D44" s="97">
        <v>320256.91896156926</v>
      </c>
      <c r="E44" s="92">
        <f t="shared" si="8"/>
        <v>5.7862704613703659</v>
      </c>
      <c r="F44" s="98">
        <f t="shared" si="9"/>
        <v>1853093.1502368113</v>
      </c>
      <c r="G44" s="26"/>
      <c r="H44" s="97">
        <v>279246.22384711605</v>
      </c>
      <c r="I44" s="92">
        <f t="shared" si="10"/>
        <v>0.74504870867621431</v>
      </c>
      <c r="J44" s="98">
        <f t="shared" si="11"/>
        <v>208052.0384800029</v>
      </c>
      <c r="K44" s="26"/>
      <c r="L44" s="97">
        <v>323309.62698622892</v>
      </c>
      <c r="M44" s="92">
        <f t="shared" si="12"/>
        <v>3.7775639933990832</v>
      </c>
      <c r="N44" s="98">
        <f t="shared" si="13"/>
        <v>1221322.8056224668</v>
      </c>
      <c r="O44" s="26"/>
      <c r="P44" s="80">
        <f t="shared" si="7"/>
        <v>1429374.8441024697</v>
      </c>
      <c r="Q44" s="26"/>
    </row>
    <row r="45" spans="2:20">
      <c r="B45" s="27" t="s">
        <v>170</v>
      </c>
      <c r="C45" s="26"/>
      <c r="D45" s="97">
        <v>304103.28136940533</v>
      </c>
      <c r="E45" s="92">
        <f t="shared" si="8"/>
        <v>5.7862704613703659</v>
      </c>
      <c r="F45" s="98">
        <f t="shared" si="9"/>
        <v>1759623.8341935913</v>
      </c>
      <c r="G45" s="26"/>
      <c r="H45" s="97">
        <v>258317.01228599378</v>
      </c>
      <c r="I45" s="92">
        <f t="shared" si="10"/>
        <v>0.74504870867621431</v>
      </c>
      <c r="J45" s="98">
        <f t="shared" si="11"/>
        <v>192458.75643277745</v>
      </c>
      <c r="K45" s="26"/>
      <c r="L45" s="97">
        <v>304989.87451752782</v>
      </c>
      <c r="M45" s="92">
        <f t="shared" si="12"/>
        <v>3.7775639933990832</v>
      </c>
      <c r="N45" s="98">
        <f t="shared" si="13"/>
        <v>1152118.7683287177</v>
      </c>
      <c r="O45" s="26"/>
      <c r="P45" s="80">
        <f t="shared" si="7"/>
        <v>1344577.5247614952</v>
      </c>
      <c r="Q45" s="26"/>
    </row>
    <row r="46" spans="2:20">
      <c r="B46" s="27" t="s">
        <v>171</v>
      </c>
      <c r="C46" s="26"/>
      <c r="D46" s="97">
        <v>332925.59956436558</v>
      </c>
      <c r="E46" s="92">
        <f t="shared" si="8"/>
        <v>5.7862704613703659</v>
      </c>
      <c r="F46" s="98">
        <f t="shared" si="9"/>
        <v>1926397.5625933073</v>
      </c>
      <c r="G46" s="26"/>
      <c r="H46" s="97">
        <v>251546.60108699204</v>
      </c>
      <c r="I46" s="92">
        <f t="shared" si="10"/>
        <v>0.74504870867621431</v>
      </c>
      <c r="J46" s="98">
        <f t="shared" si="11"/>
        <v>187414.47031175424</v>
      </c>
      <c r="K46" s="26"/>
      <c r="L46" s="97">
        <v>336601.13443199592</v>
      </c>
      <c r="M46" s="92">
        <f t="shared" si="12"/>
        <v>3.7775639933990832</v>
      </c>
      <c r="N46" s="98">
        <f t="shared" si="13"/>
        <v>1271532.3255675922</v>
      </c>
      <c r="O46" s="26"/>
      <c r="P46" s="80">
        <f t="shared" si="7"/>
        <v>1458946.7958793463</v>
      </c>
      <c r="Q46" s="26"/>
    </row>
    <row r="47" spans="2:20">
      <c r="B47" s="27" t="s">
        <v>172</v>
      </c>
      <c r="C47" s="26"/>
      <c r="D47" s="97">
        <v>277635.7290821895</v>
      </c>
      <c r="E47" s="92">
        <f t="shared" si="8"/>
        <v>5.7862704613703659</v>
      </c>
      <c r="F47" s="98">
        <f t="shared" si="9"/>
        <v>1606475.4182092985</v>
      </c>
      <c r="G47" s="26"/>
      <c r="H47" s="97">
        <v>216466.99529870515</v>
      </c>
      <c r="I47" s="92">
        <f t="shared" si="10"/>
        <v>0.74504870867621431</v>
      </c>
      <c r="J47" s="98">
        <f t="shared" si="11"/>
        <v>161278.45531832043</v>
      </c>
      <c r="K47" s="26"/>
      <c r="L47" s="97">
        <v>279108.93070088467</v>
      </c>
      <c r="M47" s="92">
        <f t="shared" si="12"/>
        <v>3.7775639933990832</v>
      </c>
      <c r="N47" s="98">
        <f t="shared" si="13"/>
        <v>1054351.8468517819</v>
      </c>
      <c r="O47" s="26"/>
      <c r="P47" s="80">
        <f t="shared" si="7"/>
        <v>1215630.3021701025</v>
      </c>
      <c r="Q47" s="26"/>
    </row>
    <row r="48" spans="2:20">
      <c r="B48" s="27" t="s">
        <v>173</v>
      </c>
      <c r="C48" s="26"/>
      <c r="D48" s="97">
        <v>233778.62562286266</v>
      </c>
      <c r="E48" s="92">
        <f t="shared" si="8"/>
        <v>5.7862704613703659</v>
      </c>
      <c r="F48" s="98">
        <f t="shared" si="9"/>
        <v>1352706.3559413315</v>
      </c>
      <c r="G48" s="26"/>
      <c r="H48" s="97">
        <v>185603.77552459191</v>
      </c>
      <c r="I48" s="92">
        <f t="shared" si="10"/>
        <v>0.74504870867621431</v>
      </c>
      <c r="J48" s="98">
        <f t="shared" si="11"/>
        <v>138283.85328002716</v>
      </c>
      <c r="K48" s="26"/>
      <c r="L48" s="97">
        <v>236517.19405506572</v>
      </c>
      <c r="M48" s="92">
        <f t="shared" si="12"/>
        <v>3.7775639933990832</v>
      </c>
      <c r="N48" s="98">
        <f t="shared" si="13"/>
        <v>893458.83608219994</v>
      </c>
      <c r="O48" s="26"/>
      <c r="P48" s="80">
        <f t="shared" si="7"/>
        <v>1031742.6893622271</v>
      </c>
      <c r="Q48" s="26"/>
    </row>
    <row r="49" spans="2:20">
      <c r="B49" s="27" t="s">
        <v>174</v>
      </c>
      <c r="C49" s="26"/>
      <c r="D49" s="97">
        <v>254153.40282440826</v>
      </c>
      <c r="E49" s="92">
        <f t="shared" si="8"/>
        <v>5.7862704613703659</v>
      </c>
      <c r="F49" s="98">
        <f t="shared" si="9"/>
        <v>1470600.3274196372</v>
      </c>
      <c r="G49" s="26"/>
      <c r="H49" s="97">
        <v>206008.67294521749</v>
      </c>
      <c r="I49" s="92">
        <f t="shared" si="10"/>
        <v>0.74504870867621431</v>
      </c>
      <c r="J49" s="98">
        <f t="shared" si="11"/>
        <v>153486.49575393487</v>
      </c>
      <c r="K49" s="26"/>
      <c r="L49" s="97">
        <v>257932.53218894431</v>
      </c>
      <c r="M49" s="92">
        <f t="shared" si="12"/>
        <v>3.7775639933990832</v>
      </c>
      <c r="N49" s="98">
        <f t="shared" si="13"/>
        <v>974356.64632320602</v>
      </c>
      <c r="O49" s="26"/>
      <c r="P49" s="80">
        <f t="shared" si="7"/>
        <v>1127843.142077141</v>
      </c>
      <c r="Q49" s="26"/>
    </row>
    <row r="50" spans="2:20">
      <c r="B50" s="27" t="s">
        <v>175</v>
      </c>
      <c r="C50" s="26"/>
      <c r="D50" s="97">
        <v>261640.8340435877</v>
      </c>
      <c r="E50" s="92">
        <f t="shared" si="8"/>
        <v>5.7862704613703659</v>
      </c>
      <c r="F50" s="98">
        <f t="shared" si="9"/>
        <v>1513924.6295147175</v>
      </c>
      <c r="G50" s="26"/>
      <c r="H50" s="97">
        <v>223620.63732029192</v>
      </c>
      <c r="I50" s="92">
        <f t="shared" si="10"/>
        <v>0.74504870867621431</v>
      </c>
      <c r="J50" s="98">
        <f t="shared" si="11"/>
        <v>166608.26706883556</v>
      </c>
      <c r="K50" s="26"/>
      <c r="L50" s="97">
        <v>268038.42151151778</v>
      </c>
      <c r="M50" s="92">
        <f t="shared" si="12"/>
        <v>3.7775639933990832</v>
      </c>
      <c r="N50" s="98">
        <f t="shared" si="13"/>
        <v>1012532.2899494359</v>
      </c>
      <c r="O50" s="26"/>
      <c r="P50" s="80">
        <f t="shared" si="7"/>
        <v>1179140.5570182714</v>
      </c>
      <c r="Q50" s="26"/>
    </row>
    <row r="51" spans="2:20">
      <c r="B51" s="26"/>
      <c r="C51" s="26"/>
      <c r="D51" s="26"/>
      <c r="E51" s="26"/>
      <c r="F51" s="26"/>
      <c r="G51" s="26"/>
      <c r="H51" s="26"/>
      <c r="I51" s="26"/>
      <c r="J51" s="26"/>
      <c r="K51" s="26"/>
      <c r="L51" s="26"/>
      <c r="M51" s="26"/>
      <c r="N51" s="26"/>
      <c r="O51" s="26"/>
      <c r="P51" s="26"/>
      <c r="Q51" s="26"/>
    </row>
    <row r="52" spans="2:20" ht="13.9" thickBot="1">
      <c r="B52" s="74" t="s">
        <v>146</v>
      </c>
      <c r="C52" s="26"/>
      <c r="D52" s="81">
        <f>SUM(D39:D50)</f>
        <v>3256078.7804635628</v>
      </c>
      <c r="E52" s="82">
        <f>IF(D52&lt;&gt;0,F52/D52,0)</f>
        <v>5.7862704613703659</v>
      </c>
      <c r="F52" s="83">
        <f>SUM(F39:F50)</f>
        <v>18840552.467291158</v>
      </c>
      <c r="G52" s="26"/>
      <c r="H52" s="81">
        <f>SUM(H39:H50)</f>
        <v>2717106.1298189489</v>
      </c>
      <c r="I52" s="82">
        <f>IF(H52&lt;&gt;0,J52/H52,0)</f>
        <v>0.74504870867621398</v>
      </c>
      <c r="J52" s="83">
        <f>SUM(J39:J50)</f>
        <v>2024376.4133578334</v>
      </c>
      <c r="K52" s="26"/>
      <c r="L52" s="81">
        <f>SUM(L39:L50)</f>
        <v>3306009.7187372302</v>
      </c>
      <c r="M52" s="82">
        <f>IF(L52&lt;&gt;0,N52/L52,0)</f>
        <v>3.7775639933990832</v>
      </c>
      <c r="N52" s="83">
        <f>SUM(N39:N50)</f>
        <v>12488663.275329191</v>
      </c>
      <c r="O52" s="26"/>
      <c r="P52" s="83">
        <f>SUM(P39:P50)</f>
        <v>14513039.688687025</v>
      </c>
      <c r="Q52" s="26"/>
      <c r="R52" s="118"/>
      <c r="S52" s="118"/>
      <c r="T52" s="118"/>
    </row>
    <row r="53" spans="2:20">
      <c r="B53" s="26"/>
      <c r="C53" s="26"/>
      <c r="D53" s="26"/>
      <c r="E53" s="26"/>
      <c r="F53" s="26"/>
      <c r="G53" s="26"/>
      <c r="H53" s="26"/>
      <c r="I53" s="26"/>
      <c r="J53" s="26"/>
      <c r="K53" s="26"/>
      <c r="L53" s="26"/>
      <c r="M53" s="26"/>
      <c r="N53" s="26"/>
      <c r="O53" s="26"/>
      <c r="P53" s="26"/>
      <c r="Q53" s="26"/>
    </row>
    <row r="54" spans="2:20">
      <c r="B54" s="71" t="e">
        <f>#REF!</f>
        <v>#REF!</v>
      </c>
      <c r="C54" s="72"/>
      <c r="D54" s="247" t="s">
        <v>128</v>
      </c>
      <c r="E54" s="247"/>
      <c r="F54" s="247"/>
      <c r="G54" s="72"/>
      <c r="H54" s="247" t="s">
        <v>158</v>
      </c>
      <c r="I54" s="247"/>
      <c r="J54" s="247"/>
      <c r="K54" s="72"/>
      <c r="L54" s="247" t="s">
        <v>159</v>
      </c>
      <c r="M54" s="247"/>
      <c r="N54" s="247"/>
      <c r="O54" s="72"/>
      <c r="P54" s="71" t="s">
        <v>160</v>
      </c>
      <c r="Q54" s="26"/>
    </row>
    <row r="55" spans="2:20">
      <c r="B55" s="74"/>
      <c r="C55" s="26"/>
      <c r="D55" s="90"/>
      <c r="E55" s="90"/>
      <c r="F55" s="90"/>
      <c r="G55" s="26"/>
      <c r="H55" s="90"/>
      <c r="I55" s="90"/>
      <c r="J55" s="90"/>
      <c r="K55" s="26"/>
      <c r="L55" s="90"/>
      <c r="M55" s="90"/>
      <c r="N55" s="90"/>
      <c r="O55" s="26"/>
      <c r="P55" s="90"/>
      <c r="Q55" s="26"/>
    </row>
    <row r="56" spans="2:20">
      <c r="B56" s="74" t="s">
        <v>161</v>
      </c>
      <c r="C56" s="26"/>
      <c r="D56" s="90" t="s">
        <v>162</v>
      </c>
      <c r="E56" s="90" t="s">
        <v>100</v>
      </c>
      <c r="F56" s="90" t="s">
        <v>163</v>
      </c>
      <c r="G56" s="26"/>
      <c r="H56" s="90" t="s">
        <v>162</v>
      </c>
      <c r="I56" s="90" t="s">
        <v>100</v>
      </c>
      <c r="J56" s="90" t="s">
        <v>163</v>
      </c>
      <c r="K56" s="26"/>
      <c r="L56" s="90" t="s">
        <v>162</v>
      </c>
      <c r="M56" s="90" t="s">
        <v>100</v>
      </c>
      <c r="N56" s="90" t="s">
        <v>163</v>
      </c>
      <c r="O56" s="26"/>
      <c r="P56" s="90" t="s">
        <v>163</v>
      </c>
      <c r="Q56" s="26"/>
    </row>
    <row r="57" spans="2:20">
      <c r="B57" s="26"/>
      <c r="C57" s="26"/>
      <c r="D57" s="26"/>
      <c r="E57" s="26"/>
      <c r="F57" s="26"/>
      <c r="G57" s="26"/>
      <c r="H57" s="26"/>
      <c r="I57" s="26"/>
      <c r="J57" s="26"/>
      <c r="K57" s="26"/>
      <c r="L57" s="26"/>
      <c r="M57" s="26"/>
      <c r="N57" s="26"/>
      <c r="O57" s="26"/>
      <c r="P57" s="26"/>
      <c r="Q57" s="26"/>
    </row>
    <row r="58" spans="2:20">
      <c r="B58" s="27" t="s">
        <v>164</v>
      </c>
      <c r="C58" s="26"/>
      <c r="D58" s="97"/>
      <c r="E58" s="92"/>
      <c r="F58" s="98"/>
      <c r="G58" s="26"/>
      <c r="H58" s="97"/>
      <c r="I58" s="92"/>
      <c r="J58" s="98"/>
      <c r="K58" s="26"/>
      <c r="L58" s="97"/>
      <c r="M58" s="92"/>
      <c r="N58" s="98"/>
      <c r="O58" s="26"/>
      <c r="P58" s="80"/>
      <c r="Q58" s="26"/>
    </row>
    <row r="59" spans="2:20">
      <c r="B59" s="27" t="s">
        <v>165</v>
      </c>
      <c r="C59" s="26"/>
      <c r="D59" s="97"/>
      <c r="E59" s="92"/>
      <c r="F59" s="98"/>
      <c r="G59" s="26"/>
      <c r="H59" s="97"/>
      <c r="I59" s="92"/>
      <c r="J59" s="98"/>
      <c r="K59" s="26"/>
      <c r="L59" s="97"/>
      <c r="M59" s="92"/>
      <c r="N59" s="98"/>
      <c r="O59" s="26"/>
      <c r="P59" s="80"/>
      <c r="Q59" s="26"/>
    </row>
    <row r="60" spans="2:20">
      <c r="B60" s="27" t="s">
        <v>166</v>
      </c>
      <c r="C60" s="26"/>
      <c r="D60" s="97"/>
      <c r="E60" s="92"/>
      <c r="F60" s="98"/>
      <c r="G60" s="26"/>
      <c r="H60" s="97"/>
      <c r="I60" s="92"/>
      <c r="J60" s="98"/>
      <c r="K60" s="26"/>
      <c r="L60" s="97"/>
      <c r="M60" s="92"/>
      <c r="N60" s="98"/>
      <c r="O60" s="26"/>
      <c r="P60" s="80"/>
      <c r="Q60" s="26"/>
    </row>
    <row r="61" spans="2:20">
      <c r="B61" s="27" t="s">
        <v>167</v>
      </c>
      <c r="C61" s="26"/>
      <c r="D61" s="97"/>
      <c r="E61" s="92"/>
      <c r="F61" s="98"/>
      <c r="G61" s="26"/>
      <c r="H61" s="97"/>
      <c r="I61" s="92"/>
      <c r="J61" s="98"/>
      <c r="K61" s="26"/>
      <c r="L61" s="97"/>
      <c r="M61" s="92"/>
      <c r="N61" s="98"/>
      <c r="O61" s="26"/>
      <c r="P61" s="80"/>
      <c r="Q61" s="26"/>
    </row>
    <row r="62" spans="2:20">
      <c r="B62" s="27" t="s">
        <v>168</v>
      </c>
      <c r="C62" s="26"/>
      <c r="D62" s="97"/>
      <c r="E62" s="92"/>
      <c r="F62" s="98"/>
      <c r="G62" s="26"/>
      <c r="H62" s="97"/>
      <c r="I62" s="92"/>
      <c r="J62" s="98"/>
      <c r="K62" s="26"/>
      <c r="L62" s="97"/>
      <c r="M62" s="92"/>
      <c r="N62" s="98"/>
      <c r="O62" s="26"/>
      <c r="P62" s="80"/>
      <c r="Q62" s="26"/>
    </row>
    <row r="63" spans="2:20">
      <c r="B63" s="27" t="s">
        <v>169</v>
      </c>
      <c r="C63" s="26"/>
      <c r="D63" s="97"/>
      <c r="E63" s="92"/>
      <c r="F63" s="98"/>
      <c r="G63" s="26"/>
      <c r="H63" s="97"/>
      <c r="I63" s="92"/>
      <c r="J63" s="98"/>
      <c r="K63" s="26"/>
      <c r="L63" s="97"/>
      <c r="M63" s="92"/>
      <c r="N63" s="98"/>
      <c r="O63" s="26"/>
      <c r="P63" s="80"/>
      <c r="Q63" s="26"/>
    </row>
    <row r="64" spans="2:20">
      <c r="B64" s="27" t="s">
        <v>170</v>
      </c>
      <c r="C64" s="26"/>
      <c r="D64" s="97"/>
      <c r="E64" s="92"/>
      <c r="F64" s="98"/>
      <c r="G64" s="26"/>
      <c r="H64" s="97"/>
      <c r="I64" s="92"/>
      <c r="J64" s="98"/>
      <c r="K64" s="26"/>
      <c r="L64" s="97"/>
      <c r="M64" s="92"/>
      <c r="N64" s="98"/>
      <c r="O64" s="26"/>
      <c r="P64" s="80"/>
      <c r="Q64" s="26"/>
    </row>
    <row r="65" spans="2:17">
      <c r="B65" s="27" t="s">
        <v>171</v>
      </c>
      <c r="C65" s="26"/>
      <c r="D65" s="97"/>
      <c r="E65" s="92"/>
      <c r="F65" s="98"/>
      <c r="G65" s="26"/>
      <c r="H65" s="97"/>
      <c r="I65" s="92"/>
      <c r="J65" s="98"/>
      <c r="K65" s="26"/>
      <c r="L65" s="97"/>
      <c r="M65" s="92"/>
      <c r="N65" s="98"/>
      <c r="O65" s="26"/>
      <c r="P65" s="80"/>
      <c r="Q65" s="26"/>
    </row>
    <row r="66" spans="2:17">
      <c r="B66" s="27" t="s">
        <v>172</v>
      </c>
      <c r="C66" s="26"/>
      <c r="D66" s="97"/>
      <c r="E66" s="92"/>
      <c r="F66" s="98"/>
      <c r="G66" s="26"/>
      <c r="H66" s="97"/>
      <c r="I66" s="92"/>
      <c r="J66" s="98"/>
      <c r="K66" s="26"/>
      <c r="L66" s="97"/>
      <c r="M66" s="92"/>
      <c r="N66" s="98"/>
      <c r="O66" s="26"/>
      <c r="P66" s="80"/>
      <c r="Q66" s="26"/>
    </row>
    <row r="67" spans="2:17">
      <c r="B67" s="27" t="s">
        <v>173</v>
      </c>
      <c r="C67" s="26"/>
      <c r="D67" s="97"/>
      <c r="E67" s="92"/>
      <c r="F67" s="98"/>
      <c r="G67" s="26"/>
      <c r="H67" s="97"/>
      <c r="I67" s="92"/>
      <c r="J67" s="98"/>
      <c r="K67" s="26"/>
      <c r="L67" s="97"/>
      <c r="M67" s="92"/>
      <c r="N67" s="98"/>
      <c r="O67" s="26"/>
      <c r="P67" s="80"/>
      <c r="Q67" s="26"/>
    </row>
    <row r="68" spans="2:17">
      <c r="B68" s="27" t="s">
        <v>174</v>
      </c>
      <c r="C68" s="26"/>
      <c r="D68" s="97"/>
      <c r="E68" s="92"/>
      <c r="F68" s="98"/>
      <c r="G68" s="26"/>
      <c r="H68" s="97"/>
      <c r="I68" s="92"/>
      <c r="J68" s="98"/>
      <c r="K68" s="26"/>
      <c r="L68" s="97"/>
      <c r="M68" s="92"/>
      <c r="N68" s="98"/>
      <c r="O68" s="26"/>
      <c r="P68" s="80"/>
      <c r="Q68" s="26"/>
    </row>
    <row r="69" spans="2:17">
      <c r="B69" s="27" t="s">
        <v>175</v>
      </c>
      <c r="C69" s="26"/>
      <c r="D69" s="97"/>
      <c r="E69" s="92"/>
      <c r="F69" s="98"/>
      <c r="G69" s="26"/>
      <c r="H69" s="97"/>
      <c r="I69" s="92"/>
      <c r="J69" s="98"/>
      <c r="K69" s="26"/>
      <c r="L69" s="97"/>
      <c r="M69" s="92"/>
      <c r="N69" s="98"/>
      <c r="O69" s="26"/>
      <c r="P69" s="80"/>
      <c r="Q69" s="26"/>
    </row>
    <row r="70" spans="2:17">
      <c r="B70" s="26"/>
      <c r="C70" s="26"/>
      <c r="D70" s="26"/>
      <c r="E70" s="26"/>
      <c r="F70" s="26"/>
      <c r="G70" s="26"/>
      <c r="H70" s="26"/>
      <c r="I70" s="26"/>
      <c r="J70" s="26"/>
      <c r="K70" s="26"/>
      <c r="L70" s="26"/>
      <c r="M70" s="26"/>
      <c r="N70" s="26"/>
      <c r="O70" s="26"/>
      <c r="P70" s="26"/>
      <c r="Q70" s="26"/>
    </row>
    <row r="71" spans="2:17" ht="13.9" thickBot="1">
      <c r="B71" s="74" t="s">
        <v>146</v>
      </c>
      <c r="C71" s="26"/>
      <c r="D71" s="81">
        <f>SUM(D58:D69)</f>
        <v>0</v>
      </c>
      <c r="E71" s="82">
        <f>IF(D71&lt;&gt;0,F71/D71,0)</f>
        <v>0</v>
      </c>
      <c r="F71" s="83">
        <f>SUM(F58:F69)</f>
        <v>0</v>
      </c>
      <c r="G71" s="26"/>
      <c r="H71" s="81">
        <f>SUM(H58:H69)</f>
        <v>0</v>
      </c>
      <c r="I71" s="82">
        <f>IF(H71&lt;&gt;0,J71/H71,0)</f>
        <v>0</v>
      </c>
      <c r="J71" s="83">
        <f>SUM(J58:J69)</f>
        <v>0</v>
      </c>
      <c r="K71" s="26"/>
      <c r="L71" s="81">
        <f>SUM(L58:L69)</f>
        <v>0</v>
      </c>
      <c r="M71" s="82">
        <f>IF(L71&lt;&gt;0,N71/L71,0)</f>
        <v>0</v>
      </c>
      <c r="N71" s="83">
        <f>SUM(N58:N69)</f>
        <v>0</v>
      </c>
      <c r="O71" s="26"/>
      <c r="P71" s="83">
        <f>SUM(P58:P69)</f>
        <v>0</v>
      </c>
      <c r="Q71" s="26"/>
    </row>
    <row r="72" spans="2:17">
      <c r="B72" s="26"/>
      <c r="C72" s="26"/>
      <c r="D72" s="26"/>
      <c r="E72" s="26"/>
      <c r="F72" s="26"/>
      <c r="G72" s="26"/>
      <c r="H72" s="26"/>
      <c r="I72" s="26"/>
      <c r="J72" s="26"/>
      <c r="K72" s="26"/>
      <c r="L72" s="26"/>
      <c r="M72" s="26"/>
      <c r="N72" s="26"/>
      <c r="O72" s="26"/>
      <c r="P72" s="26"/>
      <c r="Q72" s="26"/>
    </row>
    <row r="73" spans="2:17">
      <c r="B73" s="71" t="e">
        <f>#REF!</f>
        <v>#REF!</v>
      </c>
      <c r="C73" s="72"/>
      <c r="D73" s="247" t="s">
        <v>128</v>
      </c>
      <c r="E73" s="247"/>
      <c r="F73" s="247"/>
      <c r="G73" s="72"/>
      <c r="H73" s="247" t="s">
        <v>158</v>
      </c>
      <c r="I73" s="247"/>
      <c r="J73" s="247"/>
      <c r="K73" s="72"/>
      <c r="L73" s="247" t="s">
        <v>159</v>
      </c>
      <c r="M73" s="247"/>
      <c r="N73" s="247"/>
      <c r="O73" s="72"/>
      <c r="P73" s="71" t="s">
        <v>160</v>
      </c>
      <c r="Q73" s="26"/>
    </row>
    <row r="74" spans="2:17">
      <c r="B74" s="74"/>
      <c r="C74" s="26"/>
      <c r="D74" s="90"/>
      <c r="E74" s="90"/>
      <c r="F74" s="90"/>
      <c r="G74" s="26"/>
      <c r="H74" s="90"/>
      <c r="I74" s="90"/>
      <c r="J74" s="90"/>
      <c r="K74" s="26"/>
      <c r="L74" s="90"/>
      <c r="M74" s="90"/>
      <c r="N74" s="90"/>
      <c r="O74" s="26"/>
      <c r="P74" s="90"/>
      <c r="Q74" s="26"/>
    </row>
    <row r="75" spans="2:17">
      <c r="B75" s="74" t="s">
        <v>161</v>
      </c>
      <c r="C75" s="26"/>
      <c r="D75" s="90" t="s">
        <v>162</v>
      </c>
      <c r="E75" s="90" t="s">
        <v>100</v>
      </c>
      <c r="F75" s="90" t="s">
        <v>163</v>
      </c>
      <c r="G75" s="26"/>
      <c r="H75" s="90" t="s">
        <v>162</v>
      </c>
      <c r="I75" s="90" t="s">
        <v>100</v>
      </c>
      <c r="J75" s="90" t="s">
        <v>163</v>
      </c>
      <c r="K75" s="26"/>
      <c r="L75" s="90" t="s">
        <v>162</v>
      </c>
      <c r="M75" s="90" t="s">
        <v>100</v>
      </c>
      <c r="N75" s="90" t="s">
        <v>163</v>
      </c>
      <c r="O75" s="26"/>
      <c r="P75" s="90" t="s">
        <v>163</v>
      </c>
      <c r="Q75" s="26"/>
    </row>
    <row r="76" spans="2:17">
      <c r="B76" s="26"/>
      <c r="C76" s="26"/>
      <c r="D76" s="26"/>
      <c r="E76" s="26"/>
      <c r="F76" s="26"/>
      <c r="G76" s="26"/>
      <c r="H76" s="26"/>
      <c r="I76" s="26"/>
      <c r="J76" s="26"/>
      <c r="K76" s="26"/>
      <c r="L76" s="26"/>
      <c r="M76" s="26"/>
      <c r="N76" s="26"/>
      <c r="O76" s="26"/>
      <c r="P76" s="26"/>
      <c r="Q76" s="26"/>
    </row>
    <row r="77" spans="2:17">
      <c r="B77" s="27" t="s">
        <v>164</v>
      </c>
      <c r="C77" s="26"/>
      <c r="D77" s="97"/>
      <c r="E77" s="92"/>
      <c r="F77" s="98"/>
      <c r="G77" s="26"/>
      <c r="H77" s="97"/>
      <c r="I77" s="92"/>
      <c r="J77" s="98"/>
      <c r="K77" s="26"/>
      <c r="L77" s="97"/>
      <c r="M77" s="92"/>
      <c r="N77" s="98"/>
      <c r="O77" s="26"/>
      <c r="P77" s="80"/>
      <c r="Q77" s="26"/>
    </row>
    <row r="78" spans="2:17">
      <c r="B78" s="27" t="s">
        <v>165</v>
      </c>
      <c r="C78" s="26"/>
      <c r="D78" s="97"/>
      <c r="E78" s="92"/>
      <c r="F78" s="98"/>
      <c r="G78" s="26"/>
      <c r="H78" s="97"/>
      <c r="I78" s="92"/>
      <c r="J78" s="98"/>
      <c r="K78" s="26"/>
      <c r="L78" s="97"/>
      <c r="M78" s="92"/>
      <c r="N78" s="98"/>
      <c r="O78" s="26"/>
      <c r="P78" s="80"/>
      <c r="Q78" s="26"/>
    </row>
    <row r="79" spans="2:17">
      <c r="B79" s="27" t="s">
        <v>166</v>
      </c>
      <c r="C79" s="26"/>
      <c r="D79" s="97"/>
      <c r="E79" s="92"/>
      <c r="F79" s="98"/>
      <c r="G79" s="26"/>
      <c r="H79" s="97"/>
      <c r="I79" s="92"/>
      <c r="J79" s="98"/>
      <c r="K79" s="26"/>
      <c r="L79" s="97"/>
      <c r="M79" s="92"/>
      <c r="N79" s="98"/>
      <c r="O79" s="26"/>
      <c r="P79" s="80"/>
      <c r="Q79" s="26"/>
    </row>
    <row r="80" spans="2:17">
      <c r="B80" s="27" t="s">
        <v>167</v>
      </c>
      <c r="C80" s="26"/>
      <c r="D80" s="97"/>
      <c r="E80" s="92"/>
      <c r="F80" s="98"/>
      <c r="G80" s="26"/>
      <c r="H80" s="97"/>
      <c r="I80" s="92"/>
      <c r="J80" s="98"/>
      <c r="K80" s="26"/>
      <c r="L80" s="97"/>
      <c r="M80" s="92"/>
      <c r="N80" s="98"/>
      <c r="O80" s="26"/>
      <c r="P80" s="80"/>
      <c r="Q80" s="26"/>
    </row>
    <row r="81" spans="2:17">
      <c r="B81" s="27" t="s">
        <v>168</v>
      </c>
      <c r="C81" s="26"/>
      <c r="D81" s="97"/>
      <c r="E81" s="92"/>
      <c r="F81" s="98"/>
      <c r="G81" s="26"/>
      <c r="H81" s="97"/>
      <c r="I81" s="92"/>
      <c r="J81" s="98"/>
      <c r="K81" s="26"/>
      <c r="L81" s="97"/>
      <c r="M81" s="92"/>
      <c r="N81" s="98"/>
      <c r="O81" s="26"/>
      <c r="P81" s="80"/>
      <c r="Q81" s="26"/>
    </row>
    <row r="82" spans="2:17">
      <c r="B82" s="27" t="s">
        <v>169</v>
      </c>
      <c r="C82" s="26"/>
      <c r="D82" s="97"/>
      <c r="E82" s="92"/>
      <c r="F82" s="98"/>
      <c r="G82" s="26"/>
      <c r="H82" s="97"/>
      <c r="I82" s="92"/>
      <c r="J82" s="98"/>
      <c r="K82" s="26"/>
      <c r="L82" s="97"/>
      <c r="M82" s="92"/>
      <c r="N82" s="98"/>
      <c r="O82" s="26"/>
      <c r="P82" s="80"/>
      <c r="Q82" s="26"/>
    </row>
    <row r="83" spans="2:17">
      <c r="B83" s="27" t="s">
        <v>170</v>
      </c>
      <c r="C83" s="26"/>
      <c r="D83" s="97"/>
      <c r="E83" s="92"/>
      <c r="F83" s="98"/>
      <c r="G83" s="26"/>
      <c r="H83" s="97"/>
      <c r="I83" s="92"/>
      <c r="J83" s="98"/>
      <c r="K83" s="26"/>
      <c r="L83" s="97"/>
      <c r="M83" s="92"/>
      <c r="N83" s="98"/>
      <c r="O83" s="26"/>
      <c r="P83" s="80"/>
      <c r="Q83" s="26"/>
    </row>
    <row r="84" spans="2:17">
      <c r="B84" s="27" t="s">
        <v>171</v>
      </c>
      <c r="C84" s="26"/>
      <c r="D84" s="97"/>
      <c r="E84" s="92"/>
      <c r="F84" s="98"/>
      <c r="G84" s="26"/>
      <c r="H84" s="97"/>
      <c r="I84" s="92"/>
      <c r="J84" s="98"/>
      <c r="K84" s="26"/>
      <c r="L84" s="97"/>
      <c r="M84" s="92"/>
      <c r="N84" s="98"/>
      <c r="O84" s="26"/>
      <c r="P84" s="80"/>
      <c r="Q84" s="26"/>
    </row>
    <row r="85" spans="2:17">
      <c r="B85" s="27" t="s">
        <v>172</v>
      </c>
      <c r="C85" s="26"/>
      <c r="D85" s="97"/>
      <c r="E85" s="92"/>
      <c r="F85" s="98"/>
      <c r="G85" s="26"/>
      <c r="H85" s="97"/>
      <c r="I85" s="92"/>
      <c r="J85" s="98"/>
      <c r="K85" s="26"/>
      <c r="L85" s="97"/>
      <c r="M85" s="92"/>
      <c r="N85" s="98"/>
      <c r="O85" s="26"/>
      <c r="P85" s="80"/>
      <c r="Q85" s="26"/>
    </row>
    <row r="86" spans="2:17">
      <c r="B86" s="27" t="s">
        <v>173</v>
      </c>
      <c r="C86" s="26"/>
      <c r="D86" s="97"/>
      <c r="E86" s="92"/>
      <c r="F86" s="98"/>
      <c r="G86" s="26"/>
      <c r="H86" s="97"/>
      <c r="I86" s="92"/>
      <c r="J86" s="98"/>
      <c r="K86" s="26"/>
      <c r="L86" s="97"/>
      <c r="M86" s="92"/>
      <c r="N86" s="98"/>
      <c r="O86" s="26"/>
      <c r="P86" s="80"/>
      <c r="Q86" s="26"/>
    </row>
    <row r="87" spans="2:17">
      <c r="B87" s="27" t="s">
        <v>174</v>
      </c>
      <c r="C87" s="26"/>
      <c r="D87" s="97"/>
      <c r="E87" s="92"/>
      <c r="F87" s="98"/>
      <c r="G87" s="26"/>
      <c r="H87" s="97"/>
      <c r="I87" s="92"/>
      <c r="J87" s="98"/>
      <c r="K87" s="26"/>
      <c r="L87" s="97"/>
      <c r="M87" s="92"/>
      <c r="N87" s="98"/>
      <c r="O87" s="26"/>
      <c r="P87" s="80"/>
      <c r="Q87" s="26"/>
    </row>
    <row r="88" spans="2:17">
      <c r="B88" s="27" t="s">
        <v>175</v>
      </c>
      <c r="C88" s="26"/>
      <c r="D88" s="97"/>
      <c r="E88" s="92"/>
      <c r="F88" s="98"/>
      <c r="G88" s="26"/>
      <c r="H88" s="97"/>
      <c r="I88" s="92"/>
      <c r="J88" s="98"/>
      <c r="K88" s="26"/>
      <c r="L88" s="97"/>
      <c r="M88" s="92"/>
      <c r="N88" s="98"/>
      <c r="O88" s="26"/>
      <c r="P88" s="80"/>
      <c r="Q88" s="26"/>
    </row>
    <row r="89" spans="2:17">
      <c r="B89" s="26"/>
      <c r="C89" s="26"/>
      <c r="D89" s="26"/>
      <c r="E89" s="26"/>
      <c r="F89" s="26"/>
      <c r="G89" s="26"/>
      <c r="H89" s="26"/>
      <c r="I89" s="26"/>
      <c r="J89" s="26"/>
      <c r="K89" s="26"/>
      <c r="L89" s="26"/>
      <c r="M89" s="26"/>
      <c r="N89" s="26"/>
      <c r="O89" s="26"/>
      <c r="P89" s="26"/>
      <c r="Q89" s="26"/>
    </row>
    <row r="90" spans="2:17" ht="13.9" thickBot="1">
      <c r="B90" s="74" t="s">
        <v>146</v>
      </c>
      <c r="C90" s="26"/>
      <c r="D90" s="81">
        <f>SUM(D77:D88)</f>
        <v>0</v>
      </c>
      <c r="E90" s="82">
        <f>IF(D90&lt;&gt;0,F90/D90,0)</f>
        <v>0</v>
      </c>
      <c r="F90" s="83">
        <f>SUM(F77:F88)</f>
        <v>0</v>
      </c>
      <c r="G90" s="26"/>
      <c r="H90" s="81">
        <f>SUM(H77:H88)</f>
        <v>0</v>
      </c>
      <c r="I90" s="82">
        <f>IF(H90&lt;&gt;0,J90/H90,0)</f>
        <v>0</v>
      </c>
      <c r="J90" s="83">
        <f>SUM(J77:J88)</f>
        <v>0</v>
      </c>
      <c r="K90" s="26"/>
      <c r="L90" s="81">
        <f>SUM(L77:L88)</f>
        <v>0</v>
      </c>
      <c r="M90" s="82">
        <f>IF(L90&lt;&gt;0,N90/L90,0)</f>
        <v>0</v>
      </c>
      <c r="N90" s="83">
        <f>SUM(N77:N88)</f>
        <v>0</v>
      </c>
      <c r="O90" s="26"/>
      <c r="P90" s="83">
        <f>SUM(P77:P88)</f>
        <v>0</v>
      </c>
      <c r="Q90" s="26"/>
    </row>
    <row r="91" spans="2:17">
      <c r="B91" s="26"/>
      <c r="C91" s="26"/>
      <c r="D91" s="26"/>
      <c r="E91" s="26"/>
      <c r="F91" s="26"/>
      <c r="G91" s="26"/>
      <c r="H91" s="26"/>
      <c r="I91" s="26"/>
      <c r="J91" s="26"/>
      <c r="K91" s="26"/>
      <c r="L91" s="26"/>
      <c r="M91" s="26"/>
      <c r="N91" s="26"/>
      <c r="O91" s="26"/>
      <c r="P91" s="26"/>
      <c r="Q91" s="26"/>
    </row>
    <row r="92" spans="2:17">
      <c r="B92" s="71" t="s">
        <v>146</v>
      </c>
      <c r="C92" s="72"/>
      <c r="D92" s="247" t="s">
        <v>128</v>
      </c>
      <c r="E92" s="247"/>
      <c r="F92" s="247"/>
      <c r="G92" s="72"/>
      <c r="H92" s="247" t="s">
        <v>158</v>
      </c>
      <c r="I92" s="247"/>
      <c r="J92" s="247"/>
      <c r="K92" s="72"/>
      <c r="L92" s="247" t="s">
        <v>159</v>
      </c>
      <c r="M92" s="247"/>
      <c r="N92" s="247"/>
      <c r="O92" s="72"/>
      <c r="P92" s="71" t="s">
        <v>160</v>
      </c>
      <c r="Q92" s="26"/>
    </row>
    <row r="93" spans="2:17">
      <c r="B93" s="26"/>
      <c r="C93" s="26"/>
      <c r="D93" s="248"/>
      <c r="E93" s="248"/>
      <c r="F93" s="248"/>
      <c r="G93" s="26"/>
      <c r="H93" s="248"/>
      <c r="I93" s="248"/>
      <c r="J93" s="248"/>
      <c r="K93" s="26"/>
      <c r="L93" s="248"/>
      <c r="M93" s="248"/>
      <c r="N93" s="248"/>
      <c r="O93" s="26"/>
      <c r="P93" s="90"/>
      <c r="Q93" s="26"/>
    </row>
    <row r="94" spans="2:17">
      <c r="B94" s="74" t="s">
        <v>161</v>
      </c>
      <c r="C94" s="26"/>
      <c r="D94" s="90" t="s">
        <v>162</v>
      </c>
      <c r="E94" s="90" t="s">
        <v>100</v>
      </c>
      <c r="F94" s="90" t="s">
        <v>163</v>
      </c>
      <c r="G94" s="26"/>
      <c r="H94" s="90" t="s">
        <v>162</v>
      </c>
      <c r="I94" s="90" t="s">
        <v>100</v>
      </c>
      <c r="J94" s="90" t="s">
        <v>163</v>
      </c>
      <c r="K94" s="26"/>
      <c r="L94" s="90" t="s">
        <v>162</v>
      </c>
      <c r="M94" s="90" t="s">
        <v>100</v>
      </c>
      <c r="N94" s="90" t="s">
        <v>163</v>
      </c>
      <c r="O94" s="26"/>
      <c r="P94" s="90" t="s">
        <v>163</v>
      </c>
      <c r="Q94" s="26"/>
    </row>
    <row r="95" spans="2:17">
      <c r="B95" s="26"/>
      <c r="C95" s="26"/>
      <c r="D95" s="26"/>
      <c r="E95" s="26"/>
      <c r="F95" s="26"/>
      <c r="G95" s="26"/>
      <c r="H95" s="26"/>
      <c r="I95" s="26"/>
      <c r="J95" s="26"/>
      <c r="K95" s="26"/>
      <c r="L95" s="26"/>
      <c r="M95" s="26"/>
      <c r="N95" s="26"/>
      <c r="O95" s="26"/>
      <c r="P95" s="26"/>
      <c r="Q95" s="26"/>
    </row>
    <row r="96" spans="2:17">
      <c r="B96" s="27" t="s">
        <v>164</v>
      </c>
      <c r="C96" s="26"/>
      <c r="D96" s="91">
        <f>D20+D39+D58+D77</f>
        <v>612380.79103334423</v>
      </c>
      <c r="E96" s="92">
        <f t="shared" ref="E96:E107" si="14">IF(D96&lt;&gt;0,F96/D96,0)</f>
        <v>6.3046649414852496</v>
      </c>
      <c r="F96" s="80">
        <f>F20+F39+F58+F77</f>
        <v>3860855.7040669299</v>
      </c>
      <c r="G96" s="26"/>
      <c r="H96" s="91">
        <f>H20+H39+H58+H77</f>
        <v>428851.61573723087</v>
      </c>
      <c r="I96" s="92">
        <f t="shared" ref="I96:I107" si="15">IF(H96&lt;&gt;0,J96/H96,0)</f>
        <v>0.88012453991390016</v>
      </c>
      <c r="J96" s="80">
        <f>J20+J39+J58+J77</f>
        <v>377442.83099206304</v>
      </c>
      <c r="K96" s="26"/>
      <c r="L96" s="91">
        <f>L20+L39+L58+L77</f>
        <v>649227.08265583194</v>
      </c>
      <c r="M96" s="92">
        <f t="shared" ref="M96:M107" si="16">IF(L96&lt;&gt;0,N96/L96,0)</f>
        <v>3.7173403016125879</v>
      </c>
      <c r="N96" s="80">
        <f>N20+N39+N58+N77</f>
        <v>2413397.9992548907</v>
      </c>
      <c r="O96" s="26"/>
      <c r="P96" s="80">
        <f t="shared" ref="P96:P107" si="17">J96+N96</f>
        <v>2790840.8302469538</v>
      </c>
      <c r="Q96" s="26"/>
    </row>
    <row r="97" spans="2:17">
      <c r="B97" s="27" t="s">
        <v>165</v>
      </c>
      <c r="C97" s="26"/>
      <c r="D97" s="91">
        <f t="shared" ref="D97:D107" si="18">D21+D40+D59+D78</f>
        <v>606357.8906211108</v>
      </c>
      <c r="E97" s="92">
        <f t="shared" si="14"/>
        <v>6.2999721184892357</v>
      </c>
      <c r="F97" s="80">
        <f t="shared" ref="F97:F107" si="19">F21+F40+F59+F78</f>
        <v>3820037.8047389435</v>
      </c>
      <c r="G97" s="26"/>
      <c r="H97" s="91">
        <f t="shared" ref="H97:H107" si="20">H21+H40+H59+H78</f>
        <v>415781.02871731279</v>
      </c>
      <c r="I97" s="92">
        <f t="shared" si="15"/>
        <v>0.89137655348158595</v>
      </c>
      <c r="J97" s="80">
        <f t="shared" ref="J97:J107" si="21">J21+J40+J59+J78</f>
        <v>370617.4603810666</v>
      </c>
      <c r="K97" s="26"/>
      <c r="L97" s="91">
        <f t="shared" ref="L97:L107" si="22">L21+L40+L59+L78</f>
        <v>627931.62193518423</v>
      </c>
      <c r="M97" s="92">
        <f t="shared" si="16"/>
        <v>3.7166396267336412</v>
      </c>
      <c r="N97" s="80">
        <f t="shared" ref="N97:N107" si="23">N21+N40+N59+N78</f>
        <v>2333795.5489634331</v>
      </c>
      <c r="O97" s="26"/>
      <c r="P97" s="80">
        <f t="shared" si="17"/>
        <v>2704413.0093444996</v>
      </c>
      <c r="Q97" s="26"/>
    </row>
    <row r="98" spans="2:17">
      <c r="B98" s="27" t="s">
        <v>166</v>
      </c>
      <c r="C98" s="26"/>
      <c r="D98" s="91">
        <f t="shared" si="18"/>
        <v>555799.44601876708</v>
      </c>
      <c r="E98" s="92">
        <f t="shared" si="14"/>
        <v>6.3375694471156478</v>
      </c>
      <c r="F98" s="80">
        <f>F22+F41+F60+F79</f>
        <v>3522417.5878123408</v>
      </c>
      <c r="G98" s="26"/>
      <c r="H98" s="91">
        <f t="shared" si="20"/>
        <v>374922.6180426646</v>
      </c>
      <c r="I98" s="92">
        <f t="shared" si="15"/>
        <v>0.90022286886262781</v>
      </c>
      <c r="J98" s="80">
        <f t="shared" si="21"/>
        <v>337513.91481585475</v>
      </c>
      <c r="K98" s="26"/>
      <c r="L98" s="91">
        <f t="shared" si="22"/>
        <v>569186.02536869491</v>
      </c>
      <c r="M98" s="92">
        <f t="shared" si="16"/>
        <v>3.7135610209962535</v>
      </c>
      <c r="N98" s="80">
        <f t="shared" si="23"/>
        <v>2113707.0375049701</v>
      </c>
      <c r="O98" s="26"/>
      <c r="P98" s="80">
        <f t="shared" si="17"/>
        <v>2451220.9523208248</v>
      </c>
      <c r="Q98" s="26"/>
    </row>
    <row r="99" spans="2:17">
      <c r="B99" s="27" t="s">
        <v>167</v>
      </c>
      <c r="C99" s="26"/>
      <c r="D99" s="91">
        <f t="shared" si="18"/>
        <v>518427.01927944459</v>
      </c>
      <c r="E99" s="92">
        <f t="shared" si="14"/>
        <v>6.3613827568215182</v>
      </c>
      <c r="F99" s="80">
        <f t="shared" si="19"/>
        <v>3297912.7011146354</v>
      </c>
      <c r="G99" s="26"/>
      <c r="H99" s="91">
        <f t="shared" si="20"/>
        <v>349468.1638237068</v>
      </c>
      <c r="I99" s="92">
        <f t="shared" si="15"/>
        <v>0.90414584360094863</v>
      </c>
      <c r="J99" s="80">
        <f t="shared" si="21"/>
        <v>315970.18779205991</v>
      </c>
      <c r="K99" s="26"/>
      <c r="L99" s="91">
        <f t="shared" si="22"/>
        <v>525186.67401356576</v>
      </c>
      <c r="M99" s="92">
        <f t="shared" si="16"/>
        <v>3.7114225685246747</v>
      </c>
      <c r="N99" s="80">
        <f t="shared" si="23"/>
        <v>1949189.6746223592</v>
      </c>
      <c r="O99" s="26"/>
      <c r="P99" s="80">
        <f t="shared" si="17"/>
        <v>2265159.8624144192</v>
      </c>
      <c r="Q99" s="26"/>
    </row>
    <row r="100" spans="2:17">
      <c r="B100" s="27" t="s">
        <v>168</v>
      </c>
      <c r="C100" s="26"/>
      <c r="D100" s="91">
        <f t="shared" si="18"/>
        <v>624008.99540038139</v>
      </c>
      <c r="E100" s="92">
        <f t="shared" si="14"/>
        <v>6.3730393343310299</v>
      </c>
      <c r="F100" s="80">
        <f t="shared" si="19"/>
        <v>3976833.8726630216</v>
      </c>
      <c r="G100" s="26"/>
      <c r="H100" s="91">
        <f t="shared" si="20"/>
        <v>421772.35848163901</v>
      </c>
      <c r="I100" s="92">
        <f t="shared" si="15"/>
        <v>0.92080494838564053</v>
      </c>
      <c r="J100" s="80">
        <f t="shared" si="21"/>
        <v>388370.07478217548</v>
      </c>
      <c r="K100" s="26"/>
      <c r="L100" s="91">
        <f t="shared" si="22"/>
        <v>637828.68126782763</v>
      </c>
      <c r="M100" s="92">
        <f t="shared" si="16"/>
        <v>3.7091452085246948</v>
      </c>
      <c r="N100" s="80">
        <f t="shared" si="23"/>
        <v>2365799.1969841877</v>
      </c>
      <c r="O100" s="26"/>
      <c r="P100" s="80">
        <f t="shared" si="17"/>
        <v>2754169.2717663632</v>
      </c>
      <c r="Q100" s="26"/>
    </row>
    <row r="101" spans="2:17">
      <c r="B101" s="27" t="s">
        <v>169</v>
      </c>
      <c r="C101" s="26"/>
      <c r="D101" s="91">
        <f t="shared" si="18"/>
        <v>748943.33403148106</v>
      </c>
      <c r="E101" s="92">
        <f t="shared" si="14"/>
        <v>6.3427493184661845</v>
      </c>
      <c r="F101" s="80">
        <f t="shared" si="19"/>
        <v>4750359.8214979684</v>
      </c>
      <c r="G101" s="26"/>
      <c r="H101" s="91">
        <f t="shared" si="20"/>
        <v>548955.05236249638</v>
      </c>
      <c r="I101" s="92">
        <f t="shared" si="15"/>
        <v>0.91349292459094067</v>
      </c>
      <c r="J101" s="80">
        <f t="shared" si="21"/>
        <v>501466.55625158979</v>
      </c>
      <c r="K101" s="26"/>
      <c r="L101" s="91">
        <f t="shared" si="22"/>
        <v>786887.85436603054</v>
      </c>
      <c r="M101" s="92">
        <f t="shared" si="16"/>
        <v>3.7113549123028231</v>
      </c>
      <c r="N101" s="80">
        <f t="shared" si="23"/>
        <v>2920420.1037327959</v>
      </c>
      <c r="O101" s="26"/>
      <c r="P101" s="80">
        <f t="shared" si="17"/>
        <v>3421886.6599843856</v>
      </c>
      <c r="Q101" s="26"/>
    </row>
    <row r="102" spans="2:17">
      <c r="B102" s="27" t="s">
        <v>170</v>
      </c>
      <c r="C102" s="26"/>
      <c r="D102" s="91">
        <f t="shared" si="18"/>
        <v>773096.79594054981</v>
      </c>
      <c r="E102" s="92">
        <f t="shared" si="14"/>
        <v>6.3760515880416939</v>
      </c>
      <c r="F102" s="80">
        <f t="shared" si="19"/>
        <v>4929305.0534666879</v>
      </c>
      <c r="G102" s="26"/>
      <c r="H102" s="91">
        <f t="shared" si="20"/>
        <v>540786.43836095487</v>
      </c>
      <c r="I102" s="92">
        <f t="shared" si="15"/>
        <v>0.92412718147931483</v>
      </c>
      <c r="J102" s="80">
        <f t="shared" si="21"/>
        <v>499755.44706474646</v>
      </c>
      <c r="K102" s="26"/>
      <c r="L102" s="91">
        <f t="shared" si="22"/>
        <v>785955.2498041573</v>
      </c>
      <c r="M102" s="92">
        <f t="shared" si="16"/>
        <v>3.7087901389155302</v>
      </c>
      <c r="N102" s="80">
        <f t="shared" si="23"/>
        <v>2914943.0801025508</v>
      </c>
      <c r="O102" s="26"/>
      <c r="P102" s="80">
        <f t="shared" si="17"/>
        <v>3414698.5271672974</v>
      </c>
      <c r="Q102" s="26"/>
    </row>
    <row r="103" spans="2:17">
      <c r="B103" s="27" t="s">
        <v>171</v>
      </c>
      <c r="C103" s="26"/>
      <c r="D103" s="91">
        <f t="shared" si="18"/>
        <v>788960.53833452542</v>
      </c>
      <c r="E103" s="92">
        <f t="shared" si="14"/>
        <v>6.3482244298680222</v>
      </c>
      <c r="F103" s="80">
        <f t="shared" si="19"/>
        <v>5008498.5636570603</v>
      </c>
      <c r="G103" s="26"/>
      <c r="H103" s="91">
        <f t="shared" si="20"/>
        <v>525458.49708030617</v>
      </c>
      <c r="I103" s="92">
        <f t="shared" si="15"/>
        <v>0.92376749283917203</v>
      </c>
      <c r="J103" s="80">
        <f t="shared" si="21"/>
        <v>485401.47843891382</v>
      </c>
      <c r="K103" s="26"/>
      <c r="L103" s="91">
        <f t="shared" si="22"/>
        <v>809979.81411487889</v>
      </c>
      <c r="M103" s="92">
        <f t="shared" si="16"/>
        <v>3.7118826737067674</v>
      </c>
      <c r="N103" s="80">
        <f t="shared" si="23"/>
        <v>3006550.0380652472</v>
      </c>
      <c r="O103" s="26"/>
      <c r="P103" s="80">
        <f t="shared" si="17"/>
        <v>3491951.5165041611</v>
      </c>
      <c r="Q103" s="26"/>
    </row>
    <row r="104" spans="2:17">
      <c r="B104" s="27" t="s">
        <v>172</v>
      </c>
      <c r="C104" s="26"/>
      <c r="D104" s="91">
        <f t="shared" si="18"/>
        <v>674086.62813997851</v>
      </c>
      <c r="E104" s="92">
        <f t="shared" si="14"/>
        <v>6.3580539392306932</v>
      </c>
      <c r="F104" s="80">
        <f t="shared" si="19"/>
        <v>4285879.141428126</v>
      </c>
      <c r="G104" s="26"/>
      <c r="H104" s="91">
        <f t="shared" si="20"/>
        <v>439758.92521583615</v>
      </c>
      <c r="I104" s="92">
        <f t="shared" si="15"/>
        <v>0.91913160002998573</v>
      </c>
      <c r="J104" s="80">
        <f t="shared" si="21"/>
        <v>404196.3245610983</v>
      </c>
      <c r="K104" s="26"/>
      <c r="L104" s="91">
        <f t="shared" si="22"/>
        <v>676616.41951761022</v>
      </c>
      <c r="M104" s="92">
        <f t="shared" si="16"/>
        <v>3.7115387282085575</v>
      </c>
      <c r="N104" s="80">
        <f t="shared" si="23"/>
        <v>2511288.0451814188</v>
      </c>
      <c r="O104" s="26"/>
      <c r="P104" s="80">
        <f t="shared" si="17"/>
        <v>2915484.3697425169</v>
      </c>
      <c r="Q104" s="26"/>
    </row>
    <row r="105" spans="2:17">
      <c r="B105" s="27" t="s">
        <v>173</v>
      </c>
      <c r="C105" s="26"/>
      <c r="D105" s="91">
        <f t="shared" si="18"/>
        <v>558479.88084008521</v>
      </c>
      <c r="E105" s="92">
        <f t="shared" si="14"/>
        <v>6.3515123543265162</v>
      </c>
      <c r="F105" s="80">
        <f t="shared" si="19"/>
        <v>3547191.8627986019</v>
      </c>
      <c r="G105" s="26"/>
      <c r="H105" s="91">
        <f t="shared" si="20"/>
        <v>419209.63072384649</v>
      </c>
      <c r="I105" s="92">
        <f t="shared" si="15"/>
        <v>0.9361000974826974</v>
      </c>
      <c r="J105" s="80">
        <f t="shared" si="21"/>
        <v>392422.17618627829</v>
      </c>
      <c r="K105" s="26"/>
      <c r="L105" s="91">
        <f t="shared" si="22"/>
        <v>576753.91833304393</v>
      </c>
      <c r="M105" s="92">
        <f t="shared" si="16"/>
        <v>3.7112663629250324</v>
      </c>
      <c r="N105" s="80">
        <f t="shared" si="23"/>
        <v>2140487.4167946372</v>
      </c>
      <c r="O105" s="26"/>
      <c r="P105" s="80">
        <f t="shared" si="17"/>
        <v>2532909.5929809157</v>
      </c>
      <c r="Q105" s="26"/>
    </row>
    <row r="106" spans="2:17">
      <c r="B106" s="27" t="s">
        <v>174</v>
      </c>
      <c r="C106" s="26"/>
      <c r="D106" s="91">
        <f t="shared" si="18"/>
        <v>566695.40615647472</v>
      </c>
      <c r="E106" s="92">
        <f t="shared" si="14"/>
        <v>6.3224578641643081</v>
      </c>
      <c r="F106" s="80">
        <f t="shared" si="19"/>
        <v>3582907.8272397905</v>
      </c>
      <c r="G106" s="26"/>
      <c r="H106" s="91">
        <f t="shared" si="20"/>
        <v>383584.56841281248</v>
      </c>
      <c r="I106" s="92">
        <f t="shared" si="15"/>
        <v>0.90376467319460074</v>
      </c>
      <c r="J106" s="80">
        <f t="shared" si="21"/>
        <v>346670.18211409746</v>
      </c>
      <c r="K106" s="26"/>
      <c r="L106" s="91">
        <f t="shared" si="22"/>
        <v>551130.89675795601</v>
      </c>
      <c r="M106" s="92">
        <f t="shared" si="16"/>
        <v>3.7177759753541042</v>
      </c>
      <c r="N106" s="80">
        <f t="shared" si="23"/>
        <v>2048981.2072420921</v>
      </c>
      <c r="O106" s="26"/>
      <c r="P106" s="80">
        <f t="shared" si="17"/>
        <v>2395651.3893561894</v>
      </c>
      <c r="Q106" s="26"/>
    </row>
    <row r="107" spans="2:17">
      <c r="B107" s="27" t="s">
        <v>175</v>
      </c>
      <c r="C107" s="26"/>
      <c r="D107" s="91">
        <f t="shared" si="18"/>
        <v>602021.54249713244</v>
      </c>
      <c r="E107" s="92">
        <f t="shared" si="14"/>
        <v>6.3359515715749142</v>
      </c>
      <c r="F107" s="80">
        <f t="shared" si="19"/>
        <v>3814379.3383066603</v>
      </c>
      <c r="G107" s="26"/>
      <c r="H107" s="91">
        <f t="shared" si="20"/>
        <v>442543.2827332837</v>
      </c>
      <c r="I107" s="92">
        <f t="shared" si="15"/>
        <v>0.91465136926550306</v>
      </c>
      <c r="J107" s="80">
        <f t="shared" si="21"/>
        <v>404772.81951124861</v>
      </c>
      <c r="K107" s="26"/>
      <c r="L107" s="91">
        <f t="shared" si="22"/>
        <v>607301.1351900755</v>
      </c>
      <c r="M107" s="92">
        <f t="shared" si="16"/>
        <v>3.7147813769867919</v>
      </c>
      <c r="N107" s="80">
        <f t="shared" si="23"/>
        <v>2255990.9472270305</v>
      </c>
      <c r="O107" s="26"/>
      <c r="P107" s="80">
        <f t="shared" si="17"/>
        <v>2660763.7667382793</v>
      </c>
      <c r="Q107" s="26"/>
    </row>
    <row r="108" spans="2:17">
      <c r="B108" s="26"/>
      <c r="C108" s="26"/>
      <c r="D108" s="26"/>
      <c r="E108" s="26"/>
      <c r="F108" s="26"/>
      <c r="G108" s="26"/>
      <c r="H108" s="26"/>
      <c r="I108" s="26"/>
      <c r="J108" s="26"/>
      <c r="K108" s="26"/>
      <c r="L108" s="26"/>
      <c r="M108" s="26"/>
      <c r="N108" s="26"/>
      <c r="O108" s="26"/>
      <c r="P108" s="80"/>
      <c r="Q108" s="26"/>
    </row>
    <row r="109" spans="2:17" ht="13.9" thickBot="1">
      <c r="B109" s="74" t="s">
        <v>146</v>
      </c>
      <c r="C109" s="26"/>
      <c r="D109" s="81">
        <f>SUM(D96:D107)</f>
        <v>7629258.2682932746</v>
      </c>
      <c r="E109" s="82">
        <f>IF(D109&lt;&gt;0,F109/D109,0)</f>
        <v>6.3435497366662696</v>
      </c>
      <c r="F109" s="83">
        <f>SUM(F96:F107)</f>
        <v>48396579.278790765</v>
      </c>
      <c r="G109" s="26"/>
      <c r="H109" s="81">
        <f>SUM(H96:H107)</f>
        <v>5291092.1796920905</v>
      </c>
      <c r="I109" s="82">
        <f>IF(H109&lt;&gt;0,J109/H109,0)</f>
        <v>0.9118343224880191</v>
      </c>
      <c r="J109" s="83">
        <f>SUM(J96:J107)</f>
        <v>4824599.4528911933</v>
      </c>
      <c r="K109" s="26"/>
      <c r="L109" s="81">
        <f>SUM(L96:L107)</f>
        <v>7803985.3733248562</v>
      </c>
      <c r="M109" s="82">
        <f>IF(L109&lt;&gt;0,N109/L109,0)</f>
        <v>3.7127889033101971</v>
      </c>
      <c r="N109" s="83">
        <f>SUM(N96:N107)</f>
        <v>28974550.295675613</v>
      </c>
      <c r="O109" s="26"/>
      <c r="P109" s="83">
        <f>SUM(P96:P107)</f>
        <v>33799149.748566806</v>
      </c>
      <c r="Q109" s="26"/>
    </row>
    <row r="111" spans="2:17">
      <c r="N111" s="94" t="s">
        <v>180</v>
      </c>
      <c r="P111" s="95" t="e">
        <f>#REF!</f>
        <v>#REF!</v>
      </c>
    </row>
    <row r="113" spans="14:16" ht="13.9" thickBot="1">
      <c r="N113" s="96" t="s">
        <v>181</v>
      </c>
      <c r="P113" s="83" t="e">
        <f>P109+P111</f>
        <v>#REF!</v>
      </c>
    </row>
  </sheetData>
  <mergeCells count="22">
    <mergeCell ref="D93:F93"/>
    <mergeCell ref="H93:J93"/>
    <mergeCell ref="L93:N93"/>
    <mergeCell ref="D73:F73"/>
    <mergeCell ref="H73:J73"/>
    <mergeCell ref="L73:N73"/>
    <mergeCell ref="D92:F92"/>
    <mergeCell ref="H92:J92"/>
    <mergeCell ref="L92:N92"/>
    <mergeCell ref="D35:F35"/>
    <mergeCell ref="H35:J35"/>
    <mergeCell ref="L35:N35"/>
    <mergeCell ref="D54:F54"/>
    <mergeCell ref="H54:J54"/>
    <mergeCell ref="L54:N54"/>
    <mergeCell ref="B13:P13"/>
    <mergeCell ref="D16:F16"/>
    <mergeCell ref="H16:J16"/>
    <mergeCell ref="L16:N16"/>
    <mergeCell ref="D17:F17"/>
    <mergeCell ref="H17:J17"/>
    <mergeCell ref="L17:N1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81B3F-47C8-4D87-AE7B-3EFFA01CECC1}">
  <dimension ref="A3:T113"/>
  <sheetViews>
    <sheetView topLeftCell="B41" workbookViewId="0">
      <selection activeCell="F15" sqref="F15"/>
    </sheetView>
  </sheetViews>
  <sheetFormatPr defaultColWidth="9.28515625" defaultRowHeight="13.15"/>
  <cols>
    <col min="1" max="1" width="56.7109375" style="1" customWidth="1"/>
    <col min="2" max="2" width="79.7109375" style="1" customWidth="1"/>
    <col min="3" max="3" width="9.28515625" style="99"/>
    <col min="4" max="4" width="16.28515625" style="99" customWidth="1"/>
    <col min="5" max="5" width="17.42578125" style="99" customWidth="1"/>
    <col min="6" max="6" width="16.28515625" style="99" customWidth="1"/>
    <col min="7" max="7" width="14.5703125" style="99" customWidth="1"/>
    <col min="8" max="8" width="11.5703125" style="99" customWidth="1"/>
    <col min="9" max="9" width="14.28515625" style="99" customWidth="1"/>
    <col min="10" max="10" width="14.42578125" style="99" customWidth="1"/>
    <col min="11" max="11" width="14.7109375" style="1" customWidth="1"/>
    <col min="12" max="12" width="14.28515625" style="1" customWidth="1"/>
    <col min="13" max="13" width="12.140625" style="1" customWidth="1"/>
    <col min="14" max="16384" width="9.28515625" style="1"/>
  </cols>
  <sheetData>
    <row r="3" spans="1:20">
      <c r="D3" s="100"/>
      <c r="E3" s="101"/>
      <c r="F3" s="101"/>
      <c r="G3" s="101"/>
      <c r="H3" s="102"/>
      <c r="I3" s="101"/>
      <c r="J3" s="100"/>
    </row>
    <row r="4" spans="1:20">
      <c r="D4" s="100"/>
      <c r="E4" s="101"/>
      <c r="F4" s="101"/>
      <c r="G4" s="101"/>
      <c r="H4" s="102"/>
      <c r="I4" s="101"/>
      <c r="J4" s="100"/>
    </row>
    <row r="5" spans="1:20">
      <c r="D5" s="100"/>
      <c r="E5" s="101"/>
      <c r="F5" s="101"/>
      <c r="G5" s="101"/>
      <c r="H5" s="102"/>
      <c r="I5" s="101"/>
      <c r="J5" s="100"/>
    </row>
    <row r="6" spans="1:20">
      <c r="D6" s="100"/>
      <c r="E6" s="101"/>
      <c r="F6" s="101"/>
      <c r="G6" s="101"/>
      <c r="H6" s="102"/>
      <c r="I6" s="101"/>
      <c r="J6" s="100"/>
    </row>
    <row r="7" spans="1:20">
      <c r="D7" s="100"/>
      <c r="E7" s="101"/>
      <c r="F7" s="101"/>
      <c r="G7" s="101"/>
      <c r="H7" s="102"/>
      <c r="I7" s="101"/>
      <c r="J7" s="100"/>
    </row>
    <row r="8" spans="1:20">
      <c r="D8" s="100"/>
      <c r="E8" s="101"/>
      <c r="F8" s="101"/>
      <c r="G8" s="101"/>
      <c r="H8" s="102"/>
      <c r="I8" s="101"/>
      <c r="J8" s="100"/>
    </row>
    <row r="9" spans="1:20">
      <c r="D9" s="100"/>
      <c r="E9" s="101"/>
      <c r="F9" s="101"/>
      <c r="G9" s="101"/>
      <c r="H9" s="102"/>
      <c r="I9" s="101"/>
      <c r="J9" s="100"/>
    </row>
    <row r="10" spans="1:20">
      <c r="D10" s="100"/>
      <c r="E10" s="101"/>
      <c r="F10" s="101"/>
      <c r="G10" s="101"/>
      <c r="H10" s="102"/>
      <c r="I10" s="101"/>
      <c r="J10" s="100"/>
    </row>
    <row r="11" spans="1:20">
      <c r="D11" s="100"/>
      <c r="E11" s="101"/>
      <c r="F11" s="101"/>
      <c r="G11" s="101"/>
      <c r="H11" s="102"/>
      <c r="I11" s="101"/>
      <c r="J11" s="100"/>
    </row>
    <row r="12" spans="1:20">
      <c r="D12" s="100"/>
      <c r="E12" s="101"/>
      <c r="F12" s="101"/>
      <c r="G12" s="101"/>
      <c r="H12" s="102"/>
      <c r="I12" s="101"/>
      <c r="J12" s="100"/>
    </row>
    <row r="13" spans="1:20" ht="15.6">
      <c r="A13" s="103" t="s">
        <v>183</v>
      </c>
      <c r="C13" s="250" t="s">
        <v>184</v>
      </c>
      <c r="D13" s="250"/>
      <c r="E13" s="250"/>
      <c r="F13" s="250"/>
      <c r="G13" s="250"/>
      <c r="H13" s="250"/>
      <c r="I13" s="250" t="s">
        <v>185</v>
      </c>
      <c r="J13" s="250"/>
    </row>
    <row r="14" spans="1:20">
      <c r="D14" s="100"/>
      <c r="E14" s="101"/>
      <c r="F14" s="101"/>
      <c r="G14" s="101"/>
      <c r="H14" s="102"/>
      <c r="I14" s="101"/>
      <c r="J14" s="100"/>
    </row>
    <row r="15" spans="1:20" ht="46.9">
      <c r="A15" s="104" t="s">
        <v>97</v>
      </c>
      <c r="B15" s="104" t="s">
        <v>98</v>
      </c>
      <c r="C15" s="105" t="s">
        <v>99</v>
      </c>
      <c r="D15" s="106" t="s">
        <v>186</v>
      </c>
      <c r="E15" s="107" t="s">
        <v>104</v>
      </c>
      <c r="F15" s="108" t="s">
        <v>187</v>
      </c>
      <c r="G15" s="109" t="s">
        <v>188</v>
      </c>
      <c r="H15" s="110" t="s">
        <v>189</v>
      </c>
      <c r="I15" s="108" t="s">
        <v>190</v>
      </c>
      <c r="J15" s="111" t="s">
        <v>191</v>
      </c>
      <c r="K15" s="111" t="s">
        <v>192</v>
      </c>
      <c r="L15" s="111" t="s">
        <v>193</v>
      </c>
      <c r="M15" s="111" t="s">
        <v>194</v>
      </c>
    </row>
    <row r="16" spans="1:20">
      <c r="A16" s="125" t="s">
        <v>105</v>
      </c>
      <c r="G16" s="112"/>
      <c r="Q16" s="123"/>
      <c r="R16" s="1" t="s">
        <v>195</v>
      </c>
      <c r="S16" s="1" t="s">
        <v>196</v>
      </c>
      <c r="T16" s="1" t="s">
        <v>197</v>
      </c>
    </row>
    <row r="17" spans="1:20">
      <c r="A17" s="1" t="s">
        <v>106</v>
      </c>
      <c r="B17" s="1" t="s">
        <v>107</v>
      </c>
      <c r="C17" s="99" t="s">
        <v>108</v>
      </c>
      <c r="D17" s="100">
        <f>'3. RRR Data 2027'!D17</f>
        <v>1.17E-2</v>
      </c>
      <c r="E17" s="112">
        <f>'3. RRR Data 2027'!H17</f>
        <v>1114030400.3737769</v>
      </c>
      <c r="F17" s="112">
        <f>'3. RRR Data 2027'!F17</f>
        <v>0</v>
      </c>
      <c r="G17" s="112">
        <f>IF(D17*E17=0,ROUND(D17*F17,2),ROUND(D17*E17,2))</f>
        <v>13034155.68</v>
      </c>
      <c r="H17" s="113">
        <f t="shared" ref="H17:H27" si="0">G17/$G$38</f>
        <v>0.27529823866404723</v>
      </c>
      <c r="I17" s="112">
        <f>K17*$I$38</f>
        <v>19161480.946724106</v>
      </c>
      <c r="J17" s="100">
        <f>IF(I17*L17=0,ROUND(I17/M17,4),ROUND(I17/L17,4))</f>
        <v>1.24E-2</v>
      </c>
      <c r="K17" s="120">
        <f>H17+H29</f>
        <v>0.39592634918148856</v>
      </c>
      <c r="L17" s="118">
        <f>E17+E29</f>
        <v>1550000495.9533594</v>
      </c>
      <c r="M17" s="118">
        <f>F17+F29</f>
        <v>0</v>
      </c>
      <c r="Q17" s="123" t="str">
        <f>A17</f>
        <v>Residential Service Classification</v>
      </c>
      <c r="R17" s="12">
        <f>J17</f>
        <v>1.24E-2</v>
      </c>
      <c r="S17" s="1" t="e">
        <f>#REF!</f>
        <v>#REF!</v>
      </c>
      <c r="T17" s="1" t="e">
        <f>#REF!</f>
        <v>#REF!</v>
      </c>
    </row>
    <row r="18" spans="1:20">
      <c r="A18" s="1" t="s">
        <v>110</v>
      </c>
      <c r="B18" s="1" t="s">
        <v>107</v>
      </c>
      <c r="C18" s="99" t="s">
        <v>108</v>
      </c>
      <c r="D18" s="100">
        <f>'3. RRR Data 2027'!D19</f>
        <v>1.2200000000000001E-2</v>
      </c>
      <c r="E18" s="112">
        <f>'3. RRR Data 2027'!H19</f>
        <v>13641664.568229049</v>
      </c>
      <c r="F18" s="112">
        <f>'3. RRR Data 2027'!F19</f>
        <v>0</v>
      </c>
      <c r="G18" s="112">
        <f t="shared" ref="G18:G37" si="1">IF(D18*E18=0,ROUND(D18*F18,2),ROUND(D18*E18,2))</f>
        <v>166428.31</v>
      </c>
      <c r="H18" s="113">
        <f t="shared" si="0"/>
        <v>3.5151813229557837E-3</v>
      </c>
      <c r="I18" s="112">
        <f t="shared" ref="I18:I27" si="2">K18*$I$38</f>
        <v>170122.7515757542</v>
      </c>
      <c r="J18" s="100">
        <f t="shared" ref="J18:J25" si="3">IF(I18*L18=0,ROUND(I18/M18,4),ROUND(I18/L18,4))</f>
        <v>1.2500000000000001E-2</v>
      </c>
      <c r="K18" s="120">
        <f>H18</f>
        <v>3.5151813229557837E-3</v>
      </c>
      <c r="L18" s="118">
        <f>E18</f>
        <v>13641664.568229049</v>
      </c>
      <c r="M18" s="118">
        <f>F18</f>
        <v>0</v>
      </c>
      <c r="Q18" s="123" t="str">
        <f t="shared" ref="Q18:Q27" si="4">A18</f>
        <v>Seasonal Residential Service Classification</v>
      </c>
      <c r="R18" s="12">
        <f t="shared" ref="R18:R27" si="5">J18</f>
        <v>1.2500000000000001E-2</v>
      </c>
      <c r="S18" s="1" t="e">
        <f>#REF!</f>
        <v>#REF!</v>
      </c>
    </row>
    <row r="19" spans="1:20">
      <c r="A19" s="1" t="s">
        <v>111</v>
      </c>
      <c r="B19" s="1" t="s">
        <v>107</v>
      </c>
      <c r="C19" s="99" t="s">
        <v>108</v>
      </c>
      <c r="D19" s="100">
        <f>'3. RRR Data 2027'!D21</f>
        <v>1.0699999999999999E-2</v>
      </c>
      <c r="E19" s="112">
        <f>'3. RRR Data 2027'!H21</f>
        <v>276166764.92133123</v>
      </c>
      <c r="F19" s="112">
        <f>'3. RRR Data 2027'!F21</f>
        <v>0</v>
      </c>
      <c r="G19" s="112">
        <f t="shared" si="1"/>
        <v>2954984.38</v>
      </c>
      <c r="H19" s="113">
        <f t="shared" si="0"/>
        <v>6.2413094876719449E-2</v>
      </c>
      <c r="I19" s="112">
        <f t="shared" si="2"/>
        <v>4224989.0914462013</v>
      </c>
      <c r="J19" s="100">
        <f>IF(I19*L19=0,ROUND(I19/M19,4),ROUND(I19/L19,4))</f>
        <v>1.1299999999999999E-2</v>
      </c>
      <c r="K19" s="120">
        <f>H19+H30</f>
        <v>8.7299333019136616E-2</v>
      </c>
      <c r="L19" s="118">
        <f t="shared" ref="L19:M23" si="6">E19+E30</f>
        <v>374354552.87616712</v>
      </c>
      <c r="M19" s="118">
        <f t="shared" si="6"/>
        <v>0</v>
      </c>
      <c r="Q19" s="123" t="str">
        <f t="shared" si="4"/>
        <v>General Service Less Than 50 kW Service Classification</v>
      </c>
      <c r="R19" s="12">
        <f t="shared" si="5"/>
        <v>1.1299999999999999E-2</v>
      </c>
      <c r="S19" s="1" t="e">
        <f>#REF!</f>
        <v>#REF!</v>
      </c>
      <c r="T19" s="1" t="e">
        <f>#REF!</f>
        <v>#REF!</v>
      </c>
    </row>
    <row r="20" spans="1:20">
      <c r="A20" s="1" t="s">
        <v>112</v>
      </c>
      <c r="B20" s="1" t="s">
        <v>107</v>
      </c>
      <c r="C20" s="99" t="s">
        <v>113</v>
      </c>
      <c r="D20" s="100">
        <f>'3. RRR Data 2027'!D23</f>
        <v>5.2130999999999998</v>
      </c>
      <c r="E20" s="112"/>
      <c r="F20" s="112">
        <f>'3. RRR Data 2027'!F23</f>
        <v>2469235.8815826704</v>
      </c>
      <c r="G20" s="112">
        <f t="shared" si="1"/>
        <v>12872373.57</v>
      </c>
      <c r="H20" s="113">
        <f t="shared" si="0"/>
        <v>0.27188119109888015</v>
      </c>
      <c r="I20" s="112">
        <f t="shared" si="2"/>
        <v>17462101.626998924</v>
      </c>
      <c r="J20" s="100">
        <f>IF(I20*L20=0,ROUND(I20/M20,4),ROUND(I20/L20,4))</f>
        <v>5.2011000000000003</v>
      </c>
      <c r="K20" s="120">
        <f>H20+H31</f>
        <v>0.36081272451938534</v>
      </c>
      <c r="L20" s="118">
        <f t="shared" si="6"/>
        <v>0</v>
      </c>
      <c r="M20" s="118">
        <f t="shared" si="6"/>
        <v>3357399.0902986531</v>
      </c>
      <c r="Q20" s="123" t="str">
        <f t="shared" si="4"/>
        <v>General Service 50 To 2,999 kW Service Classification</v>
      </c>
      <c r="R20" s="12">
        <f t="shared" si="5"/>
        <v>5.2011000000000003</v>
      </c>
      <c r="S20" s="1" t="e">
        <f>#REF!</f>
        <v>#REF!</v>
      </c>
      <c r="T20" s="1" t="e">
        <f>#REF!</f>
        <v>#REF!</v>
      </c>
    </row>
    <row r="21" spans="1:20">
      <c r="A21" s="1" t="s">
        <v>112</v>
      </c>
      <c r="B21" s="1" t="s">
        <v>114</v>
      </c>
      <c r="C21" s="99" t="s">
        <v>113</v>
      </c>
      <c r="D21" s="100">
        <f>'3. RRR Data 2027'!D25</f>
        <v>0.88622699999999999</v>
      </c>
      <c r="E21" s="112"/>
      <c r="F21" s="112">
        <f>'3. RRR Data 2027'!F25</f>
        <v>16069.890746500329</v>
      </c>
      <c r="G21" s="112">
        <f t="shared" si="1"/>
        <v>14241.57</v>
      </c>
      <c r="H21" s="113">
        <f t="shared" si="0"/>
        <v>3.0080039191389613E-4</v>
      </c>
      <c r="I21" s="112">
        <f t="shared" si="2"/>
        <v>18441.338159312923</v>
      </c>
      <c r="J21" s="100">
        <f t="shared" si="3"/>
        <v>0.88729999999999998</v>
      </c>
      <c r="K21" s="120">
        <f>H21+H32</f>
        <v>3.8104631430830536E-4</v>
      </c>
      <c r="L21" s="118">
        <f t="shared" si="6"/>
        <v>0</v>
      </c>
      <c r="M21" s="118">
        <f t="shared" si="6"/>
        <v>20784.23748372004</v>
      </c>
      <c r="Q21" s="123" t="str">
        <f t="shared" si="4"/>
        <v>General Service 50 To 2,999 kW Service Classification</v>
      </c>
      <c r="R21" s="12">
        <f t="shared" si="5"/>
        <v>0.88729999999999998</v>
      </c>
      <c r="S21" s="1" t="e">
        <f>#REF!</f>
        <v>#REF!</v>
      </c>
      <c r="T21" s="1" t="e">
        <f>#REF!</f>
        <v>#REF!</v>
      </c>
    </row>
    <row r="22" spans="1:20">
      <c r="A22" s="1" t="s">
        <v>116</v>
      </c>
      <c r="B22" s="1" t="s">
        <v>107</v>
      </c>
      <c r="C22" s="99" t="s">
        <v>113</v>
      </c>
      <c r="D22" s="100">
        <f>'3. RRR Data 2027'!D27</f>
        <v>5.7435</v>
      </c>
      <c r="E22" s="112"/>
      <c r="F22" s="112">
        <f>'3. RRR Data 2027'!F27</f>
        <v>338325.47549037944</v>
      </c>
      <c r="G22" s="112">
        <f t="shared" si="1"/>
        <v>1943172.37</v>
      </c>
      <c r="H22" s="113">
        <f t="shared" si="0"/>
        <v>4.1042315591065762E-2</v>
      </c>
      <c r="I22" s="112">
        <f t="shared" si="2"/>
        <v>3017396.4631129676</v>
      </c>
      <c r="J22" s="100">
        <f t="shared" si="3"/>
        <v>5.4752000000000001</v>
      </c>
      <c r="K22" s="120">
        <f>H22+H33</f>
        <v>6.2347308592434057E-2</v>
      </c>
      <c r="L22" s="118">
        <f t="shared" si="6"/>
        <v>0</v>
      </c>
      <c r="M22" s="118">
        <f t="shared" si="6"/>
        <v>551099.39450126933</v>
      </c>
      <c r="Q22" s="123" t="str">
        <f t="shared" si="4"/>
        <v>General Service 3,000 To 4,999 kW Service Classification</v>
      </c>
      <c r="R22" s="12">
        <f t="shared" si="5"/>
        <v>5.4752000000000001</v>
      </c>
      <c r="S22" s="1" t="e">
        <f>#REF!</f>
        <v>#REF!</v>
      </c>
      <c r="T22" s="1" t="e">
        <f>#REF!</f>
        <v>#REF!</v>
      </c>
    </row>
    <row r="23" spans="1:20">
      <c r="A23" s="1" t="s">
        <v>116</v>
      </c>
      <c r="B23" s="1" t="s">
        <v>114</v>
      </c>
      <c r="C23" s="99" t="s">
        <v>113</v>
      </c>
      <c r="D23" s="100">
        <f>'3. RRR Data 2027'!D29</f>
        <v>0.97639500000000012</v>
      </c>
      <c r="E23" s="112"/>
      <c r="F23" s="112">
        <f>'3. RRR Data 2027'!F29</f>
        <v>0</v>
      </c>
      <c r="G23" s="112">
        <f t="shared" si="1"/>
        <v>0</v>
      </c>
      <c r="H23" s="113">
        <f t="shared" si="0"/>
        <v>0</v>
      </c>
      <c r="I23" s="112">
        <f t="shared" si="2"/>
        <v>0</v>
      </c>
      <c r="J23" s="100" t="e">
        <f t="shared" si="3"/>
        <v>#DIV/0!</v>
      </c>
      <c r="K23" s="120">
        <f>H23+H34</f>
        <v>0</v>
      </c>
      <c r="L23" s="118">
        <f t="shared" si="6"/>
        <v>0</v>
      </c>
      <c r="M23" s="118">
        <f t="shared" si="6"/>
        <v>0</v>
      </c>
      <c r="Q23" s="123" t="str">
        <f t="shared" si="4"/>
        <v>General Service 3,000 To 4,999 kW Service Classification</v>
      </c>
      <c r="R23" s="12">
        <f>R22*0.17</f>
        <v>0.93078400000000006</v>
      </c>
      <c r="S23" s="12" t="e">
        <f>S22*0.17</f>
        <v>#REF!</v>
      </c>
      <c r="T23" s="12" t="e">
        <f>T22*0.17</f>
        <v>#REF!</v>
      </c>
    </row>
    <row r="24" spans="1:20">
      <c r="A24" s="1" t="s">
        <v>119</v>
      </c>
      <c r="B24" s="1" t="s">
        <v>107</v>
      </c>
      <c r="C24" s="99" t="s">
        <v>113</v>
      </c>
      <c r="D24" s="100">
        <f>'3. RRR Data 2027'!D31</f>
        <v>5.7435</v>
      </c>
      <c r="E24" s="112"/>
      <c r="F24" s="112">
        <f>'3. RRR Data 2027'!F31</f>
        <v>699952.55015067151</v>
      </c>
      <c r="G24" s="112">
        <f t="shared" si="1"/>
        <v>4020177.47</v>
      </c>
      <c r="H24" s="113">
        <f t="shared" si="0"/>
        <v>8.4911351665540771E-2</v>
      </c>
      <c r="I24" s="112">
        <f t="shared" si="2"/>
        <v>4109418.9625506261</v>
      </c>
      <c r="J24" s="100">
        <f t="shared" si="3"/>
        <v>5.8710000000000004</v>
      </c>
      <c r="K24" s="120">
        <f>H24</f>
        <v>8.4911351665540771E-2</v>
      </c>
      <c r="L24" s="118">
        <f>E24</f>
        <v>0</v>
      </c>
      <c r="M24" s="118">
        <f>F24</f>
        <v>699952.55015067151</v>
      </c>
      <c r="Q24" s="123" t="str">
        <f t="shared" si="4"/>
        <v>Large Use Service Classification</v>
      </c>
      <c r="R24" s="12">
        <f t="shared" si="5"/>
        <v>5.8710000000000004</v>
      </c>
      <c r="S24" s="1" t="e">
        <f>#REF!</f>
        <v>#REF!</v>
      </c>
    </row>
    <row r="25" spans="1:20">
      <c r="A25" s="1" t="s">
        <v>120</v>
      </c>
      <c r="B25" s="1" t="s">
        <v>107</v>
      </c>
      <c r="C25" s="99" t="s">
        <v>108</v>
      </c>
      <c r="D25" s="100">
        <f>'3. RRR Data 2027'!D33</f>
        <v>1.0699999999999999E-2</v>
      </c>
      <c r="E25" s="112">
        <f>'3. RRR Data 2027'!H33</f>
        <v>4779323.3810849898</v>
      </c>
      <c r="F25" s="112">
        <f>'3. RRR Data 2027'!F33</f>
        <v>0</v>
      </c>
      <c r="G25" s="112">
        <f t="shared" si="1"/>
        <v>51138.76</v>
      </c>
      <c r="H25" s="113">
        <f t="shared" si="0"/>
        <v>1.0801168024305379E-3</v>
      </c>
      <c r="I25" s="112">
        <f t="shared" si="2"/>
        <v>76430.888285282461</v>
      </c>
      <c r="J25" s="100">
        <f t="shared" si="3"/>
        <v>1.1299999999999999E-2</v>
      </c>
      <c r="K25" s="120">
        <f>H25+H35</f>
        <v>1.5792622004336039E-3</v>
      </c>
      <c r="L25" s="118">
        <f t="shared" ref="L25:M27" si="7">E25+E35</f>
        <v>6748684.5450609531</v>
      </c>
      <c r="M25" s="118">
        <f t="shared" si="7"/>
        <v>0</v>
      </c>
      <c r="Q25" s="123" t="str">
        <f t="shared" si="4"/>
        <v>Unmetered Scattered Load Service Classification</v>
      </c>
      <c r="R25" s="12">
        <f t="shared" si="5"/>
        <v>1.1299999999999999E-2</v>
      </c>
      <c r="S25" s="1" t="e">
        <f>#REF!</f>
        <v>#REF!</v>
      </c>
      <c r="T25" s="1" t="e">
        <f>#REF!</f>
        <v>#REF!</v>
      </c>
    </row>
    <row r="26" spans="1:20">
      <c r="A26" s="1" t="s">
        <v>121</v>
      </c>
      <c r="B26" s="1" t="s">
        <v>107</v>
      </c>
      <c r="C26" s="99" t="s">
        <v>113</v>
      </c>
      <c r="D26" s="100">
        <f>'3. RRR Data 2027'!D35</f>
        <v>3.2515999999999998</v>
      </c>
      <c r="E26" s="112"/>
      <c r="F26" s="112">
        <f>'3. RRR Data 2027'!F35</f>
        <v>569.18081677203395</v>
      </c>
      <c r="G26" s="112">
        <f t="shared" si="1"/>
        <v>1850.75</v>
      </c>
      <c r="H26" s="113">
        <f t="shared" si="0"/>
        <v>3.9090235510175022E-5</v>
      </c>
      <c r="I26" s="112">
        <f t="shared" si="2"/>
        <v>2204.8001648804566</v>
      </c>
      <c r="J26" s="100">
        <f>IF(I26*L26=0,ROUND(I26/M26,4),ROUND(I26/L26,4))</f>
        <v>3.3692000000000002</v>
      </c>
      <c r="K26" s="120">
        <f>H26+H36</f>
        <v>4.5556942199976611E-5</v>
      </c>
      <c r="L26" s="118">
        <f t="shared" si="7"/>
        <v>0</v>
      </c>
      <c r="M26" s="118">
        <f t="shared" si="7"/>
        <v>654.39888952205615</v>
      </c>
      <c r="Q26" s="123" t="str">
        <f t="shared" si="4"/>
        <v>Sentinel Lighting Service Classification</v>
      </c>
      <c r="R26" s="12">
        <f t="shared" si="5"/>
        <v>3.3692000000000002</v>
      </c>
      <c r="S26" s="1" t="e">
        <f>#REF!</f>
        <v>#REF!</v>
      </c>
      <c r="T26" s="1" t="e">
        <f>#REF!</f>
        <v>#REF!</v>
      </c>
    </row>
    <row r="27" spans="1:20">
      <c r="A27" s="1" t="s">
        <v>122</v>
      </c>
      <c r="B27" s="1" t="s">
        <v>107</v>
      </c>
      <c r="C27" s="99" t="s">
        <v>113</v>
      </c>
      <c r="D27" s="100">
        <f>'3. RRR Data 2027'!D37</f>
        <v>3.4237000000000002</v>
      </c>
      <c r="E27" s="112"/>
      <c r="F27" s="112">
        <f>'3. RRR Data 2027'!F37</f>
        <v>33229.794206584047</v>
      </c>
      <c r="G27" s="112">
        <f t="shared" si="1"/>
        <v>113768.85</v>
      </c>
      <c r="H27" s="113">
        <f t="shared" si="0"/>
        <v>2.4029453682138462E-3</v>
      </c>
      <c r="I27" s="112">
        <f t="shared" si="2"/>
        <v>153992.40977271012</v>
      </c>
      <c r="J27" s="100">
        <f t="shared" ref="J27" si="8">IF(I27*L27=0,ROUND(I27/M27,4),ROUND(I27/L27,4))</f>
        <v>3.5365000000000002</v>
      </c>
      <c r="K27" s="120">
        <f>H27+H37</f>
        <v>3.1818862421170227E-3</v>
      </c>
      <c r="L27" s="118">
        <f t="shared" si="7"/>
        <v>0</v>
      </c>
      <c r="M27" s="118">
        <f t="shared" si="7"/>
        <v>43544.269818658286</v>
      </c>
      <c r="Q27" s="123" t="str">
        <f t="shared" si="4"/>
        <v>Street Lighting Service Classification</v>
      </c>
      <c r="R27" s="12">
        <f t="shared" si="5"/>
        <v>3.5365000000000002</v>
      </c>
      <c r="S27" s="12" t="e">
        <f>#REF!</f>
        <v>#REF!</v>
      </c>
      <c r="T27" s="1" t="e">
        <f>#REF!</f>
        <v>#REF!</v>
      </c>
    </row>
    <row r="28" spans="1:20">
      <c r="A28" s="125" t="s">
        <v>198</v>
      </c>
      <c r="D28" s="100"/>
      <c r="E28" s="112"/>
      <c r="F28" s="112"/>
      <c r="G28" s="112"/>
      <c r="H28" s="113"/>
      <c r="I28" s="112"/>
      <c r="J28" s="100"/>
      <c r="K28" s="120"/>
      <c r="L28" s="118"/>
      <c r="M28" s="118"/>
      <c r="Q28" s="123"/>
    </row>
    <row r="29" spans="1:20">
      <c r="A29" s="1" t="s">
        <v>106</v>
      </c>
      <c r="B29" s="1" t="s">
        <v>107</v>
      </c>
      <c r="C29" s="99" t="s">
        <v>108</v>
      </c>
      <c r="D29" s="100">
        <f>'3. RRR Data 2027'!D40</f>
        <v>1.3100000000000001E-2</v>
      </c>
      <c r="E29" s="112">
        <f>'3. RRR Data 2027'!H40</f>
        <v>435970095.57958239</v>
      </c>
      <c r="F29" s="112">
        <f>'3. RRR Data 2027'!F40</f>
        <v>0</v>
      </c>
      <c r="G29" s="112">
        <f>IF(D29*E29=0,ROUND(D29*F29,2),ROUND(D29*E29,2))</f>
        <v>5711208.25</v>
      </c>
      <c r="H29" s="113">
        <f t="shared" ref="H29:H37" si="9">G29/$G$38</f>
        <v>0.12062811051744134</v>
      </c>
      <c r="I29" s="112"/>
      <c r="J29" s="100"/>
      <c r="K29" s="120"/>
      <c r="M29" s="118"/>
    </row>
    <row r="30" spans="1:20">
      <c r="A30" s="1" t="s">
        <v>111</v>
      </c>
      <c r="B30" s="1" t="s">
        <v>107</v>
      </c>
      <c r="C30" s="99" t="s">
        <v>108</v>
      </c>
      <c r="D30" s="100">
        <f>'3. RRR Data 2027'!D42</f>
        <v>1.2E-2</v>
      </c>
      <c r="E30" s="112">
        <f>'3. RRR Data 2027'!H42</f>
        <v>98187787.954835877</v>
      </c>
      <c r="F30" s="112">
        <f>'3. RRR Data 2027'!F42</f>
        <v>0</v>
      </c>
      <c r="G30" s="112">
        <f t="shared" si="1"/>
        <v>1178253.46</v>
      </c>
      <c r="H30" s="113">
        <f t="shared" si="9"/>
        <v>2.4886238142417173E-2</v>
      </c>
      <c r="I30" s="112"/>
      <c r="J30" s="100"/>
    </row>
    <row r="31" spans="1:20">
      <c r="A31" s="1" t="s">
        <v>124</v>
      </c>
      <c r="B31" s="1" t="s">
        <v>107</v>
      </c>
      <c r="C31" s="99" t="s">
        <v>113</v>
      </c>
      <c r="D31" s="100">
        <f>'3. RRR Data 2027'!D44</f>
        <v>4.7407000000000004</v>
      </c>
      <c r="E31" s="112"/>
      <c r="F31" s="112">
        <f>'3. RRR Data 2027'!F44</f>
        <v>888163.20871598262</v>
      </c>
      <c r="G31" s="112">
        <f t="shared" si="1"/>
        <v>4210515.32</v>
      </c>
      <c r="H31" s="113">
        <f t="shared" si="9"/>
        <v>8.8931533420505179E-2</v>
      </c>
      <c r="I31" s="112"/>
      <c r="J31" s="100"/>
    </row>
    <row r="32" spans="1:20">
      <c r="A32" s="1" t="s">
        <v>124</v>
      </c>
      <c r="B32" s="1" t="s">
        <v>114</v>
      </c>
      <c r="C32" s="99" t="s">
        <v>113</v>
      </c>
      <c r="D32" s="100">
        <f>'3. RRR Data 2027'!D46</f>
        <v>0.80589999999999995</v>
      </c>
      <c r="E32" s="112"/>
      <c r="F32" s="112">
        <f>'3. RRR Data 2027'!F46</f>
        <v>4714.3467372197119</v>
      </c>
      <c r="G32" s="112">
        <f t="shared" si="1"/>
        <v>3799.29</v>
      </c>
      <c r="H32" s="113">
        <f>G32/$G$38</f>
        <v>8.0245922394409213E-5</v>
      </c>
      <c r="I32" s="112"/>
      <c r="J32" s="100"/>
    </row>
    <row r="33" spans="1:20">
      <c r="A33" s="1" t="str">
        <f t="shared" ref="A33:C34" si="10">A20</f>
        <v>General Service 50 To 2,999 kW Service Classification</v>
      </c>
      <c r="B33" s="1" t="str">
        <f t="shared" si="10"/>
        <v>Retail Transmission Rate - Network Service Rate</v>
      </c>
      <c r="C33" s="99" t="str">
        <f t="shared" si="10"/>
        <v>$/kW</v>
      </c>
      <c r="D33" s="100">
        <f>D31</f>
        <v>4.7407000000000004</v>
      </c>
      <c r="E33" s="112"/>
      <c r="F33" s="112">
        <f>'3. RRR Data 2027'!F48</f>
        <v>212773.91901088986</v>
      </c>
      <c r="G33" s="112">
        <f t="shared" si="1"/>
        <v>1008697.32</v>
      </c>
      <c r="H33" s="113">
        <f t="shared" si="9"/>
        <v>2.1304993001368296E-2</v>
      </c>
      <c r="I33" s="112"/>
      <c r="J33" s="100"/>
    </row>
    <row r="34" spans="1:20">
      <c r="A34" s="1" t="str">
        <f t="shared" si="10"/>
        <v>General Service 50 To 2,999 kW Service Classification</v>
      </c>
      <c r="B34" s="1" t="str">
        <f t="shared" si="10"/>
        <v>Retail Transmission Rate - Network Service Rate - EV CHARGING</v>
      </c>
      <c r="C34" s="99" t="str">
        <f t="shared" si="10"/>
        <v>$/kW</v>
      </c>
      <c r="D34" s="100">
        <f>D32</f>
        <v>0.80589999999999995</v>
      </c>
      <c r="E34" s="112">
        <f>'3. RRR Data 2027'!H50</f>
        <v>0</v>
      </c>
      <c r="F34" s="112">
        <f>'3. RRR Data 2027'!F50</f>
        <v>0</v>
      </c>
      <c r="G34" s="112">
        <f t="shared" si="1"/>
        <v>0</v>
      </c>
      <c r="H34" s="113">
        <f t="shared" si="9"/>
        <v>0</v>
      </c>
      <c r="I34" s="112"/>
      <c r="J34" s="100"/>
    </row>
    <row r="35" spans="1:20">
      <c r="A35" s="1" t="s">
        <v>120</v>
      </c>
      <c r="B35" s="1" t="s">
        <v>107</v>
      </c>
      <c r="C35" s="99" t="s">
        <v>108</v>
      </c>
      <c r="D35" s="100">
        <f>'3. RRR Data 2027'!D52</f>
        <v>1.2E-2</v>
      </c>
      <c r="E35" s="112">
        <f>'3. RRR Data 2027'!H52</f>
        <v>1969361.1639759634</v>
      </c>
      <c r="F35" s="112">
        <f>'3. RRR Data 2027'!F52</f>
        <v>0</v>
      </c>
      <c r="G35" s="112">
        <f t="shared" si="1"/>
        <v>23632.33</v>
      </c>
      <c r="H35" s="113">
        <f t="shared" si="9"/>
        <v>4.9914539800306604E-4</v>
      </c>
      <c r="I35" s="112"/>
      <c r="J35" s="100"/>
    </row>
    <row r="36" spans="1:20">
      <c r="A36" s="1" t="s">
        <v>121</v>
      </c>
      <c r="B36" s="1" t="s">
        <v>107</v>
      </c>
      <c r="C36" s="99" t="s">
        <v>113</v>
      </c>
      <c r="D36" s="100">
        <f>'3. RRR Data 2027'!D54</f>
        <v>3.5928</v>
      </c>
      <c r="E36" s="112"/>
      <c r="F36" s="112">
        <f>'3. RRR Data 2027'!F54</f>
        <v>85.218072750022259</v>
      </c>
      <c r="G36" s="112">
        <f>IF(D36*E36=0,ROUND(D36*F36,2),ROUND(D36*E36,2))</f>
        <v>306.17</v>
      </c>
      <c r="H36" s="113">
        <f>G36/$G$38</f>
        <v>6.4667066898015874E-6</v>
      </c>
      <c r="I36" s="112"/>
      <c r="J36" s="100"/>
    </row>
    <row r="37" spans="1:20">
      <c r="A37" s="1" t="s">
        <v>122</v>
      </c>
      <c r="B37" s="1" t="s">
        <v>107</v>
      </c>
      <c r="C37" s="99" t="s">
        <v>113</v>
      </c>
      <c r="D37" s="100">
        <f>'3. RRR Data 2027'!D56</f>
        <v>3.5754999999999999</v>
      </c>
      <c r="E37" s="112"/>
      <c r="F37" s="112">
        <f>'3. RRR Data 2027'!F56</f>
        <v>10314.47561207424</v>
      </c>
      <c r="G37" s="112">
        <f t="shared" si="1"/>
        <v>36879.410000000003</v>
      </c>
      <c r="H37" s="113">
        <f t="shared" si="9"/>
        <v>7.7894087390317649E-4</v>
      </c>
      <c r="I37" s="112"/>
      <c r="J37" s="100"/>
    </row>
    <row r="38" spans="1:20">
      <c r="D38" s="100"/>
      <c r="E38" s="112"/>
      <c r="F38" s="112"/>
      <c r="G38" s="112">
        <f>SUM(G17:G37)</f>
        <v>47345583.259999998</v>
      </c>
      <c r="H38" s="113">
        <f>G38/$G$38</f>
        <v>1</v>
      </c>
      <c r="I38" s="112">
        <f>'7. Forecast Wholesale 2027'!F33+'7. Forecast Wholesale 2027'!F52</f>
        <v>48396579.278790765</v>
      </c>
      <c r="J38" s="100"/>
    </row>
    <row r="40" spans="1:20" ht="15.6">
      <c r="A40" s="103" t="s">
        <v>199</v>
      </c>
      <c r="G40" s="112" t="e">
        <f>#REF!+#REF!</f>
        <v>#REF!</v>
      </c>
      <c r="H40" s="112"/>
      <c r="I40" s="112" t="e">
        <f>#REF!+#REF!</f>
        <v>#REF!</v>
      </c>
    </row>
    <row r="41" spans="1:20" ht="46.9">
      <c r="A41" s="104" t="s">
        <v>97</v>
      </c>
      <c r="B41" s="104" t="s">
        <v>98</v>
      </c>
      <c r="C41" s="105" t="s">
        <v>99</v>
      </c>
      <c r="D41" s="106" t="s">
        <v>200</v>
      </c>
      <c r="E41" s="107" t="s">
        <v>104</v>
      </c>
      <c r="F41" s="108" t="s">
        <v>187</v>
      </c>
      <c r="G41" s="109" t="s">
        <v>188</v>
      </c>
      <c r="H41" s="110" t="s">
        <v>189</v>
      </c>
      <c r="I41" s="108" t="s">
        <v>190</v>
      </c>
      <c r="J41" s="111" t="s">
        <v>201</v>
      </c>
      <c r="K41" s="111" t="s">
        <v>192</v>
      </c>
      <c r="L41" s="111" t="s">
        <v>193</v>
      </c>
      <c r="M41" s="111" t="s">
        <v>194</v>
      </c>
    </row>
    <row r="42" spans="1:20">
      <c r="A42" s="125" t="s">
        <v>105</v>
      </c>
    </row>
    <row r="43" spans="1:20">
      <c r="A43" s="1" t="s">
        <v>106</v>
      </c>
      <c r="B43" s="1" t="s">
        <v>109</v>
      </c>
      <c r="C43" s="99" t="s">
        <v>108</v>
      </c>
      <c r="D43" s="100">
        <f>'3. RRR Data 2027'!D18</f>
        <v>8.0000000000000002E-3</v>
      </c>
      <c r="E43" s="112">
        <f>'3. RRR Data 2027'!H18</f>
        <v>1114030400.3737769</v>
      </c>
      <c r="F43" s="112">
        <f>'3. RRR Data 2027'!F18</f>
        <v>0</v>
      </c>
      <c r="G43" s="112">
        <f>IF(D43*E43=0,ROUND(D43*F43,2),ROUND(D43*E43,2))</f>
        <v>8912243.1999999993</v>
      </c>
      <c r="H43" s="113">
        <f t="shared" ref="H43:H53" si="11">G43/$G$64</f>
        <v>0.2765103887923171</v>
      </c>
      <c r="I43" s="112">
        <f>K43*$I$64</f>
        <v>13871894.670513397</v>
      </c>
      <c r="J43" s="100">
        <f>IF(I43*L43=0,ROUND(I43/M43,4),ROUND(I43/L43,4))</f>
        <v>8.8999999999999999E-3</v>
      </c>
      <c r="K43" s="120">
        <f>H43+H55</f>
        <v>0.41042140922795284</v>
      </c>
      <c r="L43" s="118">
        <f>E43+E55</f>
        <v>1550000495.9533594</v>
      </c>
      <c r="M43" s="118">
        <f>F43+F55</f>
        <v>0</v>
      </c>
      <c r="Q43" s="123"/>
      <c r="R43" s="12"/>
    </row>
    <row r="44" spans="1:20">
      <c r="A44" s="1" t="s">
        <v>110</v>
      </c>
      <c r="B44" s="1" t="s">
        <v>109</v>
      </c>
      <c r="C44" s="99" t="s">
        <v>108</v>
      </c>
      <c r="D44" s="100">
        <f>'3. RRR Data 2027'!D20</f>
        <v>1.03E-2</v>
      </c>
      <c r="E44" s="112">
        <f>'3. RRR Data 2027'!H20</f>
        <v>13641664.568229049</v>
      </c>
      <c r="F44" s="112">
        <f>'3. RRR Data 2027'!F20</f>
        <v>0</v>
      </c>
      <c r="G44" s="112">
        <f t="shared" ref="G44:G63" si="12">IF(D44*E44=0,ROUND(D44*F44,2),ROUND(D44*E44,2))</f>
        <v>140509.15</v>
      </c>
      <c r="H44" s="113">
        <f t="shared" si="11"/>
        <v>4.3594231916133088E-3</v>
      </c>
      <c r="I44" s="112">
        <f t="shared" ref="I44:I53" si="13">K44*$I$64</f>
        <v>147344.79727071326</v>
      </c>
      <c r="J44" s="100">
        <f t="shared" ref="J44:J45" si="14">IF(I44*L44=0,ROUND(I44/M44,4),ROUND(I44/L44,4))</f>
        <v>1.0800000000000001E-2</v>
      </c>
      <c r="K44" s="120">
        <f>H44</f>
        <v>4.3594231916133088E-3</v>
      </c>
      <c r="L44" s="118">
        <f>E44</f>
        <v>13641664.568229049</v>
      </c>
      <c r="M44" s="118">
        <f>F44</f>
        <v>0</v>
      </c>
      <c r="Q44" s="123"/>
      <c r="R44" s="12"/>
    </row>
    <row r="45" spans="1:20">
      <c r="A45" s="1" t="s">
        <v>111</v>
      </c>
      <c r="B45" s="1" t="s">
        <v>109</v>
      </c>
      <c r="C45" s="99" t="s">
        <v>108</v>
      </c>
      <c r="D45" s="100">
        <f>'3. RRR Data 2027'!D22</f>
        <v>7.4999999999999997E-3</v>
      </c>
      <c r="E45" s="112">
        <f>'3. RRR Data 2027'!H22</f>
        <v>276166764.92133123</v>
      </c>
      <c r="F45" s="112">
        <f>'3. RRR Data 2027'!F22</f>
        <v>0</v>
      </c>
      <c r="G45" s="112">
        <f>IF(D45*E45=0,ROUND(D45*F45,2),ROUND(D45*E45,2))</f>
        <v>2071250.74</v>
      </c>
      <c r="H45" s="113">
        <f t="shared" si="11"/>
        <v>6.4262423561755433E-2</v>
      </c>
      <c r="I45" s="112">
        <f t="shared" si="13"/>
        <v>3139881.9374929401</v>
      </c>
      <c r="J45" s="100">
        <f t="shared" si="14"/>
        <v>8.3999999999999995E-3</v>
      </c>
      <c r="K45" s="120">
        <f>H45+H56</f>
        <v>9.2898252200148357E-2</v>
      </c>
      <c r="L45" s="118">
        <f t="shared" ref="L45:M49" si="15">E45+E56</f>
        <v>374354552.87616712</v>
      </c>
      <c r="M45" s="118">
        <f t="shared" si="15"/>
        <v>0</v>
      </c>
      <c r="Q45" s="123"/>
      <c r="R45" s="12"/>
    </row>
    <row r="46" spans="1:20">
      <c r="A46" s="1" t="s">
        <v>112</v>
      </c>
      <c r="B46" s="1" t="s">
        <v>109</v>
      </c>
      <c r="C46" s="99" t="s">
        <v>113</v>
      </c>
      <c r="D46" s="100">
        <f>'3. RRR Data 2027'!D24</f>
        <v>3.4744999999999999</v>
      </c>
      <c r="E46" s="112"/>
      <c r="F46" s="112">
        <f>'3. RRR Data 2027'!F24</f>
        <v>2469235.8815826704</v>
      </c>
      <c r="G46" s="112">
        <f t="shared" si="12"/>
        <v>8579360.0700000003</v>
      </c>
      <c r="H46" s="113">
        <f t="shared" si="11"/>
        <v>0.26618238924909288</v>
      </c>
      <c r="I46" s="112">
        <f t="shared" si="13"/>
        <v>12304690.849011561</v>
      </c>
      <c r="J46" s="100">
        <f>IF(I46*L46=0,ROUND(I46/M46,4),ROUND(I46/L46,4))</f>
        <v>3.6648999999999998</v>
      </c>
      <c r="K46" s="120">
        <f>H46+H57</f>
        <v>0.36405326585273995</v>
      </c>
      <c r="L46" s="118">
        <f t="shared" si="15"/>
        <v>0</v>
      </c>
      <c r="M46" s="118">
        <f t="shared" si="15"/>
        <v>3357399.0902986531</v>
      </c>
      <c r="Q46" s="123"/>
      <c r="R46" s="12"/>
    </row>
    <row r="47" spans="1:20">
      <c r="A47" s="1" t="s">
        <v>112</v>
      </c>
      <c r="B47" s="1" t="s">
        <v>115</v>
      </c>
      <c r="C47" s="99" t="s">
        <v>113</v>
      </c>
      <c r="D47" s="100">
        <f>'3. RRR Data 2027'!D26</f>
        <v>0.590665</v>
      </c>
      <c r="E47" s="112"/>
      <c r="F47" s="112">
        <f>'3. RRR Data 2027'!F26</f>
        <v>16069.890746500329</v>
      </c>
      <c r="G47" s="112">
        <f t="shared" si="12"/>
        <v>9491.92</v>
      </c>
      <c r="H47" s="113">
        <f t="shared" si="11"/>
        <v>2.9449538468447213E-4</v>
      </c>
      <c r="I47" s="112">
        <f t="shared" si="13"/>
        <v>12938.694315899422</v>
      </c>
      <c r="J47" s="100">
        <f t="shared" ref="J47:J51" si="16">IF(I47*L47=0,ROUND(I47/M47,4),ROUND(I47/L47,4))</f>
        <v>0.62250000000000005</v>
      </c>
      <c r="K47" s="120">
        <f>H47+H58</f>
        <v>3.8281123673674852E-4</v>
      </c>
      <c r="L47" s="118">
        <f t="shared" si="15"/>
        <v>0</v>
      </c>
      <c r="M47" s="118">
        <f t="shared" si="15"/>
        <v>20784.23748372004</v>
      </c>
      <c r="Q47" s="123"/>
      <c r="R47" s="12"/>
    </row>
    <row r="48" spans="1:20">
      <c r="A48" s="1" t="s">
        <v>116</v>
      </c>
      <c r="B48" s="1" t="s">
        <v>117</v>
      </c>
      <c r="C48" s="99" t="s">
        <v>113</v>
      </c>
      <c r="D48" s="100">
        <f>'3. RRR Data 2027'!D28</f>
        <v>3.8157999999999999</v>
      </c>
      <c r="E48" s="112"/>
      <c r="F48" s="112">
        <f>'3. RRR Data 2027'!F28</f>
        <v>338325.47549037944</v>
      </c>
      <c r="G48" s="112">
        <f t="shared" si="12"/>
        <v>1290982.3500000001</v>
      </c>
      <c r="H48" s="113">
        <f t="shared" si="11"/>
        <v>4.005389255115023E-2</v>
      </c>
      <c r="I48" s="112">
        <f t="shared" si="13"/>
        <v>1353787.5123493313</v>
      </c>
      <c r="J48" s="100">
        <f t="shared" si="16"/>
        <v>2.4565000000000001</v>
      </c>
      <c r="K48" s="120">
        <f>H48+H59</f>
        <v>4.005389255115023E-2</v>
      </c>
      <c r="L48" s="118">
        <f t="shared" si="15"/>
        <v>0</v>
      </c>
      <c r="M48" s="118">
        <f t="shared" si="15"/>
        <v>551099.39450126933</v>
      </c>
      <c r="Q48" s="123"/>
      <c r="R48" s="12"/>
      <c r="T48" s="12"/>
    </row>
    <row r="49" spans="1:20">
      <c r="A49" s="1" t="s">
        <v>116</v>
      </c>
      <c r="B49" s="1" t="s">
        <v>118</v>
      </c>
      <c r="C49" s="99" t="s">
        <v>113</v>
      </c>
      <c r="D49" s="100">
        <f>'3. RRR Data 2027'!D30</f>
        <v>0.64868599999999998</v>
      </c>
      <c r="E49" s="112">
        <f>'3. RRR Data 2027'!H30</f>
        <v>0</v>
      </c>
      <c r="F49" s="112">
        <f>'3. RRR Data 2027'!F30</f>
        <v>0</v>
      </c>
      <c r="G49" s="112">
        <f t="shared" si="12"/>
        <v>0</v>
      </c>
      <c r="H49" s="113">
        <f t="shared" si="11"/>
        <v>0</v>
      </c>
      <c r="I49" s="112">
        <f t="shared" si="13"/>
        <v>0</v>
      </c>
      <c r="J49" s="100" t="e">
        <f t="shared" si="16"/>
        <v>#DIV/0!</v>
      </c>
      <c r="K49" s="120">
        <f>H49+H60</f>
        <v>0</v>
      </c>
      <c r="L49" s="118">
        <f t="shared" si="15"/>
        <v>0</v>
      </c>
      <c r="M49" s="118">
        <f t="shared" si="15"/>
        <v>0</v>
      </c>
      <c r="Q49" s="123"/>
      <c r="R49" s="12"/>
      <c r="S49" s="12"/>
      <c r="T49" s="12"/>
    </row>
    <row r="50" spans="1:20">
      <c r="A50" s="1" t="s">
        <v>119</v>
      </c>
      <c r="B50" s="1" t="s">
        <v>117</v>
      </c>
      <c r="C50" s="99" t="s">
        <v>113</v>
      </c>
      <c r="D50" s="100">
        <f>'3. RRR Data 2027'!D32</f>
        <v>3.8157999999999999</v>
      </c>
      <c r="E50" s="112"/>
      <c r="F50" s="112">
        <f>'3. RRR Data 2027'!F32</f>
        <v>699952.55015067151</v>
      </c>
      <c r="G50" s="112">
        <f t="shared" si="12"/>
        <v>2670878.94</v>
      </c>
      <c r="H50" s="113">
        <f t="shared" si="11"/>
        <v>8.2866429645525375E-2</v>
      </c>
      <c r="I50" s="112">
        <f t="shared" si="13"/>
        <v>2800814.8647181881</v>
      </c>
      <c r="J50" s="100">
        <f t="shared" si="16"/>
        <v>4.0014000000000003</v>
      </c>
      <c r="K50" s="120">
        <f>H50</f>
        <v>8.2866429645525375E-2</v>
      </c>
      <c r="L50" s="118">
        <f>E50</f>
        <v>0</v>
      </c>
      <c r="M50" s="118">
        <f>F50</f>
        <v>699952.55015067151</v>
      </c>
      <c r="Q50" s="123"/>
      <c r="R50" s="12"/>
    </row>
    <row r="51" spans="1:20">
      <c r="A51" s="1" t="s">
        <v>120</v>
      </c>
      <c r="B51" s="1" t="s">
        <v>109</v>
      </c>
      <c r="C51" s="99" t="s">
        <v>108</v>
      </c>
      <c r="D51" s="100">
        <f>'3. RRR Data 2027'!D34</f>
        <v>7.4999999999999997E-3</v>
      </c>
      <c r="E51" s="112">
        <f>'3. RRR Data 2027'!H34</f>
        <v>4779323.3810849898</v>
      </c>
      <c r="F51" s="112">
        <f>'3. RRR Data 2027'!F34</f>
        <v>0</v>
      </c>
      <c r="G51" s="112">
        <f t="shared" si="12"/>
        <v>35844.93</v>
      </c>
      <c r="H51" s="113">
        <f t="shared" si="11"/>
        <v>1.1121213041553211E-3</v>
      </c>
      <c r="I51" s="112">
        <f t="shared" si="13"/>
        <v>57001.33662227961</v>
      </c>
      <c r="J51" s="100">
        <f t="shared" si="16"/>
        <v>8.3999999999999995E-3</v>
      </c>
      <c r="K51" s="120">
        <f>H51+H61</f>
        <v>1.6864725014183724E-3</v>
      </c>
      <c r="L51" s="118">
        <f t="shared" ref="L51:M53" si="17">E51+E61</f>
        <v>6748684.5450609531</v>
      </c>
      <c r="M51" s="118">
        <f t="shared" si="17"/>
        <v>0</v>
      </c>
      <c r="Q51" s="123"/>
      <c r="R51" s="12"/>
    </row>
    <row r="52" spans="1:20">
      <c r="A52" s="1" t="s">
        <v>121</v>
      </c>
      <c r="B52" s="1" t="s">
        <v>109</v>
      </c>
      <c r="C52" s="99" t="s">
        <v>113</v>
      </c>
      <c r="D52" s="100">
        <f>'3. RRR Data 2027'!D36</f>
        <v>2.1844000000000001</v>
      </c>
      <c r="E52" s="112"/>
      <c r="F52" s="112">
        <f>'3. RRR Data 2027'!F36</f>
        <v>569.18081677203395</v>
      </c>
      <c r="G52" s="112">
        <f t="shared" si="12"/>
        <v>1243.32</v>
      </c>
      <c r="H52" s="113">
        <f t="shared" si="11"/>
        <v>3.8575125125991148E-5</v>
      </c>
      <c r="I52" s="112">
        <f t="shared" si="13"/>
        <v>1554.3182202911619</v>
      </c>
      <c r="J52" s="100">
        <f>IF(I52*L52=0,ROUND(I52/M52,4),ROUND(I52/L52,4))</f>
        <v>2.3752</v>
      </c>
      <c r="K52" s="120">
        <f>H52+H62</f>
        <v>4.5986902979920969E-5</v>
      </c>
      <c r="L52" s="118">
        <f t="shared" si="17"/>
        <v>0</v>
      </c>
      <c r="M52" s="118">
        <f t="shared" si="17"/>
        <v>654.39888952205615</v>
      </c>
      <c r="Q52" s="123"/>
      <c r="R52" s="12"/>
    </row>
    <row r="53" spans="1:20">
      <c r="A53" s="1" t="s">
        <v>122</v>
      </c>
      <c r="B53" s="1" t="s">
        <v>109</v>
      </c>
      <c r="C53" s="99" t="s">
        <v>113</v>
      </c>
      <c r="D53" s="100">
        <f>'3. RRR Data 2027'!D38</f>
        <v>2.2826</v>
      </c>
      <c r="E53" s="112"/>
      <c r="F53" s="112">
        <f>'3. RRR Data 2027'!F38</f>
        <v>33229.794206584047</v>
      </c>
      <c r="G53" s="112">
        <f t="shared" si="12"/>
        <v>75850.33</v>
      </c>
      <c r="H53" s="113">
        <f t="shared" si="11"/>
        <v>2.3533249449841716E-3</v>
      </c>
      <c r="I53" s="112">
        <f t="shared" si="13"/>
        <v>109240.7680522046</v>
      </c>
      <c r="J53" s="100">
        <f t="shared" ref="J53" si="18">IF(I53*L53=0,ROUND(I53/M53,4),ROUND(I53/L53,4))</f>
        <v>2.5087000000000002</v>
      </c>
      <c r="K53" s="120">
        <f>H53+H63</f>
        <v>3.2320566897348288E-3</v>
      </c>
      <c r="L53" s="118">
        <f t="shared" si="17"/>
        <v>0</v>
      </c>
      <c r="M53" s="118">
        <f t="shared" si="17"/>
        <v>43544.269818658286</v>
      </c>
      <c r="Q53" s="123"/>
      <c r="R53" s="12"/>
      <c r="S53" s="12"/>
      <c r="T53" s="12"/>
    </row>
    <row r="54" spans="1:20">
      <c r="A54" s="125" t="s">
        <v>198</v>
      </c>
      <c r="D54" s="100"/>
      <c r="E54" s="112"/>
      <c r="F54" s="112"/>
      <c r="G54" s="112"/>
      <c r="H54" s="113"/>
      <c r="I54" s="112"/>
      <c r="J54" s="100"/>
      <c r="K54" s="120"/>
      <c r="L54" s="118"/>
      <c r="M54" s="118"/>
    </row>
    <row r="55" spans="1:20">
      <c r="A55" s="1" t="s">
        <v>106</v>
      </c>
      <c r="B55" s="1" t="s">
        <v>109</v>
      </c>
      <c r="C55" s="14" t="s">
        <v>108</v>
      </c>
      <c r="D55" s="100">
        <f>'3. RRR Data 2027'!D41</f>
        <v>9.9000000000000008E-3</v>
      </c>
      <c r="E55" s="112">
        <f>'3. RRR Data 2027'!H41</f>
        <v>435970095.57958239</v>
      </c>
      <c r="F55" s="112">
        <f>'3. RRR Data 2027'!F41</f>
        <v>0</v>
      </c>
      <c r="G55" s="112">
        <f t="shared" si="12"/>
        <v>4316103.95</v>
      </c>
      <c r="H55" s="113">
        <f t="shared" ref="H55:H64" si="19">G55/$G$64</f>
        <v>0.13391102043563574</v>
      </c>
      <c r="I55" s="112"/>
      <c r="J55" s="100"/>
    </row>
    <row r="56" spans="1:20">
      <c r="A56" s="1" t="s">
        <v>111</v>
      </c>
      <c r="B56" s="1" t="s">
        <v>109</v>
      </c>
      <c r="C56" s="99" t="s">
        <v>108</v>
      </c>
      <c r="D56" s="100">
        <f>'3. RRR Data 2027'!D43</f>
        <v>9.4000000000000004E-3</v>
      </c>
      <c r="E56" s="112">
        <f>'3. RRR Data 2027'!H43</f>
        <v>98187787.954835877</v>
      </c>
      <c r="F56" s="112">
        <f>'3. RRR Data 2027'!F43</f>
        <v>0</v>
      </c>
      <c r="G56" s="112">
        <f>IF(D56*E56=0,ROUND(D56*F56,2),ROUND(D56*E56,2))</f>
        <v>922965.21</v>
      </c>
      <c r="H56" s="113">
        <f t="shared" si="19"/>
        <v>2.8635828638392927E-2</v>
      </c>
      <c r="I56" s="112"/>
      <c r="J56" s="100"/>
    </row>
    <row r="57" spans="1:20">
      <c r="A57" s="1" t="s">
        <v>124</v>
      </c>
      <c r="B57" s="1" t="s">
        <v>109</v>
      </c>
      <c r="C57" s="99" t="s">
        <v>113</v>
      </c>
      <c r="D57" s="100">
        <f>'3. RRR Data 2027'!D45</f>
        <v>3.5516999999999999</v>
      </c>
      <c r="E57" s="112"/>
      <c r="F57" s="112">
        <f>'3. RRR Data 2027'!F45</f>
        <v>888163.20871598262</v>
      </c>
      <c r="G57" s="112">
        <f t="shared" si="12"/>
        <v>3154489.27</v>
      </c>
      <c r="H57" s="113">
        <f t="shared" si="19"/>
        <v>9.7870876603647072E-2</v>
      </c>
      <c r="I57" s="112"/>
      <c r="J57" s="100"/>
    </row>
    <row r="58" spans="1:20">
      <c r="A58" s="1" t="s">
        <v>124</v>
      </c>
      <c r="B58" s="1" t="s">
        <v>115</v>
      </c>
      <c r="C58" s="99" t="s">
        <v>113</v>
      </c>
      <c r="D58" s="100">
        <f>'3. RRR Data 2027'!D47</f>
        <v>0.6038</v>
      </c>
      <c r="E58" s="112"/>
      <c r="F58" s="112">
        <f>'3. RRR Data 2027'!F47</f>
        <v>4714.3467372197119</v>
      </c>
      <c r="G58" s="112">
        <f t="shared" si="12"/>
        <v>2846.52</v>
      </c>
      <c r="H58" s="113">
        <f t="shared" si="19"/>
        <v>8.8315852052276415E-5</v>
      </c>
      <c r="I58" s="112"/>
      <c r="J58" s="100"/>
    </row>
    <row r="59" spans="1:20">
      <c r="A59" s="1" t="str">
        <f t="shared" ref="A59:C60" si="20">A48</f>
        <v>General Service 3,000 To 4,999 kW Service Classification</v>
      </c>
      <c r="B59" s="1" t="str">
        <f t="shared" si="20"/>
        <v xml:space="preserve">Retail Transmission Rate - Line and Transformation Connection Service Rate </v>
      </c>
      <c r="C59" s="14" t="str">
        <f t="shared" si="20"/>
        <v>$/kW</v>
      </c>
      <c r="D59" s="100">
        <f>'3. RRR Data 2027'!D49</f>
        <v>0</v>
      </c>
      <c r="E59" s="112"/>
      <c r="F59" s="112">
        <f>'3. RRR Data 2027'!F49</f>
        <v>212773.91901088986</v>
      </c>
      <c r="G59" s="112">
        <f t="shared" si="12"/>
        <v>0</v>
      </c>
      <c r="H59" s="113">
        <f t="shared" si="19"/>
        <v>0</v>
      </c>
      <c r="I59" s="112"/>
      <c r="J59" s="100"/>
    </row>
    <row r="60" spans="1:20">
      <c r="A60" s="1" t="str">
        <f t="shared" si="20"/>
        <v>General Service 3,000 To 4,999 kW Service Classification</v>
      </c>
      <c r="B60" s="1" t="str">
        <f t="shared" si="20"/>
        <v>Retail Transmission Rate - Line and Transformation Connection Service Rate  - EV CHARGING</v>
      </c>
      <c r="C60" s="14" t="str">
        <f t="shared" si="20"/>
        <v>$/kW</v>
      </c>
      <c r="D60" s="100">
        <f>'3. RRR Data 2027'!D51</f>
        <v>0</v>
      </c>
      <c r="E60" s="112">
        <f>'3. RRR Data 2027'!H51</f>
        <v>0</v>
      </c>
      <c r="F60" s="112">
        <f>'3. RRR Data 2027'!F51</f>
        <v>0</v>
      </c>
      <c r="G60" s="112">
        <f t="shared" si="12"/>
        <v>0</v>
      </c>
      <c r="H60" s="113">
        <f t="shared" si="19"/>
        <v>0</v>
      </c>
      <c r="I60" s="112"/>
      <c r="J60" s="100"/>
    </row>
    <row r="61" spans="1:20">
      <c r="A61" s="1" t="s">
        <v>120</v>
      </c>
      <c r="B61" s="1" t="s">
        <v>109</v>
      </c>
      <c r="C61" s="99" t="s">
        <v>108</v>
      </c>
      <c r="D61" s="100">
        <f>'3. RRR Data 2027'!D53</f>
        <v>9.4000000000000004E-3</v>
      </c>
      <c r="E61" s="112">
        <f>'3. RRR Data 2027'!H53</f>
        <v>1969361.1639759634</v>
      </c>
      <c r="F61" s="112">
        <f>'3. RRR Data 2027'!F53</f>
        <v>0</v>
      </c>
      <c r="G61" s="112">
        <f t="shared" si="12"/>
        <v>18511.990000000002</v>
      </c>
      <c r="H61" s="113">
        <f t="shared" si="19"/>
        <v>5.7435119726305123E-4</v>
      </c>
      <c r="I61" s="112"/>
      <c r="J61" s="100"/>
    </row>
    <row r="62" spans="1:20">
      <c r="A62" s="1" t="s">
        <v>121</v>
      </c>
      <c r="B62" s="1" t="s">
        <v>109</v>
      </c>
      <c r="C62" s="14" t="s">
        <v>113</v>
      </c>
      <c r="D62" s="100">
        <f>'3. RRR Data 2027'!D55</f>
        <v>2.8033000000000001</v>
      </c>
      <c r="E62" s="112"/>
      <c r="F62" s="112">
        <f>'3. RRR Data 2027'!F55</f>
        <v>85.218072750022259</v>
      </c>
      <c r="G62" s="112">
        <f t="shared" si="12"/>
        <v>238.89</v>
      </c>
      <c r="H62" s="113">
        <f t="shared" si="19"/>
        <v>7.411777853929821E-6</v>
      </c>
      <c r="I62" s="112"/>
      <c r="J62" s="100"/>
    </row>
    <row r="63" spans="1:20">
      <c r="A63" s="1" t="s">
        <v>122</v>
      </c>
      <c r="B63" s="1" t="s">
        <v>109</v>
      </c>
      <c r="C63" s="14" t="s">
        <v>113</v>
      </c>
      <c r="D63" s="100">
        <f>'3. RRR Data 2027'!D57</f>
        <v>2.7458999999999998</v>
      </c>
      <c r="E63" s="112"/>
      <c r="F63" s="112">
        <f>'3. RRR Data 2027'!F57</f>
        <v>10314.47561207424</v>
      </c>
      <c r="G63" s="112">
        <f t="shared" si="12"/>
        <v>28322.52</v>
      </c>
      <c r="H63" s="113">
        <f t="shared" si="19"/>
        <v>8.7873174475065698E-4</v>
      </c>
      <c r="I63" s="112"/>
      <c r="J63" s="100"/>
    </row>
    <row r="64" spans="1:20">
      <c r="D64" s="100"/>
      <c r="E64" s="112"/>
      <c r="F64" s="112"/>
      <c r="G64" s="112">
        <f>SUM(G43:G63)</f>
        <v>32231133.300000001</v>
      </c>
      <c r="H64" s="113">
        <f t="shared" si="19"/>
        <v>1</v>
      </c>
      <c r="I64" s="112">
        <f>'7. Forecast Wholesale 2027'!J33+'7. Forecast Wholesale 2027'!N33+'7. Forecast Wholesale 2027'!J52+'7. Forecast Wholesale 2027'!N52</f>
        <v>33799149.748566806</v>
      </c>
      <c r="J64" s="100"/>
    </row>
    <row r="66" spans="1:10" ht="15.6">
      <c r="A66" s="103"/>
      <c r="G66" s="112"/>
      <c r="H66" s="112"/>
      <c r="I66" s="112"/>
    </row>
    <row r="67" spans="1:10">
      <c r="D67" s="100"/>
      <c r="E67" s="112"/>
      <c r="F67" s="112"/>
      <c r="G67" s="112"/>
      <c r="H67" s="113"/>
      <c r="I67" s="112"/>
      <c r="J67" s="114"/>
    </row>
    <row r="69" spans="1:10">
      <c r="D69" s="100"/>
      <c r="E69" s="112"/>
      <c r="F69" s="112"/>
      <c r="G69" s="112"/>
      <c r="H69" s="113"/>
      <c r="I69" s="112"/>
      <c r="J69" s="114"/>
    </row>
    <row r="70" spans="1:10">
      <c r="D70" s="100"/>
      <c r="E70" s="112"/>
      <c r="F70" s="112"/>
      <c r="G70" s="112"/>
      <c r="H70" s="113"/>
      <c r="I70" s="112"/>
      <c r="J70" s="114"/>
    </row>
    <row r="71" spans="1:10">
      <c r="D71" s="100"/>
      <c r="E71" s="112"/>
      <c r="F71" s="112"/>
      <c r="G71" s="112"/>
      <c r="H71" s="113"/>
      <c r="I71" s="112"/>
      <c r="J71" s="114"/>
    </row>
    <row r="72" spans="1:10">
      <c r="D72" s="100"/>
      <c r="E72" s="112"/>
      <c r="F72" s="112"/>
      <c r="G72" s="112"/>
      <c r="H72" s="113"/>
      <c r="I72" s="112"/>
      <c r="J72" s="114"/>
    </row>
    <row r="73" spans="1:10">
      <c r="D73" s="100"/>
      <c r="E73" s="112"/>
      <c r="F73" s="112"/>
      <c r="G73" s="112"/>
      <c r="H73" s="113"/>
      <c r="I73" s="112"/>
      <c r="J73" s="114"/>
    </row>
    <row r="74" spans="1:10">
      <c r="D74" s="100"/>
      <c r="E74" s="112"/>
      <c r="F74" s="112"/>
      <c r="G74" s="112"/>
      <c r="H74" s="113"/>
      <c r="I74" s="112"/>
      <c r="J74" s="114"/>
    </row>
    <row r="75" spans="1:10">
      <c r="D75" s="100"/>
      <c r="E75" s="112"/>
      <c r="F75" s="112"/>
      <c r="G75" s="112"/>
      <c r="H75" s="113"/>
      <c r="I75" s="112"/>
      <c r="J75" s="114"/>
    </row>
    <row r="76" spans="1:10">
      <c r="D76" s="100"/>
      <c r="E76" s="112"/>
      <c r="F76" s="112"/>
      <c r="G76" s="112"/>
      <c r="H76" s="113"/>
      <c r="I76" s="112"/>
      <c r="J76" s="114"/>
    </row>
    <row r="77" spans="1:10">
      <c r="D77" s="100"/>
      <c r="E77" s="112"/>
      <c r="F77" s="112"/>
      <c r="G77" s="112"/>
      <c r="H77" s="113"/>
      <c r="I77" s="112"/>
      <c r="J77" s="114"/>
    </row>
    <row r="78" spans="1:10">
      <c r="D78" s="100"/>
      <c r="E78" s="112"/>
      <c r="F78" s="112"/>
      <c r="G78" s="112"/>
      <c r="H78" s="113"/>
      <c r="I78" s="112"/>
      <c r="J78" s="114"/>
    </row>
    <row r="79" spans="1:10">
      <c r="D79" s="100"/>
      <c r="E79" s="112"/>
      <c r="F79" s="112"/>
      <c r="G79" s="112"/>
      <c r="H79" s="113"/>
      <c r="I79" s="112"/>
      <c r="J79" s="114"/>
    </row>
    <row r="80" spans="1:10">
      <c r="C80" s="1"/>
      <c r="D80" s="1"/>
      <c r="E80" s="112"/>
      <c r="F80" s="112"/>
      <c r="G80" s="112"/>
      <c r="H80" s="113"/>
      <c r="I80" s="112"/>
      <c r="J80" s="114"/>
    </row>
    <row r="81" spans="1:10">
      <c r="C81" s="1"/>
      <c r="D81" s="1"/>
      <c r="E81" s="112"/>
      <c r="F81" s="112"/>
      <c r="G81" s="112"/>
      <c r="H81" s="113"/>
      <c r="I81" s="112"/>
      <c r="J81" s="114"/>
    </row>
    <row r="82" spans="1:10">
      <c r="C82" s="1"/>
      <c r="D82" s="1"/>
      <c r="E82" s="112"/>
      <c r="F82" s="112"/>
      <c r="G82" s="112"/>
      <c r="H82" s="113"/>
      <c r="I82" s="112"/>
      <c r="J82" s="114"/>
    </row>
    <row r="83" spans="1:10">
      <c r="C83" s="1"/>
      <c r="D83" s="1"/>
      <c r="E83" s="112"/>
      <c r="F83" s="112"/>
      <c r="G83" s="112"/>
      <c r="H83" s="113"/>
      <c r="I83" s="112"/>
      <c r="J83" s="114"/>
    </row>
    <row r="84" spans="1:10">
      <c r="C84" s="1"/>
      <c r="D84" s="1"/>
      <c r="E84" s="112"/>
      <c r="F84" s="112"/>
      <c r="G84" s="112"/>
      <c r="H84" s="113"/>
      <c r="I84" s="112"/>
      <c r="J84" s="114"/>
    </row>
    <row r="85" spans="1:10">
      <c r="C85" s="1"/>
      <c r="D85" s="1"/>
      <c r="E85" s="112"/>
      <c r="F85" s="112"/>
      <c r="G85" s="112"/>
      <c r="H85" s="113"/>
      <c r="I85" s="112"/>
      <c r="J85" s="114"/>
    </row>
    <row r="86" spans="1:10">
      <c r="C86" s="1"/>
      <c r="D86" s="1"/>
      <c r="E86" s="112"/>
      <c r="F86" s="112"/>
      <c r="G86" s="112"/>
      <c r="H86" s="113"/>
      <c r="I86" s="112"/>
      <c r="J86" s="114"/>
    </row>
    <row r="87" spans="1:10">
      <c r="D87" s="100"/>
      <c r="E87" s="112"/>
      <c r="F87" s="112"/>
      <c r="G87" s="112"/>
      <c r="H87" s="113"/>
      <c r="I87" s="112"/>
      <c r="J87" s="114"/>
    </row>
    <row r="89" spans="1:10" ht="15.6">
      <c r="A89" s="103"/>
    </row>
    <row r="90" spans="1:10" ht="15.6">
      <c r="A90" s="104"/>
      <c r="B90" s="104"/>
      <c r="C90" s="105"/>
      <c r="D90" s="106"/>
      <c r="E90" s="107"/>
      <c r="F90" s="108"/>
      <c r="G90" s="109"/>
      <c r="H90" s="110"/>
      <c r="I90" s="108"/>
      <c r="J90" s="111"/>
    </row>
    <row r="92" spans="1:10">
      <c r="D92" s="100"/>
      <c r="E92" s="112"/>
      <c r="F92" s="112"/>
      <c r="G92" s="112"/>
      <c r="H92" s="113"/>
      <c r="I92" s="112"/>
      <c r="J92" s="114"/>
    </row>
    <row r="93" spans="1:10">
      <c r="D93" s="100"/>
      <c r="E93" s="112"/>
      <c r="F93" s="112"/>
      <c r="G93" s="112"/>
      <c r="H93" s="113"/>
      <c r="I93" s="112"/>
      <c r="J93" s="114"/>
    </row>
    <row r="94" spans="1:10">
      <c r="D94" s="100"/>
      <c r="E94" s="112"/>
      <c r="F94" s="112"/>
      <c r="G94" s="112"/>
      <c r="H94" s="113"/>
      <c r="I94" s="112"/>
      <c r="J94" s="114"/>
    </row>
    <row r="95" spans="1:10">
      <c r="D95" s="100"/>
      <c r="E95" s="112"/>
      <c r="F95" s="112"/>
      <c r="G95" s="112"/>
      <c r="H95" s="113"/>
      <c r="I95" s="112"/>
      <c r="J95" s="114"/>
    </row>
    <row r="96" spans="1:10">
      <c r="D96" s="100"/>
      <c r="E96" s="112"/>
      <c r="F96" s="112"/>
      <c r="G96" s="112"/>
      <c r="H96" s="113"/>
      <c r="I96" s="112"/>
      <c r="J96" s="114"/>
    </row>
    <row r="97" spans="3:10">
      <c r="D97" s="100"/>
      <c r="E97" s="112"/>
      <c r="F97" s="112"/>
      <c r="G97" s="112"/>
      <c r="H97" s="113"/>
      <c r="I97" s="112"/>
      <c r="J97" s="114"/>
    </row>
    <row r="98" spans="3:10">
      <c r="D98" s="100"/>
      <c r="E98" s="112"/>
      <c r="F98" s="112"/>
      <c r="G98" s="112"/>
      <c r="H98" s="113"/>
      <c r="I98" s="112"/>
      <c r="J98" s="114"/>
    </row>
    <row r="99" spans="3:10">
      <c r="D99" s="100"/>
      <c r="E99" s="112"/>
      <c r="F99" s="112"/>
      <c r="G99" s="112"/>
      <c r="H99" s="113"/>
      <c r="I99" s="112"/>
      <c r="J99" s="114"/>
    </row>
    <row r="100" spans="3:10">
      <c r="D100" s="100"/>
      <c r="E100" s="112"/>
      <c r="F100" s="112"/>
      <c r="G100" s="112"/>
      <c r="H100" s="113"/>
      <c r="I100" s="112"/>
      <c r="J100" s="114"/>
    </row>
    <row r="101" spans="3:10">
      <c r="D101" s="100"/>
      <c r="E101" s="112"/>
      <c r="F101" s="112"/>
      <c r="G101" s="112"/>
      <c r="H101" s="113"/>
      <c r="I101" s="112"/>
      <c r="J101" s="114"/>
    </row>
    <row r="102" spans="3:10">
      <c r="D102" s="100"/>
      <c r="E102" s="112"/>
      <c r="F102" s="112"/>
      <c r="G102" s="112"/>
      <c r="H102" s="113"/>
      <c r="I102" s="112"/>
      <c r="J102" s="114"/>
    </row>
    <row r="103" spans="3:10">
      <c r="C103" s="1"/>
      <c r="D103" s="1"/>
      <c r="E103" s="112"/>
      <c r="F103" s="112"/>
      <c r="G103" s="112"/>
      <c r="H103" s="113"/>
      <c r="I103" s="112"/>
      <c r="J103" s="114"/>
    </row>
    <row r="104" spans="3:10">
      <c r="C104" s="1"/>
      <c r="D104" s="1"/>
      <c r="E104" s="112"/>
      <c r="F104" s="112"/>
      <c r="G104" s="112"/>
      <c r="H104" s="113"/>
      <c r="I104" s="112"/>
      <c r="J104" s="114"/>
    </row>
    <row r="105" spans="3:10">
      <c r="C105" s="1"/>
      <c r="D105" s="1"/>
      <c r="E105" s="112"/>
      <c r="F105" s="112"/>
      <c r="G105" s="112"/>
      <c r="H105" s="113"/>
      <c r="I105" s="112"/>
      <c r="J105" s="114"/>
    </row>
    <row r="106" spans="3:10">
      <c r="C106" s="1"/>
      <c r="D106" s="1"/>
      <c r="E106" s="112"/>
      <c r="F106" s="112"/>
      <c r="G106" s="112"/>
      <c r="H106" s="113"/>
      <c r="I106" s="112"/>
      <c r="J106" s="114"/>
    </row>
    <row r="107" spans="3:10">
      <c r="C107" s="1"/>
      <c r="D107" s="1"/>
      <c r="E107" s="112"/>
      <c r="F107" s="112"/>
      <c r="G107" s="112"/>
      <c r="H107" s="113"/>
      <c r="I107" s="112"/>
      <c r="J107" s="114"/>
    </row>
    <row r="108" spans="3:10">
      <c r="C108" s="1"/>
      <c r="D108" s="1"/>
      <c r="E108" s="112"/>
      <c r="F108" s="112"/>
      <c r="G108" s="112"/>
      <c r="H108" s="113"/>
      <c r="I108" s="112"/>
      <c r="J108" s="114"/>
    </row>
    <row r="109" spans="3:10">
      <c r="C109" s="1"/>
      <c r="D109" s="1"/>
      <c r="E109" s="112"/>
      <c r="F109" s="112"/>
      <c r="G109" s="112"/>
      <c r="H109" s="113"/>
      <c r="I109" s="112"/>
      <c r="J109" s="114"/>
    </row>
    <row r="110" spans="3:10">
      <c r="D110" s="100"/>
      <c r="E110" s="112"/>
      <c r="F110" s="112"/>
      <c r="G110" s="112"/>
      <c r="H110" s="113"/>
      <c r="I110" s="112"/>
      <c r="J110" s="114"/>
    </row>
    <row r="111" spans="3:10">
      <c r="D111" s="100"/>
      <c r="E111" s="112"/>
      <c r="F111" s="112"/>
      <c r="G111" s="112"/>
      <c r="H111" s="113"/>
      <c r="I111" s="112"/>
      <c r="J111" s="114"/>
    </row>
    <row r="112" spans="3:10">
      <c r="D112" s="100"/>
      <c r="E112" s="112"/>
      <c r="F112" s="112"/>
      <c r="G112" s="112"/>
      <c r="H112" s="113"/>
      <c r="I112" s="112"/>
      <c r="J112" s="114"/>
    </row>
    <row r="113" spans="4:10">
      <c r="D113" s="100"/>
      <c r="E113" s="112"/>
      <c r="F113" s="112"/>
      <c r="G113" s="112"/>
      <c r="H113" s="113"/>
      <c r="I113" s="112"/>
      <c r="J113" s="114"/>
    </row>
  </sheetData>
  <mergeCells count="2">
    <mergeCell ref="I13:J13"/>
    <mergeCell ref="C13:H1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5E6E-8274-4B3D-BE62-AD87945D6E24}">
  <dimension ref="A13:Q113"/>
  <sheetViews>
    <sheetView topLeftCell="B26" workbookViewId="0">
      <selection activeCell="F15" sqref="F15"/>
    </sheetView>
  </sheetViews>
  <sheetFormatPr defaultColWidth="9.28515625" defaultRowHeight="13.15"/>
  <cols>
    <col min="1" max="1" width="11.7109375" style="1" hidden="1" customWidth="1"/>
    <col min="2" max="2" width="30.28515625" style="1" customWidth="1"/>
    <col min="3" max="3" width="3.7109375" style="1" customWidth="1"/>
    <col min="4" max="4" width="13.7109375" style="1" customWidth="1"/>
    <col min="5" max="5" width="15.28515625" style="1" customWidth="1"/>
    <col min="6" max="6" width="13.7109375" style="1" customWidth="1"/>
    <col min="7" max="7" width="2.7109375" style="1" customWidth="1"/>
    <col min="8" max="8" width="13.7109375" style="1" customWidth="1"/>
    <col min="9" max="9" width="10.28515625" style="1" bestFit="1" customWidth="1"/>
    <col min="10" max="10" width="13.7109375" style="1" customWidth="1"/>
    <col min="11" max="11" width="3.28515625" style="1" customWidth="1"/>
    <col min="12" max="12" width="13.7109375" style="1" customWidth="1"/>
    <col min="13" max="13" width="9.42578125" style="1" bestFit="1" customWidth="1"/>
    <col min="14" max="14" width="13.7109375" style="1" customWidth="1"/>
    <col min="15" max="15" width="3.7109375" style="1" customWidth="1"/>
    <col min="16" max="16" width="18.28515625" style="1" customWidth="1"/>
    <col min="17" max="16384" width="9.28515625" style="1"/>
  </cols>
  <sheetData>
    <row r="13" spans="2:17" ht="18.75" customHeight="1">
      <c r="B13" s="249" t="s">
        <v>182</v>
      </c>
      <c r="C13" s="246"/>
      <c r="D13" s="246"/>
      <c r="E13" s="246"/>
      <c r="F13" s="246"/>
      <c r="G13" s="246"/>
      <c r="H13" s="246"/>
      <c r="I13" s="246"/>
      <c r="J13" s="246"/>
      <c r="K13" s="246"/>
      <c r="L13" s="246"/>
      <c r="M13" s="246"/>
      <c r="N13" s="246"/>
      <c r="O13" s="246"/>
      <c r="P13" s="246"/>
    </row>
    <row r="16" spans="2:17">
      <c r="B16" s="71" t="s">
        <v>157</v>
      </c>
      <c r="C16" s="72"/>
      <c r="D16" s="247" t="s">
        <v>128</v>
      </c>
      <c r="E16" s="247"/>
      <c r="F16" s="247"/>
      <c r="G16" s="72"/>
      <c r="H16" s="247" t="s">
        <v>158</v>
      </c>
      <c r="I16" s="247"/>
      <c r="J16" s="247"/>
      <c r="K16" s="72"/>
      <c r="L16" s="247" t="s">
        <v>159</v>
      </c>
      <c r="M16" s="247"/>
      <c r="N16" s="247"/>
      <c r="O16" s="72"/>
      <c r="P16" s="71" t="s">
        <v>160</v>
      </c>
      <c r="Q16" s="26"/>
    </row>
    <row r="17" spans="2:17" ht="15.6">
      <c r="B17" s="26"/>
      <c r="C17" s="26"/>
      <c r="D17" s="248"/>
      <c r="E17" s="248"/>
      <c r="F17" s="248"/>
      <c r="G17" s="26"/>
      <c r="H17" s="248"/>
      <c r="I17" s="248"/>
      <c r="J17" s="248"/>
      <c r="K17" s="26"/>
      <c r="L17" s="248"/>
      <c r="M17" s="248"/>
      <c r="N17" s="248"/>
      <c r="O17" s="26"/>
      <c r="P17" s="90"/>
      <c r="Q17" s="73"/>
    </row>
    <row r="18" spans="2:17">
      <c r="B18" s="74" t="s">
        <v>161</v>
      </c>
      <c r="C18" s="26"/>
      <c r="D18" s="90" t="s">
        <v>162</v>
      </c>
      <c r="E18" s="90" t="s">
        <v>100</v>
      </c>
      <c r="F18" s="90" t="s">
        <v>163</v>
      </c>
      <c r="G18" s="26"/>
      <c r="H18" s="90" t="s">
        <v>162</v>
      </c>
      <c r="I18" s="90" t="s">
        <v>100</v>
      </c>
      <c r="J18" s="90" t="s">
        <v>163</v>
      </c>
      <c r="K18" s="26"/>
      <c r="L18" s="90" t="s">
        <v>162</v>
      </c>
      <c r="M18" s="90" t="s">
        <v>100</v>
      </c>
      <c r="N18" s="90" t="s">
        <v>163</v>
      </c>
      <c r="O18" s="26"/>
      <c r="P18" s="90" t="s">
        <v>163</v>
      </c>
      <c r="Q18" s="26"/>
    </row>
    <row r="19" spans="2:17">
      <c r="B19" s="26"/>
      <c r="C19" s="26"/>
      <c r="D19" s="26"/>
      <c r="E19" s="26"/>
      <c r="F19" s="26"/>
      <c r="G19" s="26"/>
      <c r="H19" s="26"/>
      <c r="I19" s="26"/>
      <c r="J19" s="26"/>
      <c r="K19" s="26"/>
      <c r="L19" s="26"/>
      <c r="M19" s="26"/>
      <c r="N19" s="26"/>
      <c r="O19" s="26"/>
      <c r="P19" s="26"/>
      <c r="Q19" s="26"/>
    </row>
    <row r="20" spans="2:17">
      <c r="B20" s="27" t="s">
        <v>164</v>
      </c>
      <c r="C20" s="26"/>
      <c r="D20" s="97">
        <v>340979.88537915214</v>
      </c>
      <c r="E20" s="92">
        <f>'4. UTRs &amp; Sub-Transmission'!N22</f>
        <v>7.1481991043613062</v>
      </c>
      <c r="F20" s="98">
        <f>D20*E20</f>
        <v>2437392.1112724761</v>
      </c>
      <c r="G20" s="26"/>
      <c r="H20" s="97">
        <v>176437.8319048766</v>
      </c>
      <c r="I20" s="92">
        <f>'4. UTRs &amp; Sub-Transmission'!N24</f>
        <v>1.1490413208541306</v>
      </c>
      <c r="J20" s="98">
        <f>H20*I20</f>
        <v>202734.35942061848</v>
      </c>
      <c r="K20" s="26"/>
      <c r="L20" s="97">
        <v>363296.63104830752</v>
      </c>
      <c r="M20" s="92">
        <f>'4. UTRs &amp; Sub-Transmission'!N26</f>
        <v>3.8713368613240311</v>
      </c>
      <c r="N20" s="98">
        <f>L20*M20</f>
        <v>1406443.6393721495</v>
      </c>
      <c r="O20" s="26"/>
      <c r="P20" s="80">
        <f t="shared" ref="P20:P31" si="0">J20+N20</f>
        <v>1609177.998792768</v>
      </c>
      <c r="Q20" s="26"/>
    </row>
    <row r="21" spans="2:17">
      <c r="B21" s="27" t="s">
        <v>165</v>
      </c>
      <c r="C21" s="26"/>
      <c r="D21" s="97">
        <v>334569.87391626887</v>
      </c>
      <c r="E21" s="92">
        <f>E20</f>
        <v>7.1481991043613062</v>
      </c>
      <c r="F21" s="98">
        <f t="shared" ref="F21:F31" si="1">D21*E21</f>
        <v>2391572.0730745485</v>
      </c>
      <c r="G21" s="26"/>
      <c r="H21" s="97">
        <v>185309.91572509709</v>
      </c>
      <c r="I21" s="92">
        <f>I20</f>
        <v>1.1490413208541306</v>
      </c>
      <c r="J21" s="98">
        <f t="shared" ref="J21:J31" si="2">H21*I21</f>
        <v>212928.75033213318</v>
      </c>
      <c r="K21" s="26"/>
      <c r="L21" s="97">
        <v>355468.19172980514</v>
      </c>
      <c r="M21" s="92">
        <f>M20</f>
        <v>3.8713368613240311</v>
      </c>
      <c r="N21" s="98">
        <f t="shared" ref="N21:N31" si="3">L21*M21</f>
        <v>1376137.1136717927</v>
      </c>
      <c r="O21" s="26"/>
      <c r="P21" s="80">
        <f t="shared" si="0"/>
        <v>1589065.8640039258</v>
      </c>
      <c r="Q21" s="26"/>
    </row>
    <row r="22" spans="2:17">
      <c r="B22" s="27" t="s">
        <v>166</v>
      </c>
      <c r="C22" s="26"/>
      <c r="D22" s="97">
        <v>329118.37917265424</v>
      </c>
      <c r="E22" s="92">
        <f>E21</f>
        <v>7.1481991043613062</v>
      </c>
      <c r="F22" s="98">
        <f t="shared" si="1"/>
        <v>2352603.7032308117</v>
      </c>
      <c r="G22" s="26"/>
      <c r="H22" s="97">
        <v>177201.77083568933</v>
      </c>
      <c r="I22" s="92">
        <f t="shared" ref="I22:I31" si="4">I21</f>
        <v>1.1490413208541306</v>
      </c>
      <c r="J22" s="98">
        <f t="shared" si="2"/>
        <v>203612.15681873143</v>
      </c>
      <c r="K22" s="26"/>
      <c r="L22" s="97">
        <v>338494.59635387419</v>
      </c>
      <c r="M22" s="92">
        <f t="shared" ref="M22:M31" si="5">M21</f>
        <v>3.8713368613240311</v>
      </c>
      <c r="N22" s="98">
        <f t="shared" si="3"/>
        <v>1310426.6082237521</v>
      </c>
      <c r="O22" s="26"/>
      <c r="P22" s="80">
        <f t="shared" si="0"/>
        <v>1514038.7650424836</v>
      </c>
      <c r="Q22" s="26"/>
    </row>
    <row r="23" spans="2:17">
      <c r="B23" s="27" t="s">
        <v>167</v>
      </c>
      <c r="C23" s="26"/>
      <c r="D23" s="97">
        <v>320248.50646366616</v>
      </c>
      <c r="E23" s="92">
        <f t="shared" ref="E23:E31" si="6">E22</f>
        <v>7.1481991043613062</v>
      </c>
      <c r="F23" s="98">
        <f t="shared" si="1"/>
        <v>2289200.0870766244</v>
      </c>
      <c r="G23" s="26"/>
      <c r="H23" s="97">
        <v>169346.7981823975</v>
      </c>
      <c r="I23" s="92">
        <f t="shared" si="4"/>
        <v>1.1490413208541306</v>
      </c>
      <c r="J23" s="98">
        <f t="shared" si="2"/>
        <v>194586.46866591991</v>
      </c>
      <c r="K23" s="26"/>
      <c r="L23" s="97">
        <v>322763.64549058222</v>
      </c>
      <c r="M23" s="92">
        <f t="shared" si="5"/>
        <v>3.8713368613240311</v>
      </c>
      <c r="N23" s="98">
        <f t="shared" si="3"/>
        <v>1249526.7982830128</v>
      </c>
      <c r="O23" s="26"/>
      <c r="P23" s="80">
        <f t="shared" si="0"/>
        <v>1444113.2669489328</v>
      </c>
      <c r="Q23" s="26"/>
    </row>
    <row r="24" spans="2:17">
      <c r="B24" s="27" t="s">
        <v>168</v>
      </c>
      <c r="C24" s="26"/>
      <c r="D24" s="97">
        <v>393282.61602722859</v>
      </c>
      <c r="E24" s="92">
        <f t="shared" si="6"/>
        <v>7.1481991043613062</v>
      </c>
      <c r="F24" s="98">
        <f t="shared" si="1"/>
        <v>2811262.4436467071</v>
      </c>
      <c r="G24" s="26"/>
      <c r="H24" s="97">
        <v>225785.41239077857</v>
      </c>
      <c r="I24" s="92">
        <f t="shared" si="4"/>
        <v>1.1490413208541306</v>
      </c>
      <c r="J24" s="98">
        <f t="shared" si="2"/>
        <v>259436.76848309478</v>
      </c>
      <c r="K24" s="26"/>
      <c r="L24" s="97">
        <v>405486.8444747568</v>
      </c>
      <c r="M24" s="92">
        <f t="shared" si="5"/>
        <v>3.8713368613240311</v>
      </c>
      <c r="N24" s="98">
        <f t="shared" si="3"/>
        <v>1569776.1677970905</v>
      </c>
      <c r="O24" s="26"/>
      <c r="P24" s="80">
        <f t="shared" si="0"/>
        <v>1829212.9362801854</v>
      </c>
      <c r="Q24" s="26"/>
    </row>
    <row r="25" spans="2:17">
      <c r="B25" s="27" t="s">
        <v>169</v>
      </c>
      <c r="C25" s="26"/>
      <c r="D25" s="97">
        <v>447656.05234449782</v>
      </c>
      <c r="E25" s="92">
        <f t="shared" si="6"/>
        <v>7.1481991043613062</v>
      </c>
      <c r="F25" s="98">
        <f t="shared" si="1"/>
        <v>3199934.5924308575</v>
      </c>
      <c r="G25" s="26"/>
      <c r="H25" s="97">
        <v>281643.6099006405</v>
      </c>
      <c r="I25" s="92">
        <f t="shared" si="4"/>
        <v>1.1490413208541306</v>
      </c>
      <c r="J25" s="98">
        <f t="shared" si="2"/>
        <v>323620.14553035743</v>
      </c>
      <c r="K25" s="26"/>
      <c r="L25" s="97">
        <v>484091.84878848639</v>
      </c>
      <c r="M25" s="92">
        <f t="shared" si="5"/>
        <v>3.8713368613240311</v>
      </c>
      <c r="N25" s="98">
        <f t="shared" si="3"/>
        <v>1874082.6184813664</v>
      </c>
      <c r="O25" s="26"/>
      <c r="P25" s="80">
        <f t="shared" si="0"/>
        <v>2197702.7640117239</v>
      </c>
      <c r="Q25" s="26"/>
    </row>
    <row r="26" spans="2:17">
      <c r="B26" s="27" t="s">
        <v>170</v>
      </c>
      <c r="C26" s="26"/>
      <c r="D26" s="97">
        <v>489746.76576548669</v>
      </c>
      <c r="E26" s="92">
        <f t="shared" si="6"/>
        <v>7.1481991043613062</v>
      </c>
      <c r="F26" s="98">
        <f t="shared" si="1"/>
        <v>3500807.3924086983</v>
      </c>
      <c r="G26" s="26"/>
      <c r="H26" s="97">
        <v>294968.87174302281</v>
      </c>
      <c r="I26" s="92">
        <f t="shared" si="4"/>
        <v>1.1490413208541306</v>
      </c>
      <c r="J26" s="98">
        <f t="shared" si="2"/>
        <v>338931.42199845554</v>
      </c>
      <c r="K26" s="26"/>
      <c r="L26" s="97">
        <v>502248.38867378002</v>
      </c>
      <c r="M26" s="92">
        <f t="shared" si="5"/>
        <v>3.8713368613240311</v>
      </c>
      <c r="N26" s="98">
        <f t="shared" si="3"/>
        <v>1944372.7006134037</v>
      </c>
      <c r="O26" s="26"/>
      <c r="P26" s="80">
        <f t="shared" si="0"/>
        <v>2283304.1226118593</v>
      </c>
      <c r="Q26" s="26"/>
    </row>
    <row r="27" spans="2:17">
      <c r="B27" s="27" t="s">
        <v>171</v>
      </c>
      <c r="C27" s="26"/>
      <c r="D27" s="97">
        <v>476214.76502286998</v>
      </c>
      <c r="E27" s="92">
        <f t="shared" si="6"/>
        <v>7.1481991043613062</v>
      </c>
      <c r="F27" s="98">
        <f t="shared" si="1"/>
        <v>3404077.9568201089</v>
      </c>
      <c r="G27" s="26"/>
      <c r="H27" s="97">
        <v>286032.66569706117</v>
      </c>
      <c r="I27" s="92">
        <f t="shared" si="4"/>
        <v>1.1490413208541306</v>
      </c>
      <c r="J27" s="98">
        <f t="shared" si="2"/>
        <v>328663.35199997912</v>
      </c>
      <c r="K27" s="26"/>
      <c r="L27" s="97">
        <v>494325.97712789843</v>
      </c>
      <c r="M27" s="92">
        <f t="shared" si="5"/>
        <v>3.8713368613240311</v>
      </c>
      <c r="N27" s="98">
        <f t="shared" si="3"/>
        <v>1913702.376765253</v>
      </c>
      <c r="O27" s="26"/>
      <c r="P27" s="80">
        <f t="shared" si="0"/>
        <v>2242365.728765232</v>
      </c>
      <c r="Q27" s="26"/>
    </row>
    <row r="28" spans="2:17">
      <c r="B28" s="27" t="s">
        <v>172</v>
      </c>
      <c r="C28" s="26"/>
      <c r="D28" s="97">
        <v>413994.09494162246</v>
      </c>
      <c r="E28" s="92">
        <f t="shared" si="6"/>
        <v>7.1481991043613062</v>
      </c>
      <c r="F28" s="98">
        <f t="shared" si="1"/>
        <v>2959312.2186725754</v>
      </c>
      <c r="G28" s="26"/>
      <c r="H28" s="97">
        <v>233172.73501840641</v>
      </c>
      <c r="I28" s="92">
        <f t="shared" si="4"/>
        <v>1.1490413208541306</v>
      </c>
      <c r="J28" s="98">
        <f t="shared" si="2"/>
        <v>267925.1074327199</v>
      </c>
      <c r="K28" s="26"/>
      <c r="L28" s="97">
        <v>415097.43944661692</v>
      </c>
      <c r="M28" s="92">
        <f t="shared" si="5"/>
        <v>3.8713368613240311</v>
      </c>
      <c r="N28" s="98">
        <f t="shared" si="3"/>
        <v>1606982.018370908</v>
      </c>
      <c r="O28" s="26"/>
      <c r="P28" s="80">
        <f t="shared" si="0"/>
        <v>1874907.125803628</v>
      </c>
      <c r="Q28" s="26"/>
    </row>
    <row r="29" spans="2:17">
      <c r="B29" s="27" t="s">
        <v>173</v>
      </c>
      <c r="C29" s="26"/>
      <c r="D29" s="97">
        <v>339069.48527431214</v>
      </c>
      <c r="E29" s="92">
        <f t="shared" si="6"/>
        <v>7.1481991043613062</v>
      </c>
      <c r="F29" s="98">
        <f t="shared" si="1"/>
        <v>2423736.1909540873</v>
      </c>
      <c r="G29" s="26"/>
      <c r="H29" s="97">
        <v>243943.05783168846</v>
      </c>
      <c r="I29" s="92">
        <f t="shared" si="4"/>
        <v>1.1490413208541306</v>
      </c>
      <c r="J29" s="98">
        <f t="shared" si="2"/>
        <v>280300.65338411886</v>
      </c>
      <c r="K29" s="26"/>
      <c r="L29" s="97">
        <v>355292.40838682506</v>
      </c>
      <c r="M29" s="92">
        <f t="shared" si="5"/>
        <v>3.8713368613240311</v>
      </c>
      <c r="N29" s="98">
        <f t="shared" si="3"/>
        <v>1375456.5971365073</v>
      </c>
      <c r="O29" s="26"/>
      <c r="P29" s="80">
        <f t="shared" si="0"/>
        <v>1655757.2505206261</v>
      </c>
      <c r="Q29" s="26"/>
    </row>
    <row r="30" spans="2:17">
      <c r="B30" s="27" t="s">
        <v>174</v>
      </c>
      <c r="C30" s="26"/>
      <c r="D30" s="97">
        <v>326372.17902194668</v>
      </c>
      <c r="E30" s="92">
        <f t="shared" si="6"/>
        <v>7.1481991043613062</v>
      </c>
      <c r="F30" s="98">
        <f t="shared" si="1"/>
        <v>2332973.317773127</v>
      </c>
      <c r="G30" s="26"/>
      <c r="H30" s="97">
        <v>185433.73795411451</v>
      </c>
      <c r="I30" s="92">
        <f t="shared" si="4"/>
        <v>1.1490413208541306</v>
      </c>
      <c r="J30" s="98">
        <f t="shared" si="2"/>
        <v>213071.02718971446</v>
      </c>
      <c r="K30" s="26"/>
      <c r="L30" s="97">
        <v>306172.57235786581</v>
      </c>
      <c r="M30" s="92">
        <f t="shared" si="5"/>
        <v>3.8713368613240311</v>
      </c>
      <c r="N30" s="98">
        <f t="shared" si="3"/>
        <v>1185297.1652954051</v>
      </c>
      <c r="O30" s="26"/>
      <c r="P30" s="80">
        <f t="shared" si="0"/>
        <v>1398368.1924851194</v>
      </c>
      <c r="Q30" s="26"/>
    </row>
    <row r="31" spans="2:17">
      <c r="B31" s="27" t="s">
        <v>175</v>
      </c>
      <c r="C31" s="26"/>
      <c r="D31" s="97">
        <v>355442.76395063195</v>
      </c>
      <c r="E31" s="92">
        <f t="shared" si="6"/>
        <v>7.1481991043613062</v>
      </c>
      <c r="F31" s="98">
        <f t="shared" si="1"/>
        <v>2540775.6469236147</v>
      </c>
      <c r="G31" s="26"/>
      <c r="H31" s="97">
        <v>228610.10699023822</v>
      </c>
      <c r="I31" s="92">
        <f t="shared" si="4"/>
        <v>1.1490413208541306</v>
      </c>
      <c r="J31" s="98">
        <f t="shared" si="2"/>
        <v>262682.45929666742</v>
      </c>
      <c r="K31" s="26"/>
      <c r="L31" s="97">
        <v>354275.29721989634</v>
      </c>
      <c r="M31" s="92">
        <f t="shared" si="5"/>
        <v>3.8713368613240311</v>
      </c>
      <c r="N31" s="98">
        <f t="shared" si="3"/>
        <v>1371519.0171839118</v>
      </c>
      <c r="O31" s="26"/>
      <c r="P31" s="80">
        <f t="shared" si="0"/>
        <v>1634201.4764805792</v>
      </c>
      <c r="Q31" s="26"/>
    </row>
    <row r="32" spans="2:17">
      <c r="B32" s="26"/>
      <c r="C32" s="26"/>
      <c r="D32" s="26"/>
      <c r="E32" s="26"/>
      <c r="F32" s="26"/>
      <c r="G32" s="26"/>
      <c r="H32" s="26"/>
      <c r="I32" s="26"/>
      <c r="J32" s="26"/>
      <c r="K32" s="26"/>
      <c r="L32" s="26"/>
      <c r="M32" s="26"/>
      <c r="N32" s="26"/>
      <c r="O32" s="26"/>
      <c r="P32" s="26"/>
      <c r="Q32" s="26"/>
    </row>
    <row r="33" spans="2:17" ht="13.9" thickBot="1">
      <c r="B33" s="74" t="s">
        <v>146</v>
      </c>
      <c r="C33" s="26"/>
      <c r="D33" s="81">
        <f>SUM(D20:D31)</f>
        <v>4566695.367280338</v>
      </c>
      <c r="E33" s="82">
        <f>IF(D33&lt;&gt;0,F33/D33,0)</f>
        <v>7.1481991043613062</v>
      </c>
      <c r="F33" s="83">
        <f>SUM(F20:F31)</f>
        <v>32643647.734284237</v>
      </c>
      <c r="G33" s="26"/>
      <c r="H33" s="81">
        <f>SUM(H20:H31)</f>
        <v>2687886.5141740111</v>
      </c>
      <c r="I33" s="82">
        <f>IF(H33&lt;&gt;0,J33/H33,0)</f>
        <v>1.1490413208541306</v>
      </c>
      <c r="J33" s="83">
        <f>SUM(J20:J31)</f>
        <v>3088492.6705525103</v>
      </c>
      <c r="K33" s="26"/>
      <c r="L33" s="81">
        <f>SUM(L20:L31)</f>
        <v>4697013.8410986951</v>
      </c>
      <c r="M33" s="82">
        <f>IF(L33&lt;&gt;0,N33/L33,0)</f>
        <v>3.8713368613240307</v>
      </c>
      <c r="N33" s="83">
        <f>SUM(N20:N31)</f>
        <v>18183722.821194552</v>
      </c>
      <c r="O33" s="26"/>
      <c r="P33" s="83">
        <f>SUM(P20:P31)</f>
        <v>21272215.49174707</v>
      </c>
      <c r="Q33" s="26"/>
    </row>
    <row r="34" spans="2:17">
      <c r="B34" s="26"/>
      <c r="C34" s="26"/>
      <c r="D34" s="26"/>
      <c r="E34" s="26"/>
      <c r="F34" s="26"/>
      <c r="G34" s="26"/>
      <c r="H34" s="26"/>
      <c r="I34" s="26"/>
      <c r="J34" s="26"/>
      <c r="K34" s="26"/>
      <c r="L34" s="26"/>
      <c r="M34" s="26"/>
      <c r="N34" s="26"/>
      <c r="O34" s="26"/>
      <c r="P34" s="26"/>
      <c r="Q34" s="26"/>
    </row>
    <row r="35" spans="2:17">
      <c r="B35" s="71" t="s">
        <v>176</v>
      </c>
      <c r="C35" s="72"/>
      <c r="D35" s="247" t="s">
        <v>128</v>
      </c>
      <c r="E35" s="247"/>
      <c r="F35" s="247"/>
      <c r="G35" s="72"/>
      <c r="H35" s="247" t="s">
        <v>158</v>
      </c>
      <c r="I35" s="247"/>
      <c r="J35" s="247"/>
      <c r="K35" s="72"/>
      <c r="L35" s="247" t="s">
        <v>159</v>
      </c>
      <c r="M35" s="247"/>
      <c r="N35" s="247"/>
      <c r="O35" s="72"/>
      <c r="P35" s="71" t="s">
        <v>160</v>
      </c>
      <c r="Q35" s="26"/>
    </row>
    <row r="36" spans="2:17">
      <c r="B36" s="74"/>
      <c r="C36" s="26"/>
      <c r="D36" s="90"/>
      <c r="E36" s="90"/>
      <c r="F36" s="90"/>
      <c r="G36" s="26"/>
      <c r="H36" s="90"/>
      <c r="I36" s="90"/>
      <c r="J36" s="90"/>
      <c r="K36" s="26"/>
      <c r="L36" s="90"/>
      <c r="M36" s="90"/>
      <c r="N36" s="90"/>
      <c r="O36" s="26"/>
      <c r="P36" s="90"/>
      <c r="Q36" s="26"/>
    </row>
    <row r="37" spans="2:17">
      <c r="B37" s="74" t="s">
        <v>161</v>
      </c>
      <c r="C37" s="26"/>
      <c r="D37" s="90" t="s">
        <v>162</v>
      </c>
      <c r="E37" s="90" t="s">
        <v>100</v>
      </c>
      <c r="F37" s="90" t="s">
        <v>163</v>
      </c>
      <c r="G37" s="26"/>
      <c r="H37" s="90" t="s">
        <v>162</v>
      </c>
      <c r="I37" s="90" t="s">
        <v>100</v>
      </c>
      <c r="J37" s="90" t="s">
        <v>163</v>
      </c>
      <c r="K37" s="26"/>
      <c r="L37" s="90" t="s">
        <v>162</v>
      </c>
      <c r="M37" s="90" t="s">
        <v>100</v>
      </c>
      <c r="N37" s="90" t="s">
        <v>163</v>
      </c>
      <c r="O37" s="26"/>
      <c r="P37" s="90" t="s">
        <v>163</v>
      </c>
      <c r="Q37" s="26"/>
    </row>
    <row r="38" spans="2:17">
      <c r="B38" s="26"/>
      <c r="C38" s="26"/>
      <c r="D38" s="26"/>
      <c r="E38" s="26"/>
      <c r="F38" s="26"/>
      <c r="G38" s="26"/>
      <c r="H38" s="26"/>
      <c r="I38" s="26"/>
      <c r="J38" s="26"/>
      <c r="K38" s="26"/>
      <c r="L38" s="26"/>
      <c r="M38" s="26"/>
      <c r="N38" s="26"/>
      <c r="O38" s="26"/>
      <c r="P38" s="26"/>
      <c r="Q38" s="26"/>
    </row>
    <row r="39" spans="2:17">
      <c r="B39" s="27" t="s">
        <v>164</v>
      </c>
      <c r="C39" s="26"/>
      <c r="D39" s="97">
        <v>298499.13193675847</v>
      </c>
      <c r="E39" s="92">
        <f>'4. UTRs &amp; Sub-Transmission'!N35</f>
        <v>6.1199323411799424</v>
      </c>
      <c r="F39" s="98">
        <f>D39*E39</f>
        <v>1826794.4913539067</v>
      </c>
      <c r="G39" s="26"/>
      <c r="H39" s="97">
        <v>271390.73133797728</v>
      </c>
      <c r="I39" s="92">
        <f>'4. UTRs &amp; Sub-Transmission'!N37</f>
        <v>0.78692596867039188</v>
      </c>
      <c r="J39" s="98">
        <f>H39*I39</f>
        <v>213564.41414630384</v>
      </c>
      <c r="K39" s="26"/>
      <c r="L39" s="97">
        <v>314659.14893470798</v>
      </c>
      <c r="M39" s="92">
        <f>'4. UTRs &amp; Sub-Transmission'!N39</f>
        <v>3.9900429829507966</v>
      </c>
      <c r="N39" s="98">
        <f>L39*M39</f>
        <v>1255503.5292282011</v>
      </c>
      <c r="O39" s="26"/>
      <c r="P39" s="80">
        <f t="shared" ref="P39:P50" si="7">J39+N39</f>
        <v>1469067.943374505</v>
      </c>
      <c r="Q39" s="26"/>
    </row>
    <row r="40" spans="2:17">
      <c r="B40" s="27" t="s">
        <v>165</v>
      </c>
      <c r="C40" s="26"/>
      <c r="D40" s="97">
        <v>298619.72594337648</v>
      </c>
      <c r="E40" s="92">
        <f t="shared" ref="E40:E50" si="8">E39</f>
        <v>6.1199323411799424</v>
      </c>
      <c r="F40" s="98">
        <f t="shared" ref="F40:F50" si="9">D40*E40</f>
        <v>1827532.5185151608</v>
      </c>
      <c r="G40" s="26"/>
      <c r="H40" s="97">
        <v>248869.67899094324</v>
      </c>
      <c r="I40" s="92">
        <f t="shared" ref="I40:I50" si="10">I39</f>
        <v>0.78692596867039188</v>
      </c>
      <c r="J40" s="98">
        <f t="shared" ref="J40:J50" si="11">H40*I40</f>
        <v>195842.01321263748</v>
      </c>
      <c r="K40" s="26"/>
      <c r="L40" s="97">
        <v>300249.79031060979</v>
      </c>
      <c r="M40" s="92">
        <f t="shared" ref="M40:M50" si="12">M39</f>
        <v>3.9900429829507966</v>
      </c>
      <c r="N40" s="98">
        <f t="shared" ref="N40:N50" si="13">L40*M40</f>
        <v>1198009.5689612967</v>
      </c>
      <c r="O40" s="26"/>
      <c r="P40" s="80">
        <f t="shared" si="7"/>
        <v>1393851.5821739342</v>
      </c>
      <c r="Q40" s="26"/>
    </row>
    <row r="41" spans="2:17">
      <c r="B41" s="27" t="s">
        <v>166</v>
      </c>
      <c r="C41" s="26"/>
      <c r="D41" s="97">
        <v>251275.53384519528</v>
      </c>
      <c r="E41" s="92">
        <f t="shared" si="8"/>
        <v>6.1199323411799424</v>
      </c>
      <c r="F41" s="98">
        <f t="shared" si="9"/>
        <v>1537789.2661264658</v>
      </c>
      <c r="G41" s="26"/>
      <c r="H41" s="97">
        <v>214311.40342776815</v>
      </c>
      <c r="I41" s="92">
        <f t="shared" si="10"/>
        <v>0.78692596867039188</v>
      </c>
      <c r="J41" s="98">
        <f t="shared" si="11"/>
        <v>168647.20873950759</v>
      </c>
      <c r="K41" s="26"/>
      <c r="L41" s="97">
        <v>255878.26037556413</v>
      </c>
      <c r="M41" s="92">
        <f t="shared" si="12"/>
        <v>3.9900429829507966</v>
      </c>
      <c r="N41" s="98">
        <f t="shared" si="13"/>
        <v>1020965.2573011765</v>
      </c>
      <c r="O41" s="26"/>
      <c r="P41" s="80">
        <f t="shared" si="7"/>
        <v>1189612.4660406841</v>
      </c>
      <c r="Q41" s="26"/>
    </row>
    <row r="42" spans="2:17">
      <c r="B42" s="27" t="s">
        <v>167</v>
      </c>
      <c r="C42" s="26"/>
      <c r="D42" s="97">
        <v>221119.22696803839</v>
      </c>
      <c r="E42" s="92">
        <f t="shared" si="8"/>
        <v>6.1199323411799424</v>
      </c>
      <c r="F42" s="98">
        <f t="shared" si="9"/>
        <v>1353234.7083784062</v>
      </c>
      <c r="G42" s="26"/>
      <c r="H42" s="97">
        <v>195585.54662234226</v>
      </c>
      <c r="I42" s="92">
        <f t="shared" si="10"/>
        <v>0.78692596867039188</v>
      </c>
      <c r="J42" s="98">
        <f t="shared" si="11"/>
        <v>153911.34573371478</v>
      </c>
      <c r="K42" s="26"/>
      <c r="L42" s="97">
        <v>225662.86155071983</v>
      </c>
      <c r="M42" s="92">
        <f t="shared" si="12"/>
        <v>3.9900429829507966</v>
      </c>
      <c r="N42" s="98">
        <f t="shared" si="13"/>
        <v>900404.51724304678</v>
      </c>
      <c r="O42" s="26"/>
      <c r="P42" s="80">
        <f t="shared" si="7"/>
        <v>1054315.8629767615</v>
      </c>
      <c r="Q42" s="26"/>
    </row>
    <row r="43" spans="2:17">
      <c r="B43" s="27" t="s">
        <v>168</v>
      </c>
      <c r="C43" s="26"/>
      <c r="D43" s="97">
        <v>258339.16084394808</v>
      </c>
      <c r="E43" s="92">
        <f t="shared" si="8"/>
        <v>6.1199323411799424</v>
      </c>
      <c r="F43" s="98">
        <f t="shared" si="9"/>
        <v>1581018.1854421648</v>
      </c>
      <c r="G43" s="26"/>
      <c r="H43" s="97">
        <v>214650.63211305122</v>
      </c>
      <c r="I43" s="92">
        <f t="shared" si="10"/>
        <v>0.78692596867039188</v>
      </c>
      <c r="J43" s="98">
        <f t="shared" si="11"/>
        <v>168914.15660127476</v>
      </c>
      <c r="K43" s="26"/>
      <c r="L43" s="97">
        <v>260566.14785505086</v>
      </c>
      <c r="M43" s="92">
        <f t="shared" si="12"/>
        <v>3.9900429829507966</v>
      </c>
      <c r="N43" s="98">
        <f t="shared" si="13"/>
        <v>1039670.1298435654</v>
      </c>
      <c r="O43" s="26"/>
      <c r="P43" s="80">
        <f t="shared" si="7"/>
        <v>1208584.2864448403</v>
      </c>
      <c r="Q43" s="26"/>
    </row>
    <row r="44" spans="2:17">
      <c r="B44" s="27" t="s">
        <v>169</v>
      </c>
      <c r="C44" s="26"/>
      <c r="D44" s="97">
        <v>334428.48440850957</v>
      </c>
      <c r="E44" s="92">
        <f t="shared" si="8"/>
        <v>6.1199323411799424</v>
      </c>
      <c r="F44" s="98">
        <f t="shared" si="9"/>
        <v>2046679.6975434299</v>
      </c>
      <c r="G44" s="26"/>
      <c r="H44" s="97">
        <v>291603.04083608871</v>
      </c>
      <c r="I44" s="92">
        <f t="shared" si="10"/>
        <v>0.78692596867039188</v>
      </c>
      <c r="J44" s="98">
        <f t="shared" si="11"/>
        <v>229470.00537717095</v>
      </c>
      <c r="K44" s="26"/>
      <c r="L44" s="97">
        <v>337616.27663900668</v>
      </c>
      <c r="M44" s="92">
        <f t="shared" si="12"/>
        <v>3.9900429829507966</v>
      </c>
      <c r="N44" s="98">
        <f t="shared" si="13"/>
        <v>1347103.4555334435</v>
      </c>
      <c r="O44" s="26"/>
      <c r="P44" s="80">
        <f t="shared" si="7"/>
        <v>1576573.4609106143</v>
      </c>
      <c r="Q44" s="26"/>
    </row>
    <row r="45" spans="2:17">
      <c r="B45" s="27" t="s">
        <v>170</v>
      </c>
      <c r="C45" s="26"/>
      <c r="D45" s="97">
        <v>317560.038427238</v>
      </c>
      <c r="E45" s="92">
        <f t="shared" si="8"/>
        <v>6.1199323411799424</v>
      </c>
      <c r="F45" s="98">
        <f t="shared" si="9"/>
        <v>1943445.9494371992</v>
      </c>
      <c r="G45" s="26"/>
      <c r="H45" s="97">
        <v>269747.69880336558</v>
      </c>
      <c r="I45" s="92">
        <f t="shared" si="10"/>
        <v>0.78692596867039188</v>
      </c>
      <c r="J45" s="98">
        <f t="shared" si="11"/>
        <v>212271.46917744758</v>
      </c>
      <c r="K45" s="26"/>
      <c r="L45" s="97">
        <v>318485.8638669349</v>
      </c>
      <c r="M45" s="92">
        <f t="shared" si="12"/>
        <v>3.9900429829507966</v>
      </c>
      <c r="N45" s="98">
        <f t="shared" si="13"/>
        <v>1270772.2862912863</v>
      </c>
      <c r="O45" s="26"/>
      <c r="P45" s="80">
        <f t="shared" si="7"/>
        <v>1483043.7554687338</v>
      </c>
      <c r="Q45" s="26"/>
    </row>
    <row r="46" spans="2:17">
      <c r="B46" s="27" t="s">
        <v>171</v>
      </c>
      <c r="C46" s="26"/>
      <c r="D46" s="97">
        <v>347657.76191229105</v>
      </c>
      <c r="E46" s="92">
        <f t="shared" si="8"/>
        <v>6.1199323411799424</v>
      </c>
      <c r="F46" s="98">
        <f t="shared" si="9"/>
        <v>2127641.9807892665</v>
      </c>
      <c r="G46" s="26"/>
      <c r="H46" s="97">
        <v>262677.69274870714</v>
      </c>
      <c r="I46" s="92">
        <f t="shared" si="10"/>
        <v>0.78692596867039188</v>
      </c>
      <c r="J46" s="98">
        <f t="shared" si="11"/>
        <v>206707.89781437995</v>
      </c>
      <c r="K46" s="26"/>
      <c r="L46" s="97">
        <v>351495.94145625824</v>
      </c>
      <c r="M46" s="92">
        <f t="shared" si="12"/>
        <v>3.9900429829507966</v>
      </c>
      <c r="N46" s="98">
        <f t="shared" si="13"/>
        <v>1402483.9147432272</v>
      </c>
      <c r="O46" s="26"/>
      <c r="P46" s="80">
        <f t="shared" si="7"/>
        <v>1609191.8125576072</v>
      </c>
      <c r="Q46" s="26"/>
    </row>
    <row r="47" spans="2:17">
      <c r="B47" s="27" t="s">
        <v>172</v>
      </c>
      <c r="C47" s="26"/>
      <c r="D47" s="97">
        <v>289921.28068824048</v>
      </c>
      <c r="E47" s="92">
        <f t="shared" si="8"/>
        <v>6.1199323411799424</v>
      </c>
      <c r="F47" s="98">
        <f t="shared" si="9"/>
        <v>1774298.6220802709</v>
      </c>
      <c r="G47" s="26"/>
      <c r="H47" s="97">
        <v>226045.79284951231</v>
      </c>
      <c r="I47" s="92">
        <f t="shared" si="10"/>
        <v>0.78692596867039188</v>
      </c>
      <c r="J47" s="98">
        <f t="shared" si="11"/>
        <v>177881.30450196922</v>
      </c>
      <c r="K47" s="26"/>
      <c r="L47" s="97">
        <v>291459.67238377634</v>
      </c>
      <c r="M47" s="92">
        <f t="shared" si="12"/>
        <v>3.9900429829507966</v>
      </c>
      <c r="N47" s="98">
        <f t="shared" si="13"/>
        <v>1162936.6206080248</v>
      </c>
      <c r="O47" s="26"/>
      <c r="P47" s="80">
        <f t="shared" si="7"/>
        <v>1340817.9251099939</v>
      </c>
      <c r="Q47" s="26"/>
    </row>
    <row r="48" spans="2:17">
      <c r="B48" s="27" t="s">
        <v>173</v>
      </c>
      <c r="C48" s="26"/>
      <c r="D48" s="97">
        <v>244123.47345270053</v>
      </c>
      <c r="E48" s="92">
        <f t="shared" si="8"/>
        <v>6.1199323411799424</v>
      </c>
      <c r="F48" s="98">
        <f t="shared" si="9"/>
        <v>1494019.1404243652</v>
      </c>
      <c r="G48" s="26"/>
      <c r="H48" s="97">
        <v>193816.85663639018</v>
      </c>
      <c r="I48" s="92">
        <f t="shared" si="10"/>
        <v>0.78692596867039188</v>
      </c>
      <c r="J48" s="98">
        <f t="shared" si="11"/>
        <v>152519.51765324181</v>
      </c>
      <c r="K48" s="26"/>
      <c r="L48" s="97">
        <v>246983.22522075076</v>
      </c>
      <c r="M48" s="92">
        <f t="shared" si="12"/>
        <v>3.9900429829507966</v>
      </c>
      <c r="N48" s="98">
        <f t="shared" si="13"/>
        <v>985473.68469861278</v>
      </c>
      <c r="O48" s="26"/>
      <c r="P48" s="80">
        <f t="shared" si="7"/>
        <v>1137993.2023518546</v>
      </c>
      <c r="Q48" s="26"/>
    </row>
    <row r="49" spans="2:17">
      <c r="B49" s="27" t="s">
        <v>174</v>
      </c>
      <c r="C49" s="26"/>
      <c r="D49" s="97">
        <v>265399.84706476174</v>
      </c>
      <c r="E49" s="92">
        <f t="shared" si="8"/>
        <v>6.1199323411799424</v>
      </c>
      <c r="F49" s="98">
        <f t="shared" si="9"/>
        <v>1624229.1073958459</v>
      </c>
      <c r="G49" s="26"/>
      <c r="H49" s="97">
        <v>215124.68330573311</v>
      </c>
      <c r="I49" s="92">
        <f t="shared" si="10"/>
        <v>0.78692596867039188</v>
      </c>
      <c r="J49" s="98">
        <f t="shared" si="11"/>
        <v>169287.19979527532</v>
      </c>
      <c r="K49" s="26"/>
      <c r="L49" s="97">
        <v>269346.20522577665</v>
      </c>
      <c r="M49" s="92">
        <f t="shared" si="12"/>
        <v>3.9900429829507966</v>
      </c>
      <c r="N49" s="98">
        <f t="shared" si="13"/>
        <v>1074702.9361455352</v>
      </c>
      <c r="O49" s="26"/>
      <c r="P49" s="80">
        <f t="shared" si="7"/>
        <v>1243990.1359408104</v>
      </c>
      <c r="Q49" s="26"/>
    </row>
    <row r="50" spans="2:17">
      <c r="B50" s="27" t="s">
        <v>175</v>
      </c>
      <c r="C50" s="26"/>
      <c r="D50" s="97">
        <v>273218.60171606601</v>
      </c>
      <c r="E50" s="92">
        <f t="shared" si="8"/>
        <v>6.1199323411799424</v>
      </c>
      <c r="F50" s="98">
        <f t="shared" si="9"/>
        <v>1672079.3568541142</v>
      </c>
      <c r="G50" s="26"/>
      <c r="H50" s="97">
        <v>233515.98792613257</v>
      </c>
      <c r="I50" s="92">
        <f t="shared" si="10"/>
        <v>0.78692596867039188</v>
      </c>
      <c r="J50" s="98">
        <f t="shared" si="11"/>
        <v>183759.79499879541</v>
      </c>
      <c r="K50" s="26"/>
      <c r="L50" s="97">
        <v>279899.28636047011</v>
      </c>
      <c r="M50" s="92">
        <f t="shared" si="12"/>
        <v>3.9900429829507966</v>
      </c>
      <c r="N50" s="98">
        <f t="shared" si="13"/>
        <v>1116810.1834755293</v>
      </c>
      <c r="O50" s="26"/>
      <c r="P50" s="80">
        <f t="shared" si="7"/>
        <v>1300569.9784743248</v>
      </c>
      <c r="Q50" s="26"/>
    </row>
    <row r="51" spans="2:17">
      <c r="B51" s="26"/>
      <c r="C51" s="26"/>
      <c r="D51" s="26"/>
      <c r="E51" s="26"/>
      <c r="F51" s="26"/>
      <c r="G51" s="26"/>
      <c r="H51" s="26"/>
      <c r="I51" s="26"/>
      <c r="J51" s="26"/>
      <c r="K51" s="26"/>
      <c r="L51" s="26"/>
      <c r="M51" s="26"/>
      <c r="N51" s="26"/>
      <c r="O51" s="26"/>
      <c r="P51" s="26"/>
      <c r="Q51" s="26"/>
    </row>
    <row r="52" spans="2:17" ht="13.9" thickBot="1">
      <c r="B52" s="74" t="s">
        <v>146</v>
      </c>
      <c r="C52" s="26"/>
      <c r="D52" s="81">
        <f>SUM(D39:D50)</f>
        <v>3400162.2672071243</v>
      </c>
      <c r="E52" s="82">
        <f>IF(D52&lt;&gt;0,F52/D52,0)</f>
        <v>6.1199323411799424</v>
      </c>
      <c r="F52" s="83">
        <f>SUM(F39:F50)</f>
        <v>20808763.024340596</v>
      </c>
      <c r="G52" s="26"/>
      <c r="H52" s="81">
        <f>SUM(H39:H50)</f>
        <v>2837339.7455980117</v>
      </c>
      <c r="I52" s="82">
        <f>IF(H52&lt;&gt;0,J52/H52,0)</f>
        <v>0.78692596867039188</v>
      </c>
      <c r="J52" s="83">
        <f>SUM(J39:J50)</f>
        <v>2232776.3277517185</v>
      </c>
      <c r="K52" s="26"/>
      <c r="L52" s="81">
        <f>SUM(L39:L50)</f>
        <v>3452302.6801796262</v>
      </c>
      <c r="M52" s="82">
        <f>IF(L52&lt;&gt;0,N52/L52,0)</f>
        <v>3.9900429829507971</v>
      </c>
      <c r="N52" s="83">
        <f>SUM(N39:N50)</f>
        <v>13774836.084072948</v>
      </c>
      <c r="O52" s="26"/>
      <c r="P52" s="83">
        <f>SUM(P39:P50)</f>
        <v>16007612.411824666</v>
      </c>
      <c r="Q52" s="26"/>
    </row>
    <row r="53" spans="2:17">
      <c r="B53" s="26"/>
      <c r="C53" s="26"/>
      <c r="D53" s="26"/>
      <c r="E53" s="26"/>
      <c r="F53" s="26"/>
      <c r="G53" s="26"/>
      <c r="H53" s="26"/>
      <c r="I53" s="26"/>
      <c r="J53" s="26"/>
      <c r="K53" s="26"/>
      <c r="L53" s="26"/>
      <c r="M53" s="26"/>
      <c r="N53" s="26"/>
      <c r="O53" s="26"/>
      <c r="P53" s="26"/>
      <c r="Q53" s="26"/>
    </row>
    <row r="54" spans="2:17">
      <c r="B54" s="71" t="e">
        <f>#REF!</f>
        <v>#REF!</v>
      </c>
      <c r="C54" s="72"/>
      <c r="D54" s="247" t="s">
        <v>128</v>
      </c>
      <c r="E54" s="247"/>
      <c r="F54" s="247"/>
      <c r="G54" s="72"/>
      <c r="H54" s="247" t="s">
        <v>158</v>
      </c>
      <c r="I54" s="247"/>
      <c r="J54" s="247"/>
      <c r="K54" s="72"/>
      <c r="L54" s="247" t="s">
        <v>159</v>
      </c>
      <c r="M54" s="247"/>
      <c r="N54" s="247"/>
      <c r="O54" s="72"/>
      <c r="P54" s="71" t="s">
        <v>160</v>
      </c>
      <c r="Q54" s="26"/>
    </row>
    <row r="55" spans="2:17">
      <c r="B55" s="74"/>
      <c r="C55" s="26"/>
      <c r="D55" s="90"/>
      <c r="E55" s="90"/>
      <c r="F55" s="90"/>
      <c r="G55" s="26"/>
      <c r="H55" s="90"/>
      <c r="I55" s="90"/>
      <c r="J55" s="90"/>
      <c r="K55" s="26"/>
      <c r="L55" s="90"/>
      <c r="M55" s="90"/>
      <c r="N55" s="90"/>
      <c r="O55" s="26"/>
      <c r="P55" s="90"/>
      <c r="Q55" s="26"/>
    </row>
    <row r="56" spans="2:17">
      <c r="B56" s="74" t="s">
        <v>161</v>
      </c>
      <c r="C56" s="26"/>
      <c r="D56" s="90" t="s">
        <v>162</v>
      </c>
      <c r="E56" s="90" t="s">
        <v>100</v>
      </c>
      <c r="F56" s="90" t="s">
        <v>163</v>
      </c>
      <c r="G56" s="26"/>
      <c r="H56" s="90" t="s">
        <v>162</v>
      </c>
      <c r="I56" s="90" t="s">
        <v>100</v>
      </c>
      <c r="J56" s="90" t="s">
        <v>163</v>
      </c>
      <c r="K56" s="26"/>
      <c r="L56" s="90" t="s">
        <v>162</v>
      </c>
      <c r="M56" s="90" t="s">
        <v>100</v>
      </c>
      <c r="N56" s="90" t="s">
        <v>163</v>
      </c>
      <c r="O56" s="26"/>
      <c r="P56" s="90" t="s">
        <v>163</v>
      </c>
      <c r="Q56" s="26"/>
    </row>
    <row r="57" spans="2:17">
      <c r="B57" s="26"/>
      <c r="C57" s="26"/>
      <c r="D57" s="26"/>
      <c r="E57" s="26"/>
      <c r="F57" s="26"/>
      <c r="G57" s="26"/>
      <c r="H57" s="26"/>
      <c r="I57" s="26"/>
      <c r="J57" s="26"/>
      <c r="K57" s="26"/>
      <c r="L57" s="26"/>
      <c r="M57" s="26"/>
      <c r="N57" s="26"/>
      <c r="O57" s="26"/>
      <c r="P57" s="26"/>
      <c r="Q57" s="26"/>
    </row>
    <row r="58" spans="2:17">
      <c r="B58" s="27" t="s">
        <v>164</v>
      </c>
      <c r="C58" s="26"/>
      <c r="D58" s="97"/>
      <c r="E58" s="92"/>
      <c r="F58" s="98"/>
      <c r="G58" s="26"/>
      <c r="H58" s="97"/>
      <c r="I58" s="92"/>
      <c r="J58" s="98"/>
      <c r="K58" s="26"/>
      <c r="L58" s="97"/>
      <c r="M58" s="92"/>
      <c r="N58" s="98"/>
      <c r="O58" s="26"/>
      <c r="P58" s="80"/>
      <c r="Q58" s="26"/>
    </row>
    <row r="59" spans="2:17">
      <c r="B59" s="27" t="s">
        <v>165</v>
      </c>
      <c r="C59" s="26"/>
      <c r="D59" s="97"/>
      <c r="E59" s="92"/>
      <c r="F59" s="98"/>
      <c r="G59" s="26"/>
      <c r="H59" s="97"/>
      <c r="I59" s="92"/>
      <c r="J59" s="98"/>
      <c r="K59" s="26"/>
      <c r="L59" s="97"/>
      <c r="M59" s="92"/>
      <c r="N59" s="98"/>
      <c r="O59" s="26"/>
      <c r="P59" s="80"/>
      <c r="Q59" s="26"/>
    </row>
    <row r="60" spans="2:17">
      <c r="B60" s="27" t="s">
        <v>166</v>
      </c>
      <c r="C60" s="26"/>
      <c r="D60" s="97"/>
      <c r="E60" s="92"/>
      <c r="F60" s="98"/>
      <c r="G60" s="26"/>
      <c r="H60" s="97"/>
      <c r="I60" s="92"/>
      <c r="J60" s="98"/>
      <c r="K60" s="26"/>
      <c r="L60" s="97"/>
      <c r="M60" s="92"/>
      <c r="N60" s="98"/>
      <c r="O60" s="26"/>
      <c r="P60" s="80"/>
      <c r="Q60" s="26"/>
    </row>
    <row r="61" spans="2:17">
      <c r="B61" s="27" t="s">
        <v>167</v>
      </c>
      <c r="C61" s="26"/>
      <c r="D61" s="97"/>
      <c r="E61" s="92"/>
      <c r="F61" s="98"/>
      <c r="G61" s="26"/>
      <c r="H61" s="97"/>
      <c r="I61" s="92"/>
      <c r="J61" s="98"/>
      <c r="K61" s="26"/>
      <c r="L61" s="97"/>
      <c r="M61" s="92"/>
      <c r="N61" s="98"/>
      <c r="O61" s="26"/>
      <c r="P61" s="80"/>
      <c r="Q61" s="26"/>
    </row>
    <row r="62" spans="2:17">
      <c r="B62" s="27" t="s">
        <v>168</v>
      </c>
      <c r="C62" s="26"/>
      <c r="D62" s="97"/>
      <c r="E62" s="92"/>
      <c r="F62" s="98"/>
      <c r="G62" s="26"/>
      <c r="H62" s="97"/>
      <c r="I62" s="92"/>
      <c r="J62" s="98"/>
      <c r="K62" s="26"/>
      <c r="L62" s="97"/>
      <c r="M62" s="92"/>
      <c r="N62" s="98"/>
      <c r="O62" s="26"/>
      <c r="P62" s="80"/>
      <c r="Q62" s="26"/>
    </row>
    <row r="63" spans="2:17">
      <c r="B63" s="27" t="s">
        <v>169</v>
      </c>
      <c r="C63" s="26"/>
      <c r="D63" s="97"/>
      <c r="E63" s="92"/>
      <c r="F63" s="98"/>
      <c r="G63" s="26"/>
      <c r="H63" s="97"/>
      <c r="I63" s="92"/>
      <c r="J63" s="98"/>
      <c r="K63" s="26"/>
      <c r="L63" s="97"/>
      <c r="M63" s="92"/>
      <c r="N63" s="98"/>
      <c r="O63" s="26"/>
      <c r="P63" s="80"/>
      <c r="Q63" s="26"/>
    </row>
    <row r="64" spans="2:17">
      <c r="B64" s="27" t="s">
        <v>170</v>
      </c>
      <c r="C64" s="26"/>
      <c r="D64" s="97"/>
      <c r="E64" s="92"/>
      <c r="F64" s="98"/>
      <c r="G64" s="26"/>
      <c r="H64" s="97"/>
      <c r="I64" s="92"/>
      <c r="J64" s="98"/>
      <c r="K64" s="26"/>
      <c r="L64" s="97"/>
      <c r="M64" s="92"/>
      <c r="N64" s="98"/>
      <c r="O64" s="26"/>
      <c r="P64" s="80"/>
      <c r="Q64" s="26"/>
    </row>
    <row r="65" spans="2:17">
      <c r="B65" s="27" t="s">
        <v>171</v>
      </c>
      <c r="C65" s="26"/>
      <c r="D65" s="97"/>
      <c r="E65" s="92"/>
      <c r="F65" s="98"/>
      <c r="G65" s="26"/>
      <c r="H65" s="97"/>
      <c r="I65" s="92"/>
      <c r="J65" s="98"/>
      <c r="K65" s="26"/>
      <c r="L65" s="97"/>
      <c r="M65" s="92"/>
      <c r="N65" s="98"/>
      <c r="O65" s="26"/>
      <c r="P65" s="80"/>
      <c r="Q65" s="26"/>
    </row>
    <row r="66" spans="2:17">
      <c r="B66" s="27" t="s">
        <v>172</v>
      </c>
      <c r="C66" s="26"/>
      <c r="D66" s="97"/>
      <c r="E66" s="92"/>
      <c r="F66" s="98"/>
      <c r="G66" s="26"/>
      <c r="H66" s="97"/>
      <c r="I66" s="92"/>
      <c r="J66" s="98"/>
      <c r="K66" s="26"/>
      <c r="L66" s="97"/>
      <c r="M66" s="92"/>
      <c r="N66" s="98"/>
      <c r="O66" s="26"/>
      <c r="P66" s="80"/>
      <c r="Q66" s="26"/>
    </row>
    <row r="67" spans="2:17">
      <c r="B67" s="27" t="s">
        <v>173</v>
      </c>
      <c r="C67" s="26"/>
      <c r="D67" s="97"/>
      <c r="E67" s="92"/>
      <c r="F67" s="98"/>
      <c r="G67" s="26"/>
      <c r="H67" s="97"/>
      <c r="I67" s="92"/>
      <c r="J67" s="98"/>
      <c r="K67" s="26"/>
      <c r="L67" s="97"/>
      <c r="M67" s="92"/>
      <c r="N67" s="98"/>
      <c r="O67" s="26"/>
      <c r="P67" s="80"/>
      <c r="Q67" s="26"/>
    </row>
    <row r="68" spans="2:17">
      <c r="B68" s="27" t="s">
        <v>174</v>
      </c>
      <c r="C68" s="26"/>
      <c r="D68" s="97"/>
      <c r="E68" s="92"/>
      <c r="F68" s="98"/>
      <c r="G68" s="26"/>
      <c r="H68" s="97"/>
      <c r="I68" s="92"/>
      <c r="J68" s="98"/>
      <c r="K68" s="26"/>
      <c r="L68" s="97"/>
      <c r="M68" s="92"/>
      <c r="N68" s="98"/>
      <c r="O68" s="26"/>
      <c r="P68" s="80"/>
      <c r="Q68" s="26"/>
    </row>
    <row r="69" spans="2:17">
      <c r="B69" s="27" t="s">
        <v>175</v>
      </c>
      <c r="C69" s="26"/>
      <c r="D69" s="97"/>
      <c r="E69" s="92"/>
      <c r="F69" s="98"/>
      <c r="G69" s="26"/>
      <c r="H69" s="97"/>
      <c r="I69" s="92"/>
      <c r="J69" s="98"/>
      <c r="K69" s="26"/>
      <c r="L69" s="97"/>
      <c r="M69" s="92"/>
      <c r="N69" s="98"/>
      <c r="O69" s="26"/>
      <c r="P69" s="80"/>
      <c r="Q69" s="26"/>
    </row>
    <row r="70" spans="2:17">
      <c r="B70" s="26"/>
      <c r="C70" s="26"/>
      <c r="D70" s="26"/>
      <c r="E70" s="26"/>
      <c r="F70" s="26"/>
      <c r="G70" s="26"/>
      <c r="H70" s="26"/>
      <c r="I70" s="26"/>
      <c r="J70" s="26"/>
      <c r="K70" s="26"/>
      <c r="L70" s="26"/>
      <c r="M70" s="26"/>
      <c r="N70" s="26"/>
      <c r="O70" s="26"/>
      <c r="P70" s="26"/>
      <c r="Q70" s="26"/>
    </row>
    <row r="71" spans="2:17" ht="13.9" thickBot="1">
      <c r="B71" s="74" t="s">
        <v>146</v>
      </c>
      <c r="C71" s="26"/>
      <c r="D71" s="81">
        <f>SUM(D58:D69)</f>
        <v>0</v>
      </c>
      <c r="E71" s="82">
        <f>IF(D71&lt;&gt;0,F71/D71,0)</f>
        <v>0</v>
      </c>
      <c r="F71" s="83">
        <f>SUM(F58:F69)</f>
        <v>0</v>
      </c>
      <c r="G71" s="26"/>
      <c r="H71" s="81">
        <f>SUM(H58:H69)</f>
        <v>0</v>
      </c>
      <c r="I71" s="82">
        <f>IF(H71&lt;&gt;0,J71/H71,0)</f>
        <v>0</v>
      </c>
      <c r="J71" s="83">
        <f>SUM(J58:J69)</f>
        <v>0</v>
      </c>
      <c r="K71" s="26"/>
      <c r="L71" s="81">
        <f>SUM(L58:L69)</f>
        <v>0</v>
      </c>
      <c r="M71" s="82">
        <f>IF(L71&lt;&gt;0,N71/L71,0)</f>
        <v>0</v>
      </c>
      <c r="N71" s="83">
        <f>SUM(N58:N69)</f>
        <v>0</v>
      </c>
      <c r="O71" s="26"/>
      <c r="P71" s="83">
        <f>SUM(P58:P69)</f>
        <v>0</v>
      </c>
      <c r="Q71" s="26"/>
    </row>
    <row r="72" spans="2:17">
      <c r="B72" s="26"/>
      <c r="C72" s="26"/>
      <c r="D72" s="26"/>
      <c r="E72" s="26"/>
      <c r="F72" s="26"/>
      <c r="G72" s="26"/>
      <c r="H72" s="26"/>
      <c r="I72" s="26"/>
      <c r="J72" s="26"/>
      <c r="K72" s="26"/>
      <c r="L72" s="26"/>
      <c r="M72" s="26"/>
      <c r="N72" s="26"/>
      <c r="O72" s="26"/>
      <c r="P72" s="26"/>
      <c r="Q72" s="26"/>
    </row>
    <row r="73" spans="2:17">
      <c r="B73" s="71" t="e">
        <f>#REF!</f>
        <v>#REF!</v>
      </c>
      <c r="C73" s="72"/>
      <c r="D73" s="247" t="s">
        <v>128</v>
      </c>
      <c r="E73" s="247"/>
      <c r="F73" s="247"/>
      <c r="G73" s="72"/>
      <c r="H73" s="247" t="s">
        <v>158</v>
      </c>
      <c r="I73" s="247"/>
      <c r="J73" s="247"/>
      <c r="K73" s="72"/>
      <c r="L73" s="247" t="s">
        <v>159</v>
      </c>
      <c r="M73" s="247"/>
      <c r="N73" s="247"/>
      <c r="O73" s="72"/>
      <c r="P73" s="71" t="s">
        <v>160</v>
      </c>
      <c r="Q73" s="26"/>
    </row>
    <row r="74" spans="2:17">
      <c r="B74" s="74"/>
      <c r="C74" s="26"/>
      <c r="D74" s="90"/>
      <c r="E74" s="90"/>
      <c r="F74" s="90"/>
      <c r="G74" s="26"/>
      <c r="H74" s="90"/>
      <c r="I74" s="90"/>
      <c r="J74" s="90"/>
      <c r="K74" s="26"/>
      <c r="L74" s="90"/>
      <c r="M74" s="90"/>
      <c r="N74" s="90"/>
      <c r="O74" s="26"/>
      <c r="P74" s="90"/>
      <c r="Q74" s="26"/>
    </row>
    <row r="75" spans="2:17">
      <c r="B75" s="74" t="s">
        <v>161</v>
      </c>
      <c r="C75" s="26"/>
      <c r="D75" s="90" t="s">
        <v>162</v>
      </c>
      <c r="E75" s="90" t="s">
        <v>100</v>
      </c>
      <c r="F75" s="90" t="s">
        <v>163</v>
      </c>
      <c r="G75" s="26"/>
      <c r="H75" s="90" t="s">
        <v>162</v>
      </c>
      <c r="I75" s="90" t="s">
        <v>100</v>
      </c>
      <c r="J75" s="90" t="s">
        <v>163</v>
      </c>
      <c r="K75" s="26"/>
      <c r="L75" s="90" t="s">
        <v>162</v>
      </c>
      <c r="M75" s="90" t="s">
        <v>100</v>
      </c>
      <c r="N75" s="90" t="s">
        <v>163</v>
      </c>
      <c r="O75" s="26"/>
      <c r="P75" s="90" t="s">
        <v>163</v>
      </c>
      <c r="Q75" s="26"/>
    </row>
    <row r="76" spans="2:17">
      <c r="B76" s="26"/>
      <c r="C76" s="26"/>
      <c r="D76" s="26"/>
      <c r="E76" s="26"/>
      <c r="F76" s="26"/>
      <c r="G76" s="26"/>
      <c r="H76" s="26"/>
      <c r="I76" s="26"/>
      <c r="J76" s="26"/>
      <c r="K76" s="26"/>
      <c r="L76" s="26"/>
      <c r="M76" s="26"/>
      <c r="N76" s="26"/>
      <c r="O76" s="26"/>
      <c r="P76" s="26"/>
      <c r="Q76" s="26"/>
    </row>
    <row r="77" spans="2:17">
      <c r="B77" s="27" t="s">
        <v>164</v>
      </c>
      <c r="C77" s="26"/>
      <c r="D77" s="97"/>
      <c r="E77" s="92"/>
      <c r="F77" s="98"/>
      <c r="G77" s="26"/>
      <c r="H77" s="97"/>
      <c r="I77" s="92"/>
      <c r="J77" s="98"/>
      <c r="K77" s="26"/>
      <c r="L77" s="97"/>
      <c r="M77" s="92"/>
      <c r="N77" s="98"/>
      <c r="O77" s="26"/>
      <c r="P77" s="80"/>
      <c r="Q77" s="26"/>
    </row>
    <row r="78" spans="2:17">
      <c r="B78" s="27" t="s">
        <v>165</v>
      </c>
      <c r="C78" s="26"/>
      <c r="D78" s="97"/>
      <c r="E78" s="92"/>
      <c r="F78" s="98"/>
      <c r="G78" s="26"/>
      <c r="H78" s="97"/>
      <c r="I78" s="92"/>
      <c r="J78" s="98"/>
      <c r="K78" s="26"/>
      <c r="L78" s="97"/>
      <c r="M78" s="92"/>
      <c r="N78" s="98"/>
      <c r="O78" s="26"/>
      <c r="P78" s="80"/>
      <c r="Q78" s="26"/>
    </row>
    <row r="79" spans="2:17">
      <c r="B79" s="27" t="s">
        <v>166</v>
      </c>
      <c r="C79" s="26"/>
      <c r="D79" s="97"/>
      <c r="E79" s="92"/>
      <c r="F79" s="98"/>
      <c r="G79" s="26"/>
      <c r="H79" s="97"/>
      <c r="I79" s="92"/>
      <c r="J79" s="98"/>
      <c r="K79" s="26"/>
      <c r="L79" s="97"/>
      <c r="M79" s="92"/>
      <c r="N79" s="98"/>
      <c r="O79" s="26"/>
      <c r="P79" s="80"/>
      <c r="Q79" s="26"/>
    </row>
    <row r="80" spans="2:17">
      <c r="B80" s="27" t="s">
        <v>167</v>
      </c>
      <c r="C80" s="26"/>
      <c r="D80" s="97"/>
      <c r="E80" s="92"/>
      <c r="F80" s="98"/>
      <c r="G80" s="26"/>
      <c r="H80" s="97"/>
      <c r="I80" s="92"/>
      <c r="J80" s="98"/>
      <c r="K80" s="26"/>
      <c r="L80" s="97"/>
      <c r="M80" s="92"/>
      <c r="N80" s="98"/>
      <c r="O80" s="26"/>
      <c r="P80" s="80"/>
      <c r="Q80" s="26"/>
    </row>
    <row r="81" spans="2:17">
      <c r="B81" s="27" t="s">
        <v>168</v>
      </c>
      <c r="C81" s="26"/>
      <c r="D81" s="97"/>
      <c r="E81" s="92"/>
      <c r="F81" s="98"/>
      <c r="G81" s="26"/>
      <c r="H81" s="97"/>
      <c r="I81" s="92"/>
      <c r="J81" s="98"/>
      <c r="K81" s="26"/>
      <c r="L81" s="97"/>
      <c r="M81" s="92"/>
      <c r="N81" s="98"/>
      <c r="O81" s="26"/>
      <c r="P81" s="80"/>
      <c r="Q81" s="26"/>
    </row>
    <row r="82" spans="2:17">
      <c r="B82" s="27" t="s">
        <v>169</v>
      </c>
      <c r="C82" s="26"/>
      <c r="D82" s="97"/>
      <c r="E82" s="92"/>
      <c r="F82" s="98"/>
      <c r="G82" s="26"/>
      <c r="H82" s="97"/>
      <c r="I82" s="92"/>
      <c r="J82" s="98"/>
      <c r="K82" s="26"/>
      <c r="L82" s="97"/>
      <c r="M82" s="92"/>
      <c r="N82" s="98"/>
      <c r="O82" s="26"/>
      <c r="P82" s="80"/>
      <c r="Q82" s="26"/>
    </row>
    <row r="83" spans="2:17">
      <c r="B83" s="27" t="s">
        <v>170</v>
      </c>
      <c r="C83" s="26"/>
      <c r="D83" s="97"/>
      <c r="E83" s="92"/>
      <c r="F83" s="98"/>
      <c r="G83" s="26"/>
      <c r="H83" s="97"/>
      <c r="I83" s="92"/>
      <c r="J83" s="98"/>
      <c r="K83" s="26"/>
      <c r="L83" s="97"/>
      <c r="M83" s="92"/>
      <c r="N83" s="98"/>
      <c r="O83" s="26"/>
      <c r="P83" s="80"/>
      <c r="Q83" s="26"/>
    </row>
    <row r="84" spans="2:17">
      <c r="B84" s="27" t="s">
        <v>171</v>
      </c>
      <c r="C84" s="26"/>
      <c r="D84" s="97"/>
      <c r="E84" s="92"/>
      <c r="F84" s="98"/>
      <c r="G84" s="26"/>
      <c r="H84" s="97"/>
      <c r="I84" s="92"/>
      <c r="J84" s="98"/>
      <c r="K84" s="26"/>
      <c r="L84" s="97"/>
      <c r="M84" s="92"/>
      <c r="N84" s="98"/>
      <c r="O84" s="26"/>
      <c r="P84" s="80"/>
      <c r="Q84" s="26"/>
    </row>
    <row r="85" spans="2:17">
      <c r="B85" s="27" t="s">
        <v>172</v>
      </c>
      <c r="C85" s="26"/>
      <c r="D85" s="97"/>
      <c r="E85" s="92"/>
      <c r="F85" s="98"/>
      <c r="G85" s="26"/>
      <c r="H85" s="97"/>
      <c r="I85" s="92"/>
      <c r="J85" s="98"/>
      <c r="K85" s="26"/>
      <c r="L85" s="97"/>
      <c r="M85" s="92"/>
      <c r="N85" s="98"/>
      <c r="O85" s="26"/>
      <c r="P85" s="80"/>
      <c r="Q85" s="26"/>
    </row>
    <row r="86" spans="2:17">
      <c r="B86" s="27" t="s">
        <v>173</v>
      </c>
      <c r="C86" s="26"/>
      <c r="D86" s="97"/>
      <c r="E86" s="92"/>
      <c r="F86" s="98"/>
      <c r="G86" s="26"/>
      <c r="H86" s="97"/>
      <c r="I86" s="92"/>
      <c r="J86" s="98"/>
      <c r="K86" s="26"/>
      <c r="L86" s="97"/>
      <c r="M86" s="92"/>
      <c r="N86" s="98"/>
      <c r="O86" s="26"/>
      <c r="P86" s="80"/>
      <c r="Q86" s="26"/>
    </row>
    <row r="87" spans="2:17">
      <c r="B87" s="27" t="s">
        <v>174</v>
      </c>
      <c r="C87" s="26"/>
      <c r="D87" s="97"/>
      <c r="E87" s="92"/>
      <c r="F87" s="98"/>
      <c r="G87" s="26"/>
      <c r="H87" s="97"/>
      <c r="I87" s="92"/>
      <c r="J87" s="98"/>
      <c r="K87" s="26"/>
      <c r="L87" s="97"/>
      <c r="M87" s="92"/>
      <c r="N87" s="98"/>
      <c r="O87" s="26"/>
      <c r="P87" s="80"/>
      <c r="Q87" s="26"/>
    </row>
    <row r="88" spans="2:17">
      <c r="B88" s="27" t="s">
        <v>175</v>
      </c>
      <c r="C88" s="26"/>
      <c r="D88" s="97"/>
      <c r="E88" s="92"/>
      <c r="F88" s="98"/>
      <c r="G88" s="26"/>
      <c r="H88" s="97"/>
      <c r="I88" s="92"/>
      <c r="J88" s="98"/>
      <c r="K88" s="26"/>
      <c r="L88" s="97"/>
      <c r="M88" s="92"/>
      <c r="N88" s="98"/>
      <c r="O88" s="26"/>
      <c r="P88" s="80"/>
      <c r="Q88" s="26"/>
    </row>
    <row r="89" spans="2:17">
      <c r="B89" s="26"/>
      <c r="C89" s="26"/>
      <c r="D89" s="26"/>
      <c r="E89" s="26"/>
      <c r="F89" s="26"/>
      <c r="G89" s="26"/>
      <c r="H89" s="26"/>
      <c r="I89" s="26"/>
      <c r="J89" s="26"/>
      <c r="K89" s="26"/>
      <c r="L89" s="26"/>
      <c r="M89" s="26"/>
      <c r="N89" s="26"/>
      <c r="O89" s="26"/>
      <c r="P89" s="26"/>
      <c r="Q89" s="26"/>
    </row>
    <row r="90" spans="2:17" ht="13.9" thickBot="1">
      <c r="B90" s="74" t="s">
        <v>146</v>
      </c>
      <c r="C90" s="26"/>
      <c r="D90" s="81">
        <f>SUM(D77:D88)</f>
        <v>0</v>
      </c>
      <c r="E90" s="82">
        <f>IF(D90&lt;&gt;0,F90/D90,0)</f>
        <v>0</v>
      </c>
      <c r="F90" s="83">
        <f>SUM(F77:F88)</f>
        <v>0</v>
      </c>
      <c r="G90" s="26"/>
      <c r="H90" s="81">
        <f>SUM(H77:H88)</f>
        <v>0</v>
      </c>
      <c r="I90" s="82">
        <f>IF(H90&lt;&gt;0,J90/H90,0)</f>
        <v>0</v>
      </c>
      <c r="J90" s="83">
        <f>SUM(J77:J88)</f>
        <v>0</v>
      </c>
      <c r="K90" s="26"/>
      <c r="L90" s="81">
        <f>SUM(L77:L88)</f>
        <v>0</v>
      </c>
      <c r="M90" s="82">
        <f>IF(L90&lt;&gt;0,N90/L90,0)</f>
        <v>0</v>
      </c>
      <c r="N90" s="83">
        <f>SUM(N77:N88)</f>
        <v>0</v>
      </c>
      <c r="O90" s="26"/>
      <c r="P90" s="83">
        <f>SUM(P77:P88)</f>
        <v>0</v>
      </c>
      <c r="Q90" s="26"/>
    </row>
    <row r="91" spans="2:17">
      <c r="B91" s="26"/>
      <c r="C91" s="26"/>
      <c r="D91" s="26"/>
      <c r="E91" s="26"/>
      <c r="F91" s="26"/>
      <c r="G91" s="26"/>
      <c r="H91" s="26"/>
      <c r="I91" s="26"/>
      <c r="J91" s="26"/>
      <c r="K91" s="26"/>
      <c r="L91" s="26"/>
      <c r="M91" s="26"/>
      <c r="N91" s="26"/>
      <c r="O91" s="26"/>
      <c r="P91" s="26"/>
      <c r="Q91" s="26"/>
    </row>
    <row r="92" spans="2:17">
      <c r="B92" s="71" t="s">
        <v>146</v>
      </c>
      <c r="C92" s="72"/>
      <c r="D92" s="247" t="s">
        <v>128</v>
      </c>
      <c r="E92" s="247"/>
      <c r="F92" s="247"/>
      <c r="G92" s="72"/>
      <c r="H92" s="247" t="s">
        <v>158</v>
      </c>
      <c r="I92" s="247"/>
      <c r="J92" s="247"/>
      <c r="K92" s="72"/>
      <c r="L92" s="247" t="s">
        <v>159</v>
      </c>
      <c r="M92" s="247"/>
      <c r="N92" s="247"/>
      <c r="O92" s="72"/>
      <c r="P92" s="71" t="s">
        <v>160</v>
      </c>
      <c r="Q92" s="26"/>
    </row>
    <row r="93" spans="2:17">
      <c r="B93" s="26"/>
      <c r="C93" s="26"/>
      <c r="D93" s="248"/>
      <c r="E93" s="248"/>
      <c r="F93" s="248"/>
      <c r="G93" s="26"/>
      <c r="H93" s="248"/>
      <c r="I93" s="248"/>
      <c r="J93" s="248"/>
      <c r="K93" s="26"/>
      <c r="L93" s="248"/>
      <c r="M93" s="248"/>
      <c r="N93" s="248"/>
      <c r="O93" s="26"/>
      <c r="P93" s="90"/>
      <c r="Q93" s="26"/>
    </row>
    <row r="94" spans="2:17">
      <c r="B94" s="74" t="s">
        <v>161</v>
      </c>
      <c r="C94" s="26"/>
      <c r="D94" s="90" t="s">
        <v>162</v>
      </c>
      <c r="E94" s="90" t="s">
        <v>100</v>
      </c>
      <c r="F94" s="90" t="s">
        <v>163</v>
      </c>
      <c r="G94" s="26"/>
      <c r="H94" s="90" t="s">
        <v>162</v>
      </c>
      <c r="I94" s="90" t="s">
        <v>100</v>
      </c>
      <c r="J94" s="90" t="s">
        <v>163</v>
      </c>
      <c r="K94" s="26"/>
      <c r="L94" s="90" t="s">
        <v>162</v>
      </c>
      <c r="M94" s="90" t="s">
        <v>100</v>
      </c>
      <c r="N94" s="90" t="s">
        <v>163</v>
      </c>
      <c r="O94" s="26"/>
      <c r="P94" s="90" t="s">
        <v>163</v>
      </c>
      <c r="Q94" s="26"/>
    </row>
    <row r="95" spans="2:17">
      <c r="B95" s="26"/>
      <c r="C95" s="26"/>
      <c r="D95" s="26"/>
      <c r="E95" s="26"/>
      <c r="F95" s="26"/>
      <c r="G95" s="26"/>
      <c r="H95" s="26"/>
      <c r="I95" s="26"/>
      <c r="J95" s="26"/>
      <c r="K95" s="26"/>
      <c r="L95" s="26"/>
      <c r="M95" s="26"/>
      <c r="N95" s="26"/>
      <c r="O95" s="26"/>
      <c r="P95" s="26"/>
      <c r="Q95" s="26"/>
    </row>
    <row r="96" spans="2:17">
      <c r="B96" s="27" t="s">
        <v>164</v>
      </c>
      <c r="C96" s="26"/>
      <c r="D96" s="91">
        <f>D20+D39+D58+D77</f>
        <v>639479.01731591066</v>
      </c>
      <c r="E96" s="92">
        <f t="shared" ref="E96:E107" si="14">IF(D96&lt;&gt;0,F96/D96,0)</f>
        <v>6.6682197338146931</v>
      </c>
      <c r="F96" s="80">
        <f>F20+F39+F58+F77</f>
        <v>4264186.6026263833</v>
      </c>
      <c r="G96" s="26"/>
      <c r="H96" s="91">
        <f>H20+H39+H58+H77</f>
        <v>447828.56324285385</v>
      </c>
      <c r="I96" s="92">
        <f t="shared" ref="I96:I107" si="15">IF(H96&lt;&gt;0,J96/H96,0)</f>
        <v>0.92959406285383983</v>
      </c>
      <c r="J96" s="80">
        <f>J20+J39+J58+J77</f>
        <v>416298.77356692229</v>
      </c>
      <c r="K96" s="26"/>
      <c r="L96" s="91">
        <f>L20+L39+L58+L77</f>
        <v>677955.7799830155</v>
      </c>
      <c r="M96" s="92">
        <f t="shared" ref="M96:M107" si="16">IF(L96&lt;&gt;0,N96/L96,0)</f>
        <v>3.9264318517456096</v>
      </c>
      <c r="N96" s="80">
        <f>N20+N39+N58+N77</f>
        <v>2661947.1686003506</v>
      </c>
      <c r="O96" s="26"/>
      <c r="P96" s="80">
        <f t="shared" ref="P96:P107" si="17">J96+N96</f>
        <v>3078245.9421672728</v>
      </c>
      <c r="Q96" s="26"/>
    </row>
    <row r="97" spans="2:17">
      <c r="B97" s="27" t="s">
        <v>165</v>
      </c>
      <c r="C97" s="26"/>
      <c r="D97" s="91">
        <f t="shared" ref="D97:D107" si="18">D21+D40+D59+D78</f>
        <v>633189.59985964536</v>
      </c>
      <c r="E97" s="92">
        <f t="shared" si="14"/>
        <v>6.6632563019432549</v>
      </c>
      <c r="F97" s="80">
        <f t="shared" ref="F97:F107" si="19">F21+F40+F59+F78</f>
        <v>4219104.5915897097</v>
      </c>
      <c r="G97" s="26"/>
      <c r="H97" s="91">
        <f t="shared" ref="H97:H107" si="20">H21+H40+H59+H78</f>
        <v>434179.5947160403</v>
      </c>
      <c r="I97" s="92">
        <f t="shared" si="15"/>
        <v>0.94147852298796453</v>
      </c>
      <c r="J97" s="80">
        <f t="shared" ref="J97:J107" si="21">J21+J40+J59+J78</f>
        <v>408770.76354477066</v>
      </c>
      <c r="K97" s="26"/>
      <c r="L97" s="91">
        <f t="shared" ref="L97:L107" si="22">L21+L40+L59+L78</f>
        <v>655717.98204041494</v>
      </c>
      <c r="M97" s="92">
        <f t="shared" si="16"/>
        <v>3.9256917655713042</v>
      </c>
      <c r="N97" s="80">
        <f t="shared" ref="N97:N107" si="23">N21+N40+N59+N78</f>
        <v>2574146.6826330894</v>
      </c>
      <c r="O97" s="26"/>
      <c r="P97" s="80">
        <f t="shared" si="17"/>
        <v>2982917.4461778598</v>
      </c>
      <c r="Q97" s="26"/>
    </row>
    <row r="98" spans="2:17">
      <c r="B98" s="27" t="s">
        <v>166</v>
      </c>
      <c r="C98" s="26"/>
      <c r="D98" s="91">
        <f t="shared" si="18"/>
        <v>580393.91301784955</v>
      </c>
      <c r="E98" s="92">
        <f t="shared" si="14"/>
        <v>6.7030216583915676</v>
      </c>
      <c r="F98" s="80">
        <f t="shared" si="19"/>
        <v>3890392.9693572773</v>
      </c>
      <c r="G98" s="26"/>
      <c r="H98" s="91">
        <f t="shared" si="20"/>
        <v>391513.17426345748</v>
      </c>
      <c r="I98" s="92">
        <f t="shared" si="15"/>
        <v>0.95082206686546356</v>
      </c>
      <c r="J98" s="80">
        <f t="shared" si="21"/>
        <v>372259.36555823905</v>
      </c>
      <c r="K98" s="26"/>
      <c r="L98" s="91">
        <f t="shared" si="22"/>
        <v>594372.8567294383</v>
      </c>
      <c r="M98" s="92">
        <f t="shared" si="16"/>
        <v>3.9224399955837663</v>
      </c>
      <c r="N98" s="80">
        <f t="shared" si="23"/>
        <v>2331391.8655249286</v>
      </c>
      <c r="O98" s="26"/>
      <c r="P98" s="80">
        <f t="shared" si="17"/>
        <v>2703651.2310831677</v>
      </c>
      <c r="Q98" s="26"/>
    </row>
    <row r="99" spans="2:17">
      <c r="B99" s="27" t="s">
        <v>167</v>
      </c>
      <c r="C99" s="26"/>
      <c r="D99" s="91">
        <f t="shared" si="18"/>
        <v>541367.73343170458</v>
      </c>
      <c r="E99" s="92">
        <f t="shared" si="14"/>
        <v>6.7282081485828646</v>
      </c>
      <c r="F99" s="80">
        <f t="shared" si="19"/>
        <v>3642434.7954550306</v>
      </c>
      <c r="G99" s="26"/>
      <c r="H99" s="91">
        <f t="shared" si="20"/>
        <v>364932.34480473975</v>
      </c>
      <c r="I99" s="92">
        <f t="shared" si="15"/>
        <v>0.95496554186256499</v>
      </c>
      <c r="J99" s="80">
        <f t="shared" si="21"/>
        <v>348497.81439963472</v>
      </c>
      <c r="K99" s="26"/>
      <c r="L99" s="91">
        <f t="shared" si="22"/>
        <v>548426.50704130204</v>
      </c>
      <c r="M99" s="92">
        <f t="shared" si="16"/>
        <v>3.9201812602470514</v>
      </c>
      <c r="N99" s="80">
        <f t="shared" si="23"/>
        <v>2149931.3155260598</v>
      </c>
      <c r="O99" s="26"/>
      <c r="P99" s="80">
        <f t="shared" si="17"/>
        <v>2498429.1299256943</v>
      </c>
      <c r="Q99" s="26"/>
    </row>
    <row r="100" spans="2:17">
      <c r="B100" s="27" t="s">
        <v>168</v>
      </c>
      <c r="C100" s="26"/>
      <c r="D100" s="91">
        <f t="shared" si="18"/>
        <v>651621.77687117667</v>
      </c>
      <c r="E100" s="92">
        <f t="shared" si="14"/>
        <v>6.7405368957723013</v>
      </c>
      <c r="F100" s="80">
        <f t="shared" si="19"/>
        <v>4392280.6290888721</v>
      </c>
      <c r="G100" s="26"/>
      <c r="H100" s="91">
        <f t="shared" si="20"/>
        <v>440436.04450382979</v>
      </c>
      <c r="I100" s="92">
        <f t="shared" si="15"/>
        <v>0.9725610118193786</v>
      </c>
      <c r="J100" s="80">
        <f t="shared" si="21"/>
        <v>428350.92508436955</v>
      </c>
      <c r="K100" s="26"/>
      <c r="L100" s="91">
        <f t="shared" si="22"/>
        <v>666052.99232980772</v>
      </c>
      <c r="M100" s="92">
        <f t="shared" si="16"/>
        <v>3.9177758041638575</v>
      </c>
      <c r="N100" s="80">
        <f t="shared" si="23"/>
        <v>2609446.2976406561</v>
      </c>
      <c r="O100" s="26"/>
      <c r="P100" s="80">
        <f t="shared" si="17"/>
        <v>3037797.2227250258</v>
      </c>
      <c r="Q100" s="26"/>
    </row>
    <row r="101" spans="2:17">
      <c r="B101" s="27" t="s">
        <v>169</v>
      </c>
      <c r="C101" s="26"/>
      <c r="D101" s="91">
        <f t="shared" si="18"/>
        <v>782084.53675300744</v>
      </c>
      <c r="E101" s="92">
        <f t="shared" si="14"/>
        <v>6.7085002239741724</v>
      </c>
      <c r="F101" s="80">
        <f t="shared" si="19"/>
        <v>5246614.2899742872</v>
      </c>
      <c r="G101" s="26"/>
      <c r="H101" s="91">
        <f t="shared" si="20"/>
        <v>573246.65073672915</v>
      </c>
      <c r="I101" s="92">
        <f t="shared" si="15"/>
        <v>0.96483799808809012</v>
      </c>
      <c r="J101" s="80">
        <f t="shared" si="21"/>
        <v>553090.15090752835</v>
      </c>
      <c r="K101" s="26"/>
      <c r="L101" s="91">
        <f t="shared" si="22"/>
        <v>821708.12542749313</v>
      </c>
      <c r="M101" s="92">
        <f t="shared" si="16"/>
        <v>3.9201097985236424</v>
      </c>
      <c r="N101" s="80">
        <f t="shared" si="23"/>
        <v>3221186.0740148099</v>
      </c>
      <c r="O101" s="26"/>
      <c r="P101" s="80">
        <f t="shared" si="17"/>
        <v>3774276.2249223385</v>
      </c>
      <c r="Q101" s="26"/>
    </row>
    <row r="102" spans="2:17">
      <c r="B102" s="27" t="s">
        <v>170</v>
      </c>
      <c r="C102" s="26"/>
      <c r="D102" s="91">
        <f t="shared" si="18"/>
        <v>807306.80419272464</v>
      </c>
      <c r="E102" s="92">
        <f t="shared" si="14"/>
        <v>6.7437228493198926</v>
      </c>
      <c r="F102" s="80">
        <f t="shared" si="19"/>
        <v>5444253.341845898</v>
      </c>
      <c r="G102" s="26"/>
      <c r="H102" s="91">
        <f t="shared" si="20"/>
        <v>564716.57054638839</v>
      </c>
      <c r="I102" s="92">
        <f t="shared" si="15"/>
        <v>0.97606997903849335</v>
      </c>
      <c r="J102" s="80">
        <f t="shared" si="21"/>
        <v>551202.89117590315</v>
      </c>
      <c r="K102" s="26"/>
      <c r="L102" s="91">
        <f t="shared" si="22"/>
        <v>820734.25254071492</v>
      </c>
      <c r="M102" s="92">
        <f t="shared" si="16"/>
        <v>3.9174007627337248</v>
      </c>
      <c r="N102" s="80">
        <f t="shared" si="23"/>
        <v>3215144.98690469</v>
      </c>
      <c r="O102" s="26"/>
      <c r="P102" s="80">
        <f t="shared" si="17"/>
        <v>3766347.8780805934</v>
      </c>
      <c r="Q102" s="26"/>
    </row>
    <row r="103" spans="2:17">
      <c r="B103" s="27" t="s">
        <v>171</v>
      </c>
      <c r="C103" s="26"/>
      <c r="D103" s="91">
        <f t="shared" si="18"/>
        <v>823872.52693516109</v>
      </c>
      <c r="E103" s="92">
        <f t="shared" si="14"/>
        <v>6.7142910544518291</v>
      </c>
      <c r="F103" s="80">
        <f t="shared" si="19"/>
        <v>5531719.9376093755</v>
      </c>
      <c r="G103" s="26"/>
      <c r="H103" s="91">
        <f t="shared" si="20"/>
        <v>548710.35844576824</v>
      </c>
      <c r="I103" s="92">
        <f t="shared" si="15"/>
        <v>0.97569007323063395</v>
      </c>
      <c r="J103" s="80">
        <f t="shared" si="21"/>
        <v>535371.24981435901</v>
      </c>
      <c r="K103" s="26"/>
      <c r="L103" s="91">
        <f t="shared" si="22"/>
        <v>845821.91858415667</v>
      </c>
      <c r="M103" s="92">
        <f t="shared" si="16"/>
        <v>3.9206672452512588</v>
      </c>
      <c r="N103" s="80">
        <f t="shared" si="23"/>
        <v>3316186.29150848</v>
      </c>
      <c r="O103" s="26"/>
      <c r="P103" s="80">
        <f t="shared" si="17"/>
        <v>3851557.541322839</v>
      </c>
      <c r="Q103" s="26"/>
    </row>
    <row r="104" spans="2:17">
      <c r="B104" s="27" t="s">
        <v>172</v>
      </c>
      <c r="C104" s="26"/>
      <c r="D104" s="91">
        <f t="shared" si="18"/>
        <v>703915.375629863</v>
      </c>
      <c r="E104" s="92">
        <f t="shared" si="14"/>
        <v>6.7246873766853223</v>
      </c>
      <c r="F104" s="80">
        <f t="shared" si="19"/>
        <v>4733610.8407528466</v>
      </c>
      <c r="G104" s="26"/>
      <c r="H104" s="91">
        <f t="shared" si="20"/>
        <v>459218.52786791872</v>
      </c>
      <c r="I104" s="92">
        <f t="shared" si="15"/>
        <v>0.97079360888268174</v>
      </c>
      <c r="J104" s="80">
        <f t="shared" si="21"/>
        <v>445806.41193468915</v>
      </c>
      <c r="K104" s="26"/>
      <c r="L104" s="91">
        <f t="shared" si="22"/>
        <v>706557.11183039332</v>
      </c>
      <c r="M104" s="92">
        <f t="shared" si="16"/>
        <v>3.9203039536368616</v>
      </c>
      <c r="N104" s="80">
        <f t="shared" si="23"/>
        <v>2769918.638978933</v>
      </c>
      <c r="O104" s="26"/>
      <c r="P104" s="80">
        <f t="shared" si="17"/>
        <v>3215725.0509136221</v>
      </c>
      <c r="Q104" s="26"/>
    </row>
    <row r="105" spans="2:17">
      <c r="B105" s="27" t="s">
        <v>173</v>
      </c>
      <c r="C105" s="26"/>
      <c r="D105" s="91">
        <f t="shared" si="18"/>
        <v>583192.95872701262</v>
      </c>
      <c r="E105" s="92">
        <f t="shared" si="14"/>
        <v>6.717768575138642</v>
      </c>
      <c r="F105" s="80">
        <f t="shared" si="19"/>
        <v>3917755.3313784525</v>
      </c>
      <c r="G105" s="26"/>
      <c r="H105" s="91">
        <f t="shared" si="20"/>
        <v>437759.91446807864</v>
      </c>
      <c r="I105" s="92">
        <f t="shared" si="15"/>
        <v>0.98871586166878656</v>
      </c>
      <c r="J105" s="80">
        <f t="shared" si="21"/>
        <v>432820.17103736068</v>
      </c>
      <c r="K105" s="26"/>
      <c r="L105" s="91">
        <f t="shared" si="22"/>
        <v>602275.63360757579</v>
      </c>
      <c r="M105" s="92">
        <f t="shared" si="16"/>
        <v>3.920016268453971</v>
      </c>
      <c r="N105" s="80">
        <f t="shared" si="23"/>
        <v>2360930.2818351202</v>
      </c>
      <c r="O105" s="26"/>
      <c r="P105" s="80">
        <f t="shared" si="17"/>
        <v>2793750.4528724807</v>
      </c>
      <c r="Q105" s="26"/>
    </row>
    <row r="106" spans="2:17">
      <c r="B106" s="27" t="s">
        <v>174</v>
      </c>
      <c r="C106" s="26"/>
      <c r="D106" s="91">
        <f t="shared" si="18"/>
        <v>591772.02608670841</v>
      </c>
      <c r="E106" s="92">
        <f t="shared" si="14"/>
        <v>6.6870386749054447</v>
      </c>
      <c r="F106" s="80">
        <f t="shared" si="19"/>
        <v>3957202.4251689729</v>
      </c>
      <c r="G106" s="26"/>
      <c r="H106" s="91">
        <f t="shared" si="20"/>
        <v>400558.42125984759</v>
      </c>
      <c r="I106" s="92">
        <f t="shared" si="15"/>
        <v>0.95456294685400933</v>
      </c>
      <c r="J106" s="80">
        <f t="shared" si="21"/>
        <v>382358.22698498977</v>
      </c>
      <c r="K106" s="26"/>
      <c r="L106" s="91">
        <f t="shared" si="22"/>
        <v>575518.7775836424</v>
      </c>
      <c r="M106" s="92">
        <f t="shared" si="16"/>
        <v>3.9268920310988209</v>
      </c>
      <c r="N106" s="80">
        <f t="shared" si="23"/>
        <v>2260000.1014409401</v>
      </c>
      <c r="O106" s="26"/>
      <c r="P106" s="80">
        <f t="shared" si="17"/>
        <v>2642358.3284259299</v>
      </c>
      <c r="Q106" s="26"/>
    </row>
    <row r="107" spans="2:17">
      <c r="B107" s="27" t="s">
        <v>175</v>
      </c>
      <c r="C107" s="26"/>
      <c r="D107" s="91">
        <f t="shared" si="18"/>
        <v>628661.36566669797</v>
      </c>
      <c r="E107" s="92">
        <f t="shared" si="14"/>
        <v>6.7013104890102149</v>
      </c>
      <c r="F107" s="80">
        <f t="shared" si="19"/>
        <v>4212855.0037777293</v>
      </c>
      <c r="G107" s="26"/>
      <c r="H107" s="91">
        <f t="shared" si="20"/>
        <v>462126.09491637081</v>
      </c>
      <c r="I107" s="92">
        <f t="shared" si="15"/>
        <v>0.96606155594016785</v>
      </c>
      <c r="J107" s="80">
        <f t="shared" si="21"/>
        <v>446442.25429546286</v>
      </c>
      <c r="K107" s="26"/>
      <c r="L107" s="91">
        <f t="shared" si="22"/>
        <v>634174.58358036645</v>
      </c>
      <c r="M107" s="92">
        <f t="shared" si="16"/>
        <v>3.9237289936961099</v>
      </c>
      <c r="N107" s="80">
        <f t="shared" si="23"/>
        <v>2488329.2006594408</v>
      </c>
      <c r="O107" s="26"/>
      <c r="P107" s="80">
        <f t="shared" si="17"/>
        <v>2934771.4549549036</v>
      </c>
      <c r="Q107" s="26"/>
    </row>
    <row r="108" spans="2:17">
      <c r="B108" s="26"/>
      <c r="C108" s="26"/>
      <c r="D108" s="26"/>
      <c r="E108" s="26"/>
      <c r="F108" s="26"/>
      <c r="G108" s="26"/>
      <c r="H108" s="26"/>
      <c r="I108" s="26"/>
      <c r="J108" s="26"/>
      <c r="K108" s="26"/>
      <c r="L108" s="26"/>
      <c r="M108" s="26"/>
      <c r="N108" s="26"/>
      <c r="O108" s="26"/>
      <c r="P108" s="80"/>
      <c r="Q108" s="26"/>
    </row>
    <row r="109" spans="2:17" ht="13.9" thickBot="1">
      <c r="B109" s="74" t="s">
        <v>146</v>
      </c>
      <c r="C109" s="26"/>
      <c r="D109" s="81">
        <f>SUM(D96:D107)</f>
        <v>7966857.6344874613</v>
      </c>
      <c r="E109" s="82">
        <f>IF(D109&lt;&gt;0,F109/D109,0)</f>
        <v>6.709346797818565</v>
      </c>
      <c r="F109" s="83">
        <f>SUM(F96:F107)</f>
        <v>53452410.758624837</v>
      </c>
      <c r="G109" s="26"/>
      <c r="H109" s="81">
        <f>SUM(H96:H107)</f>
        <v>5525226.2597720232</v>
      </c>
      <c r="I109" s="82">
        <f>IF(H109&lt;&gt;0,J109/H109,0)</f>
        <v>0.96308617025283427</v>
      </c>
      <c r="J109" s="83">
        <f>SUM(J96:J107)</f>
        <v>5321268.9983042292</v>
      </c>
      <c r="K109" s="26"/>
      <c r="L109" s="81">
        <f>SUM(L96:L107)</f>
        <v>8149316.5212783208</v>
      </c>
      <c r="M109" s="82">
        <f>IF(L109&lt;&gt;0,N109/L109,0)</f>
        <v>3.9216244481143807</v>
      </c>
      <c r="N109" s="83">
        <f>SUM(N96:N107)</f>
        <v>31958558.905267499</v>
      </c>
      <c r="O109" s="26"/>
      <c r="P109" s="83">
        <f>SUM(P96:P107)</f>
        <v>37279827.903571725</v>
      </c>
      <c r="Q109" s="26"/>
    </row>
    <row r="111" spans="2:17">
      <c r="N111" s="94" t="s">
        <v>180</v>
      </c>
      <c r="P111" s="95" t="e">
        <f>#REF!</f>
        <v>#REF!</v>
      </c>
    </row>
    <row r="113" spans="14:16" ht="13.9" thickBot="1">
      <c r="N113" s="96" t="s">
        <v>181</v>
      </c>
      <c r="P113" s="83" t="e">
        <f>P109+P111</f>
        <v>#REF!</v>
      </c>
    </row>
  </sheetData>
  <mergeCells count="22">
    <mergeCell ref="D93:F93"/>
    <mergeCell ref="H93:J93"/>
    <mergeCell ref="L93:N93"/>
    <mergeCell ref="D73:F73"/>
    <mergeCell ref="H73:J73"/>
    <mergeCell ref="L73:N73"/>
    <mergeCell ref="D92:F92"/>
    <mergeCell ref="H92:J92"/>
    <mergeCell ref="L92:N92"/>
    <mergeCell ref="D35:F35"/>
    <mergeCell ref="H35:J35"/>
    <mergeCell ref="L35:N35"/>
    <mergeCell ref="D54:F54"/>
    <mergeCell ref="H54:J54"/>
    <mergeCell ref="L54:N54"/>
    <mergeCell ref="B13:P13"/>
    <mergeCell ref="D16:F16"/>
    <mergeCell ref="H16:J16"/>
    <mergeCell ref="L16:N16"/>
    <mergeCell ref="D17:F17"/>
    <mergeCell ref="H17:J17"/>
    <mergeCell ref="L17:N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59113-E2D8-4CBF-B3CB-4EFBB372C9D6}">
  <dimension ref="A3:M49"/>
  <sheetViews>
    <sheetView topLeftCell="B7" workbookViewId="0">
      <selection activeCell="F15" sqref="F15"/>
    </sheetView>
  </sheetViews>
  <sheetFormatPr defaultColWidth="9.28515625" defaultRowHeight="13.15"/>
  <cols>
    <col min="1" max="1" width="56.7109375" style="1" customWidth="1"/>
    <col min="2" max="2" width="79.7109375" style="1" customWidth="1"/>
    <col min="3" max="3" width="9.28515625" style="99"/>
    <col min="4" max="4" width="16.28515625" style="99" customWidth="1"/>
    <col min="5" max="5" width="17.42578125" style="99" customWidth="1"/>
    <col min="6" max="6" width="16.28515625" style="99" customWidth="1"/>
    <col min="7" max="7" width="14.5703125" style="99" customWidth="1"/>
    <col min="8" max="8" width="11.5703125" style="99" customWidth="1"/>
    <col min="9" max="9" width="14.28515625" style="99" customWidth="1"/>
    <col min="10" max="10" width="14.42578125" style="99" customWidth="1"/>
    <col min="11" max="11" width="9.28515625" style="1"/>
    <col min="12" max="12" width="14.28515625" style="1" customWidth="1"/>
    <col min="13" max="13" width="12.140625" style="1" customWidth="1"/>
    <col min="14" max="16384" width="9.28515625" style="1"/>
  </cols>
  <sheetData>
    <row r="3" spans="1:13">
      <c r="D3" s="100"/>
      <c r="E3" s="101"/>
      <c r="F3" s="101"/>
      <c r="G3" s="101"/>
      <c r="H3" s="102"/>
      <c r="I3" s="101"/>
      <c r="J3" s="100"/>
    </row>
    <row r="4" spans="1:13">
      <c r="D4" s="100"/>
      <c r="E4" s="101"/>
      <c r="F4" s="101"/>
      <c r="G4" s="101"/>
      <c r="H4" s="102"/>
      <c r="I4" s="101"/>
      <c r="J4" s="100"/>
    </row>
    <row r="5" spans="1:13">
      <c r="D5" s="100"/>
      <c r="E5" s="101"/>
      <c r="F5" s="101"/>
      <c r="G5" s="101"/>
      <c r="H5" s="102"/>
      <c r="I5" s="101"/>
      <c r="J5" s="100"/>
    </row>
    <row r="6" spans="1:13">
      <c r="D6" s="100"/>
      <c r="E6" s="101"/>
      <c r="F6" s="101"/>
      <c r="G6" s="101"/>
      <c r="H6" s="102"/>
      <c r="I6" s="101"/>
      <c r="J6" s="100"/>
    </row>
    <row r="7" spans="1:13">
      <c r="D7" s="100"/>
      <c r="E7" s="101"/>
      <c r="F7" s="101"/>
      <c r="G7" s="101"/>
      <c r="H7" s="102"/>
      <c r="I7" s="101"/>
      <c r="J7" s="100"/>
    </row>
    <row r="8" spans="1:13">
      <c r="D8" s="100"/>
      <c r="E8" s="101"/>
      <c r="F8" s="101"/>
      <c r="G8" s="101"/>
      <c r="H8" s="102"/>
      <c r="I8" s="101"/>
      <c r="J8" s="100"/>
    </row>
    <row r="9" spans="1:13">
      <c r="D9" s="100"/>
      <c r="E9" s="101"/>
      <c r="F9" s="101"/>
      <c r="G9" s="101"/>
      <c r="H9" s="102"/>
      <c r="I9" s="101"/>
      <c r="J9" s="100"/>
    </row>
    <row r="10" spans="1:13">
      <c r="D10" s="100"/>
      <c r="E10" s="101"/>
      <c r="F10" s="101"/>
      <c r="G10" s="101"/>
      <c r="H10" s="102"/>
      <c r="I10" s="101"/>
      <c r="J10" s="100"/>
    </row>
    <row r="11" spans="1:13">
      <c r="D11" s="100"/>
      <c r="E11" s="101"/>
      <c r="F11" s="101"/>
      <c r="G11" s="101"/>
      <c r="H11" s="102"/>
      <c r="I11" s="101"/>
      <c r="J11" s="100"/>
    </row>
    <row r="12" spans="1:13">
      <c r="D12" s="100"/>
      <c r="E12" s="101"/>
      <c r="F12" s="101"/>
      <c r="G12" s="101"/>
      <c r="H12" s="102"/>
      <c r="I12" s="101"/>
      <c r="J12" s="100"/>
    </row>
    <row r="13" spans="1:13" ht="15.6">
      <c r="A13" s="103" t="s">
        <v>183</v>
      </c>
      <c r="D13" s="100"/>
      <c r="E13" s="101"/>
      <c r="F13" s="101"/>
      <c r="G13" s="101"/>
      <c r="H13" s="102"/>
      <c r="I13" s="101"/>
      <c r="J13" s="100"/>
    </row>
    <row r="14" spans="1:13">
      <c r="D14" s="100"/>
      <c r="E14" s="101"/>
      <c r="F14" s="101"/>
      <c r="G14" s="101"/>
      <c r="H14" s="102"/>
      <c r="I14" s="101"/>
      <c r="J14" s="100"/>
    </row>
    <row r="15" spans="1:13" ht="46.9">
      <c r="A15" s="104" t="s">
        <v>97</v>
      </c>
      <c r="B15" s="104" t="s">
        <v>98</v>
      </c>
      <c r="C15" s="105" t="s">
        <v>99</v>
      </c>
      <c r="D15" s="106" t="s">
        <v>186</v>
      </c>
      <c r="E15" s="107" t="s">
        <v>104</v>
      </c>
      <c r="F15" s="108" t="s">
        <v>187</v>
      </c>
      <c r="G15" s="109" t="s">
        <v>188</v>
      </c>
      <c r="H15" s="110" t="s">
        <v>189</v>
      </c>
      <c r="I15" s="108" t="s">
        <v>190</v>
      </c>
      <c r="J15" s="111" t="s">
        <v>191</v>
      </c>
    </row>
    <row r="16" spans="1:13">
      <c r="G16" s="112"/>
      <c r="M16" s="118"/>
    </row>
    <row r="17" spans="1:13">
      <c r="A17" s="1" t="s">
        <v>106</v>
      </c>
      <c r="B17" s="1" t="s">
        <v>107</v>
      </c>
      <c r="C17" s="99" t="s">
        <v>108</v>
      </c>
      <c r="D17" s="100">
        <f>'8. RTSR Rates to Forecast 2027'!J17</f>
        <v>1.24E-2</v>
      </c>
      <c r="E17" s="112">
        <f>'3. RRR Data 2028'!H17</f>
        <v>1576555026.2994063</v>
      </c>
      <c r="F17" s="112">
        <f>'3. RRR Data 2028'!F17</f>
        <v>0</v>
      </c>
      <c r="G17" s="112">
        <f>IF(D17*E17=0,ROUND(D17*F17,2),ROUND(D17*E17,2))</f>
        <v>19549282.329999998</v>
      </c>
      <c r="H17" s="113">
        <f t="shared" ref="H17:H28" si="0">G17/$G$28</f>
        <v>0.38757523690423701</v>
      </c>
      <c r="I17" s="112">
        <f>H17*$I$28</f>
        <v>20716830.762876607</v>
      </c>
      <c r="J17" s="100">
        <f>IF(I17*E17=0,ROUND(I17/F17,4),ROUND(I17/E17,4))</f>
        <v>1.3100000000000001E-2</v>
      </c>
      <c r="K17" s="120"/>
      <c r="L17" s="123"/>
      <c r="M17" s="118"/>
    </row>
    <row r="18" spans="1:13">
      <c r="A18" s="1" t="s">
        <v>110</v>
      </c>
      <c r="B18" s="1" t="s">
        <v>107</v>
      </c>
      <c r="C18" s="99" t="s">
        <v>108</v>
      </c>
      <c r="D18" s="100">
        <f>'8. RTSR Rates to Forecast 2027'!J18</f>
        <v>1.2500000000000001E-2</v>
      </c>
      <c r="E18" s="112">
        <f>'3. RRR Data 2028'!H19</f>
        <v>14011910.310913574</v>
      </c>
      <c r="F18" s="112">
        <f>'3. RRR Data 2028'!F19</f>
        <v>0</v>
      </c>
      <c r="G18" s="112">
        <f t="shared" ref="G18:G27" si="1">IF(D18*E18=0,ROUND(D18*F18,2),ROUND(D18*E18,2))</f>
        <v>175148.88</v>
      </c>
      <c r="H18" s="113">
        <f t="shared" si="0"/>
        <v>3.4724225428643543E-3</v>
      </c>
      <c r="I18" s="112">
        <f t="shared" ref="I18:I27" si="2">H18*$I$28</f>
        <v>185609.35608869404</v>
      </c>
      <c r="J18" s="100">
        <f t="shared" ref="J18:J27" si="3">IF(I18*E18=0,ROUND(I18/F18,4),ROUND(I18/E18,4))</f>
        <v>1.32E-2</v>
      </c>
      <c r="K18" s="120"/>
      <c r="L18" s="123"/>
      <c r="M18" s="118"/>
    </row>
    <row r="19" spans="1:13">
      <c r="A19" s="1" t="s">
        <v>111</v>
      </c>
      <c r="B19" s="1" t="s">
        <v>107</v>
      </c>
      <c r="C19" s="99" t="s">
        <v>108</v>
      </c>
      <c r="D19" s="100">
        <f>'8. RTSR Rates to Forecast 2027'!J19</f>
        <v>1.1299999999999999E-2</v>
      </c>
      <c r="E19" s="112">
        <f>'3. RRR Data 2028'!H21</f>
        <v>372958560.74276996</v>
      </c>
      <c r="F19" s="112">
        <f>'3. RRR Data 2028'!F21</f>
        <v>0</v>
      </c>
      <c r="G19" s="112">
        <f t="shared" si="1"/>
        <v>4214431.74</v>
      </c>
      <c r="H19" s="113">
        <f t="shared" si="0"/>
        <v>8.3553419121715461E-2</v>
      </c>
      <c r="I19" s="112">
        <f t="shared" si="2"/>
        <v>4466131.6791814733</v>
      </c>
      <c r="J19" s="100">
        <f t="shared" si="3"/>
        <v>1.2E-2</v>
      </c>
      <c r="K19" s="120"/>
      <c r="L19" s="123"/>
      <c r="M19" s="118"/>
    </row>
    <row r="20" spans="1:13">
      <c r="A20" s="1" t="s">
        <v>112</v>
      </c>
      <c r="B20" s="1" t="s">
        <v>107</v>
      </c>
      <c r="C20" s="99" t="s">
        <v>113</v>
      </c>
      <c r="D20" s="100">
        <f>'8. RTSR Rates to Forecast 2027'!J20</f>
        <v>5.2011000000000003</v>
      </c>
      <c r="E20" s="112"/>
      <c r="F20" s="112">
        <f>'3. RRR Data 2028'!F23</f>
        <v>3409059.0375871384</v>
      </c>
      <c r="G20" s="112">
        <f t="shared" si="1"/>
        <v>17730856.960000001</v>
      </c>
      <c r="H20" s="113">
        <f t="shared" si="0"/>
        <v>0.35152395728826435</v>
      </c>
      <c r="I20" s="112">
        <f t="shared" si="2"/>
        <v>18789802.956469599</v>
      </c>
      <c r="J20" s="100">
        <f t="shared" si="3"/>
        <v>5.5117000000000003</v>
      </c>
      <c r="K20" s="120"/>
      <c r="L20" s="123"/>
      <c r="M20" s="118"/>
    </row>
    <row r="21" spans="1:13">
      <c r="A21" s="1" t="s">
        <v>112</v>
      </c>
      <c r="B21" s="1" t="s">
        <v>114</v>
      </c>
      <c r="C21" s="99" t="s">
        <v>113</v>
      </c>
      <c r="D21" s="100">
        <f>'8. RTSR Rates to Forecast 2027'!J21</f>
        <v>0.88729999999999998</v>
      </c>
      <c r="E21" s="112"/>
      <c r="F21" s="112">
        <f>'3. RRR Data 2028'!F25</f>
        <v>49689.717224809036</v>
      </c>
      <c r="G21" s="112">
        <f t="shared" si="1"/>
        <v>44089.69</v>
      </c>
      <c r="H21" s="113">
        <f t="shared" si="0"/>
        <v>8.7410226924603289E-4</v>
      </c>
      <c r="I21" s="112">
        <f t="shared" si="2"/>
        <v>46722.873540785033</v>
      </c>
      <c r="J21" s="100">
        <f t="shared" si="3"/>
        <v>0.94030000000000002</v>
      </c>
      <c r="K21" s="120"/>
      <c r="L21" s="123"/>
      <c r="M21" s="118"/>
    </row>
    <row r="22" spans="1:13">
      <c r="A22" s="1" t="s">
        <v>116</v>
      </c>
      <c r="B22" s="1" t="s">
        <v>107</v>
      </c>
      <c r="C22" s="99" t="s">
        <v>113</v>
      </c>
      <c r="D22" s="100">
        <f>'8. RTSR Rates to Forecast 2027'!J22</f>
        <v>5.4752000000000001</v>
      </c>
      <c r="E22" s="112"/>
      <c r="F22" s="112">
        <f>'3. RRR Data 2028'!F27</f>
        <v>629794.28788087575</v>
      </c>
      <c r="G22" s="112">
        <f t="shared" si="1"/>
        <v>3448249.69</v>
      </c>
      <c r="H22" s="113">
        <f t="shared" si="0"/>
        <v>6.8363440045868529E-2</v>
      </c>
      <c r="I22" s="112">
        <f t="shared" si="2"/>
        <v>3654190.678204387</v>
      </c>
      <c r="J22" s="100">
        <f t="shared" si="3"/>
        <v>5.8022</v>
      </c>
      <c r="K22" s="120"/>
      <c r="L22" s="123"/>
      <c r="M22" s="118"/>
    </row>
    <row r="23" spans="1:13">
      <c r="A23" s="1" t="s">
        <v>116</v>
      </c>
      <c r="B23" s="1" t="s">
        <v>114</v>
      </c>
      <c r="C23" s="99" t="s">
        <v>113</v>
      </c>
      <c r="D23" s="100">
        <f>D22*0.17</f>
        <v>0.93078400000000006</v>
      </c>
      <c r="E23" s="112"/>
      <c r="F23" s="112"/>
      <c r="G23" s="112"/>
      <c r="H23" s="113">
        <f t="shared" si="0"/>
        <v>0</v>
      </c>
      <c r="I23" s="112">
        <f t="shared" si="2"/>
        <v>0</v>
      </c>
      <c r="J23" s="100" t="e">
        <f t="shared" si="3"/>
        <v>#DIV/0!</v>
      </c>
      <c r="K23" s="120"/>
      <c r="L23" s="123"/>
      <c r="M23" s="118"/>
    </row>
    <row r="24" spans="1:13">
      <c r="A24" s="1" t="s">
        <v>119</v>
      </c>
      <c r="B24" s="1" t="s">
        <v>107</v>
      </c>
      <c r="C24" s="99" t="s">
        <v>113</v>
      </c>
      <c r="D24" s="100">
        <f>'8. RTSR Rates to Forecast 2027'!J24</f>
        <v>5.8710000000000004</v>
      </c>
      <c r="E24" s="112"/>
      <c r="F24" s="112">
        <f>'3. RRR Data 2028'!F31</f>
        <v>859120.04118846369</v>
      </c>
      <c r="G24" s="112">
        <f t="shared" si="1"/>
        <v>5043893.76</v>
      </c>
      <c r="H24" s="113">
        <f t="shared" si="0"/>
        <v>9.9997958285755806E-2</v>
      </c>
      <c r="I24" s="112">
        <f t="shared" si="2"/>
        <v>5345131.9413140509</v>
      </c>
      <c r="J24" s="100">
        <f t="shared" si="3"/>
        <v>6.2215999999999996</v>
      </c>
      <c r="K24" s="120"/>
      <c r="L24" s="123"/>
      <c r="M24" s="118"/>
    </row>
    <row r="25" spans="1:13">
      <c r="A25" s="1" t="s">
        <v>120</v>
      </c>
      <c r="B25" s="1" t="s">
        <v>107</v>
      </c>
      <c r="C25" s="99" t="s">
        <v>108</v>
      </c>
      <c r="D25" s="100">
        <f>'8. RTSR Rates to Forecast 2027'!J25</f>
        <v>1.1299999999999999E-2</v>
      </c>
      <c r="E25" s="112">
        <f>'3. RRR Data 2028'!H33</f>
        <v>6718178.6869876888</v>
      </c>
      <c r="F25" s="112">
        <f>'3. RRR Data 2028'!F33</f>
        <v>0</v>
      </c>
      <c r="G25" s="112">
        <f t="shared" si="1"/>
        <v>75915.42</v>
      </c>
      <c r="H25" s="113">
        <f t="shared" si="0"/>
        <v>1.5050648097722089E-3</v>
      </c>
      <c r="I25" s="112">
        <f t="shared" si="2"/>
        <v>80449.342430295656</v>
      </c>
      <c r="J25" s="100">
        <f t="shared" si="3"/>
        <v>1.2E-2</v>
      </c>
      <c r="K25" s="120"/>
      <c r="L25" s="123"/>
      <c r="M25" s="118"/>
    </row>
    <row r="26" spans="1:13">
      <c r="A26" s="1" t="s">
        <v>121</v>
      </c>
      <c r="B26" s="1" t="s">
        <v>107</v>
      </c>
      <c r="C26" s="99" t="s">
        <v>113</v>
      </c>
      <c r="D26" s="100">
        <f>'8. RTSR Rates to Forecast 2027'!J26</f>
        <v>3.3692000000000002</v>
      </c>
      <c r="E26" s="112"/>
      <c r="F26" s="112">
        <f>'3. RRR Data 2028'!F35</f>
        <v>644.51221350638025</v>
      </c>
      <c r="G26" s="112">
        <f t="shared" si="1"/>
        <v>2171.4899999999998</v>
      </c>
      <c r="H26" s="113">
        <f t="shared" si="0"/>
        <v>4.3050979415937549E-5</v>
      </c>
      <c r="I26" s="112">
        <f t="shared" si="2"/>
        <v>2301.1786353017965</v>
      </c>
      <c r="J26" s="100">
        <f t="shared" si="3"/>
        <v>3.5703999999999998</v>
      </c>
      <c r="K26" s="120"/>
      <c r="L26" s="123"/>
      <c r="M26" s="118"/>
    </row>
    <row r="27" spans="1:13">
      <c r="A27" s="1" t="s">
        <v>122</v>
      </c>
      <c r="B27" s="1" t="s">
        <v>107</v>
      </c>
      <c r="C27" s="99" t="s">
        <v>113</v>
      </c>
      <c r="D27" s="100">
        <f>'8. RTSR Rates to Forecast 2027'!J27</f>
        <v>3.5365000000000002</v>
      </c>
      <c r="E27" s="112"/>
      <c r="F27" s="112">
        <f>'3. RRR Data 2028'!F37</f>
        <v>44090.904046101437</v>
      </c>
      <c r="G27" s="112">
        <f t="shared" si="1"/>
        <v>155927.48000000001</v>
      </c>
      <c r="H27" s="113">
        <f t="shared" si="0"/>
        <v>3.0913477528604853E-3</v>
      </c>
      <c r="I27" s="112">
        <f t="shared" si="2"/>
        <v>165239.9898836505</v>
      </c>
      <c r="J27" s="100">
        <f t="shared" si="3"/>
        <v>3.7477</v>
      </c>
      <c r="K27" s="120"/>
      <c r="L27" s="123"/>
      <c r="M27" s="118"/>
    </row>
    <row r="28" spans="1:13">
      <c r="D28" s="100"/>
      <c r="E28" s="112"/>
      <c r="F28" s="112"/>
      <c r="G28" s="112">
        <f>SUM(G17:G27)</f>
        <v>50439967.43999999</v>
      </c>
      <c r="H28" s="113">
        <f t="shared" si="0"/>
        <v>1</v>
      </c>
      <c r="I28" s="112">
        <f>'7. Forecast Wholesale 2028'!F33+'7. Forecast Wholesale 2028'!F52</f>
        <v>53452410.758624837</v>
      </c>
      <c r="J28" s="100"/>
    </row>
    <row r="30" spans="1:13" ht="15.6">
      <c r="A30" s="103" t="s">
        <v>199</v>
      </c>
    </row>
    <row r="31" spans="1:13" ht="46.9">
      <c r="A31" s="104" t="s">
        <v>97</v>
      </c>
      <c r="B31" s="104" t="s">
        <v>98</v>
      </c>
      <c r="C31" s="105" t="s">
        <v>99</v>
      </c>
      <c r="D31" s="106" t="s">
        <v>200</v>
      </c>
      <c r="E31" s="107" t="s">
        <v>104</v>
      </c>
      <c r="F31" s="108" t="s">
        <v>187</v>
      </c>
      <c r="G31" s="109" t="s">
        <v>188</v>
      </c>
      <c r="H31" s="110" t="s">
        <v>189</v>
      </c>
      <c r="I31" s="108" t="s">
        <v>190</v>
      </c>
      <c r="J31" s="111" t="s">
        <v>201</v>
      </c>
    </row>
    <row r="33" spans="1:13">
      <c r="A33" s="1" t="s">
        <v>106</v>
      </c>
      <c r="B33" s="1" t="s">
        <v>109</v>
      </c>
      <c r="C33" s="99" t="s">
        <v>108</v>
      </c>
      <c r="D33" s="100">
        <f>'8. RTSR Rates to Forecast 2027'!J43</f>
        <v>8.8999999999999999E-3</v>
      </c>
      <c r="E33" s="112">
        <f>'3. RRR Data 2028'!H18</f>
        <v>1576555026.2994063</v>
      </c>
      <c r="F33" s="112">
        <f>'3. RRR Data 2028'!F18</f>
        <v>0</v>
      </c>
      <c r="G33" s="112">
        <f>IF(D33*E33=0,ROUND(D33*F33,2),ROUND(D33*E33,2))</f>
        <v>14031339.73</v>
      </c>
      <c r="H33" s="113">
        <f>G33/$G$44</f>
        <v>0.40096805805385605</v>
      </c>
      <c r="I33" s="112">
        <f>H33*$I$44</f>
        <v>14948020.199077116</v>
      </c>
      <c r="J33" s="100">
        <f>IF(I33*E33=0,ROUND(I33/F33,4),ROUND(I33/E33,4))</f>
        <v>9.4999999999999998E-3</v>
      </c>
      <c r="K33" s="120"/>
      <c r="L33" s="118"/>
      <c r="M33" s="118"/>
    </row>
    <row r="34" spans="1:13">
      <c r="A34" s="1" t="s">
        <v>110</v>
      </c>
      <c r="B34" s="1" t="s">
        <v>109</v>
      </c>
      <c r="C34" s="99" t="s">
        <v>108</v>
      </c>
      <c r="D34" s="100">
        <f>'8. RTSR Rates to Forecast 2027'!J44</f>
        <v>1.0800000000000001E-2</v>
      </c>
      <c r="E34" s="112">
        <f>'3. RRR Data 2028'!H20</f>
        <v>14011910.310913574</v>
      </c>
      <c r="F34" s="112">
        <f>'3. RRR Data 2028'!F20</f>
        <v>0</v>
      </c>
      <c r="G34" s="112">
        <f t="shared" ref="G34:G43" si="4">IF(D34*E34=0,ROUND(D34*F34,2),ROUND(D34*E34,2))</f>
        <v>151328.63</v>
      </c>
      <c r="H34" s="113">
        <f t="shared" ref="H34:H43" si="5">G34/$G$44</f>
        <v>4.3244585382903062E-3</v>
      </c>
      <c r="I34" s="112">
        <f>H34*$I$44</f>
        <v>161215.07008359401</v>
      </c>
      <c r="J34" s="100">
        <f t="shared" ref="J34:J43" si="6">IF(I34*E34=0,ROUND(I34/F34,4),ROUND(I34/E34,4))</f>
        <v>1.15E-2</v>
      </c>
      <c r="K34" s="120"/>
      <c r="L34" s="118"/>
      <c r="M34" s="118"/>
    </row>
    <row r="35" spans="1:13">
      <c r="A35" s="1" t="s">
        <v>111</v>
      </c>
      <c r="B35" s="1" t="s">
        <v>109</v>
      </c>
      <c r="C35" s="99" t="s">
        <v>108</v>
      </c>
      <c r="D35" s="100">
        <f>'8. RTSR Rates to Forecast 2027'!J45</f>
        <v>8.3999999999999995E-3</v>
      </c>
      <c r="E35" s="112">
        <f>'3. RRR Data 2028'!H22</f>
        <v>372958560.74276996</v>
      </c>
      <c r="F35" s="112">
        <f>'3. RRR Data 2028'!F22</f>
        <v>0</v>
      </c>
      <c r="G35" s="112">
        <f t="shared" si="4"/>
        <v>3132851.91</v>
      </c>
      <c r="H35" s="113">
        <f t="shared" si="5"/>
        <v>8.9526272664984766E-2</v>
      </c>
      <c r="I35" s="112">
        <f t="shared" ref="I35:I43" si="7">H35*$I$44</f>
        <v>3337524.0377988708</v>
      </c>
      <c r="J35" s="100">
        <f t="shared" si="6"/>
        <v>8.8999999999999999E-3</v>
      </c>
      <c r="K35" s="120"/>
      <c r="L35" s="118"/>
      <c r="M35" s="118"/>
    </row>
    <row r="36" spans="1:13">
      <c r="A36" s="1" t="s">
        <v>112</v>
      </c>
      <c r="B36" s="1" t="s">
        <v>109</v>
      </c>
      <c r="C36" s="99" t="s">
        <v>113</v>
      </c>
      <c r="D36" s="100">
        <f>'8. RTSR Rates to Forecast 2027'!J46</f>
        <v>3.6648999999999998</v>
      </c>
      <c r="E36" s="112"/>
      <c r="F36" s="112">
        <f>'3. RRR Data 2028'!F24</f>
        <v>3409059.0375871384</v>
      </c>
      <c r="G36" s="112">
        <f t="shared" si="4"/>
        <v>12493860.470000001</v>
      </c>
      <c r="H36" s="113">
        <f t="shared" si="5"/>
        <v>0.35703212000068485</v>
      </c>
      <c r="I36" s="112">
        <f t="shared" si="7"/>
        <v>13310095.989672905</v>
      </c>
      <c r="J36" s="100">
        <f t="shared" si="6"/>
        <v>3.9043000000000001</v>
      </c>
      <c r="K36" s="120"/>
      <c r="L36" s="118"/>
      <c r="M36" s="118"/>
    </row>
    <row r="37" spans="1:13">
      <c r="A37" s="1" t="s">
        <v>112</v>
      </c>
      <c r="B37" s="1" t="s">
        <v>115</v>
      </c>
      <c r="C37" s="99" t="s">
        <v>113</v>
      </c>
      <c r="D37" s="100">
        <f>'8. RTSR Rates to Forecast 2027'!J47</f>
        <v>0.62250000000000005</v>
      </c>
      <c r="E37" s="112"/>
      <c r="F37" s="112">
        <f>'3. RRR Data 2028'!F26</f>
        <v>49689.717224809036</v>
      </c>
      <c r="G37" s="112">
        <f t="shared" si="4"/>
        <v>30931.85</v>
      </c>
      <c r="H37" s="113">
        <f t="shared" si="5"/>
        <v>8.8392727032297197E-4</v>
      </c>
      <c r="I37" s="112">
        <f t="shared" si="7"/>
        <v>32952.656516914329</v>
      </c>
      <c r="J37" s="100">
        <f t="shared" si="6"/>
        <v>0.66320000000000001</v>
      </c>
      <c r="K37" s="120"/>
      <c r="L37" s="118"/>
      <c r="M37" s="118"/>
    </row>
    <row r="38" spans="1:13">
      <c r="A38" s="1" t="s">
        <v>116</v>
      </c>
      <c r="B38" s="1" t="s">
        <v>117</v>
      </c>
      <c r="C38" s="99" t="s">
        <v>113</v>
      </c>
      <c r="D38" s="100">
        <f>'8. RTSR Rates to Forecast 2027'!J48</f>
        <v>2.4565000000000001</v>
      </c>
      <c r="E38" s="112"/>
      <c r="F38" s="112">
        <f>'3. RRR Data 2028'!F28</f>
        <v>629794.28788087575</v>
      </c>
      <c r="G38" s="112">
        <f t="shared" si="4"/>
        <v>1547089.67</v>
      </c>
      <c r="H38" s="113">
        <f t="shared" si="5"/>
        <v>4.4210570947032506E-2</v>
      </c>
      <c r="I38" s="112">
        <f t="shared" si="7"/>
        <v>1648162.4764240205</v>
      </c>
      <c r="J38" s="100">
        <f t="shared" si="6"/>
        <v>2.617</v>
      </c>
      <c r="K38" s="120"/>
      <c r="L38" s="118"/>
      <c r="M38" s="118"/>
    </row>
    <row r="39" spans="1:13">
      <c r="A39" s="1" t="s">
        <v>116</v>
      </c>
      <c r="B39" s="1" t="s">
        <v>118</v>
      </c>
      <c r="C39" s="99" t="s">
        <v>113</v>
      </c>
      <c r="D39" s="100">
        <f>D38*0.17</f>
        <v>0.41760500000000006</v>
      </c>
      <c r="E39" s="112"/>
      <c r="F39" s="112"/>
      <c r="G39" s="112"/>
      <c r="H39" s="113">
        <f t="shared" si="5"/>
        <v>0</v>
      </c>
      <c r="I39" s="112">
        <f t="shared" si="7"/>
        <v>0</v>
      </c>
      <c r="J39" s="100" t="e">
        <f t="shared" si="6"/>
        <v>#DIV/0!</v>
      </c>
      <c r="K39" s="120"/>
      <c r="L39" s="118"/>
      <c r="M39" s="118"/>
    </row>
    <row r="40" spans="1:13">
      <c r="A40" s="1" t="s">
        <v>119</v>
      </c>
      <c r="B40" s="1" t="s">
        <v>117</v>
      </c>
      <c r="C40" s="99" t="s">
        <v>113</v>
      </c>
      <c r="D40" s="100">
        <f>'8. RTSR Rates to Forecast 2027'!J50</f>
        <v>4.0014000000000003</v>
      </c>
      <c r="E40" s="112"/>
      <c r="F40" s="112">
        <f>'3. RRR Data 2028'!F32</f>
        <v>859120.04118846369</v>
      </c>
      <c r="G40" s="112">
        <f t="shared" si="4"/>
        <v>3437682.93</v>
      </c>
      <c r="H40" s="113">
        <f t="shared" si="5"/>
        <v>9.8237308423219968E-2</v>
      </c>
      <c r="I40" s="112">
        <f t="shared" si="7"/>
        <v>3662269.9517277391</v>
      </c>
      <c r="J40" s="100">
        <f t="shared" si="6"/>
        <v>4.2628000000000004</v>
      </c>
      <c r="K40" s="120"/>
      <c r="L40" s="118"/>
      <c r="M40" s="118"/>
    </row>
    <row r="41" spans="1:13">
      <c r="A41" s="1" t="s">
        <v>120</v>
      </c>
      <c r="B41" s="1" t="s">
        <v>109</v>
      </c>
      <c r="C41" s="99" t="s">
        <v>108</v>
      </c>
      <c r="D41" s="100">
        <f>'8. RTSR Rates to Forecast 2027'!J51</f>
        <v>8.3999999999999995E-3</v>
      </c>
      <c r="E41" s="112">
        <f>'3. RRR Data 2028'!H34</f>
        <v>6718178.6869876888</v>
      </c>
      <c r="F41" s="112">
        <f>'3. RRR Data 2028'!F34</f>
        <v>0</v>
      </c>
      <c r="G41" s="112">
        <f t="shared" si="4"/>
        <v>56432.7</v>
      </c>
      <c r="H41" s="113">
        <f t="shared" si="5"/>
        <v>1.6126549969676944E-3</v>
      </c>
      <c r="I41" s="112">
        <f t="shared" si="7"/>
        <v>60119.500754790657</v>
      </c>
      <c r="J41" s="100">
        <f t="shared" si="6"/>
        <v>8.8999999999999999E-3</v>
      </c>
      <c r="K41" s="120"/>
      <c r="L41" s="118"/>
      <c r="M41" s="118"/>
    </row>
    <row r="42" spans="1:13">
      <c r="A42" s="1" t="s">
        <v>121</v>
      </c>
      <c r="B42" s="1" t="s">
        <v>109</v>
      </c>
      <c r="C42" s="99" t="s">
        <v>113</v>
      </c>
      <c r="D42" s="100">
        <f>'8. RTSR Rates to Forecast 2027'!J52</f>
        <v>2.3752</v>
      </c>
      <c r="E42" s="112"/>
      <c r="F42" s="112">
        <f>'3. RRR Data 2028'!F36</f>
        <v>644.51221350638025</v>
      </c>
      <c r="G42" s="112">
        <f t="shared" si="4"/>
        <v>1530.85</v>
      </c>
      <c r="H42" s="113">
        <f t="shared" si="5"/>
        <v>4.3746496306361295E-5</v>
      </c>
      <c r="I42" s="112">
        <f t="shared" si="7"/>
        <v>1630.8618536853858</v>
      </c>
      <c r="J42" s="100">
        <f t="shared" si="6"/>
        <v>2.5304000000000002</v>
      </c>
      <c r="K42" s="120"/>
      <c r="L42" s="118"/>
      <c r="M42" s="118"/>
    </row>
    <row r="43" spans="1:13">
      <c r="A43" s="1" t="s">
        <v>122</v>
      </c>
      <c r="B43" s="1" t="s">
        <v>109</v>
      </c>
      <c r="C43" s="99" t="s">
        <v>113</v>
      </c>
      <c r="D43" s="100">
        <f>'8. RTSR Rates to Forecast 2027'!J53</f>
        <v>2.5087000000000002</v>
      </c>
      <c r="E43" s="112"/>
      <c r="F43" s="112">
        <f>'3. RRR Data 2028'!F38</f>
        <v>44090.904046101437</v>
      </c>
      <c r="G43" s="112">
        <f t="shared" si="4"/>
        <v>110610.85</v>
      </c>
      <c r="H43" s="113">
        <f t="shared" si="5"/>
        <v>3.1608826083342478E-3</v>
      </c>
      <c r="I43" s="112">
        <f t="shared" si="7"/>
        <v>117837.15966209372</v>
      </c>
      <c r="J43" s="100">
        <f t="shared" si="6"/>
        <v>2.6726000000000001</v>
      </c>
      <c r="K43" s="120"/>
      <c r="L43" s="118"/>
      <c r="M43" s="118"/>
    </row>
    <row r="44" spans="1:13">
      <c r="D44" s="100"/>
      <c r="E44" s="112"/>
      <c r="F44" s="112"/>
      <c r="G44" s="112">
        <f>SUM(G33:G43)</f>
        <v>34993659.590000011</v>
      </c>
      <c r="H44" s="113">
        <f>G44/$G$44</f>
        <v>1</v>
      </c>
      <c r="I44" s="112">
        <f>'7. Forecast Wholesale 2028'!P33+'7. Forecast Wholesale 2028'!P52</f>
        <v>37279827.90357174</v>
      </c>
      <c r="J44" s="100"/>
    </row>
    <row r="46" spans="1:13">
      <c r="D46" s="100"/>
      <c r="E46" s="112"/>
      <c r="F46" s="112"/>
      <c r="G46" s="112"/>
      <c r="H46" s="113"/>
      <c r="I46" s="112"/>
      <c r="J46" s="114"/>
    </row>
    <row r="47" spans="1:13">
      <c r="D47" s="100"/>
      <c r="E47" s="112"/>
      <c r="F47" s="112"/>
      <c r="G47" s="112"/>
      <c r="H47" s="113"/>
      <c r="I47" s="112"/>
      <c r="J47" s="114"/>
    </row>
    <row r="48" spans="1:13">
      <c r="D48" s="100"/>
      <c r="E48" s="112"/>
      <c r="F48" s="112"/>
      <c r="G48" s="112"/>
      <c r="H48" s="113"/>
      <c r="I48" s="112"/>
      <c r="J48" s="114"/>
    </row>
    <row r="49" spans="4:10">
      <c r="D49" s="100"/>
      <c r="E49" s="112"/>
      <c r="F49" s="112"/>
      <c r="G49" s="112"/>
      <c r="H49" s="113"/>
      <c r="I49" s="112"/>
      <c r="J49" s="1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2D8C-4FF2-4E00-9646-36DD5875419C}">
  <dimension ref="A13:Q113"/>
  <sheetViews>
    <sheetView topLeftCell="B13" workbookViewId="0">
      <selection activeCell="F15" sqref="F15"/>
    </sheetView>
  </sheetViews>
  <sheetFormatPr defaultColWidth="9.28515625" defaultRowHeight="13.15"/>
  <cols>
    <col min="1" max="1" width="11.7109375" style="1" hidden="1" customWidth="1"/>
    <col min="2" max="2" width="30.28515625" style="1" customWidth="1"/>
    <col min="3" max="3" width="3.7109375" style="1" customWidth="1"/>
    <col min="4" max="4" width="13.7109375" style="1" customWidth="1"/>
    <col min="5" max="5" width="15.28515625" style="1" customWidth="1"/>
    <col min="6" max="6" width="13.7109375" style="1" customWidth="1"/>
    <col min="7" max="7" width="2.7109375" style="1" customWidth="1"/>
    <col min="8" max="8" width="13.7109375" style="1" customWidth="1"/>
    <col min="9" max="9" width="10.28515625" style="1" bestFit="1" customWidth="1"/>
    <col min="10" max="10" width="13.7109375" style="1" customWidth="1"/>
    <col min="11" max="11" width="3.28515625" style="1" customWidth="1"/>
    <col min="12" max="12" width="13.7109375" style="1" customWidth="1"/>
    <col min="13" max="13" width="9.42578125" style="1" bestFit="1" customWidth="1"/>
    <col min="14" max="14" width="13.7109375" style="1" customWidth="1"/>
    <col min="15" max="15" width="3.7109375" style="1" customWidth="1"/>
    <col min="16" max="16" width="18.28515625" style="1" customWidth="1"/>
    <col min="17" max="16384" width="9.28515625" style="1"/>
  </cols>
  <sheetData>
    <row r="13" spans="2:17" ht="18.75" customHeight="1">
      <c r="B13" s="249" t="s">
        <v>182</v>
      </c>
      <c r="C13" s="246"/>
      <c r="D13" s="246"/>
      <c r="E13" s="246"/>
      <c r="F13" s="246"/>
      <c r="G13" s="246"/>
      <c r="H13" s="246"/>
      <c r="I13" s="246"/>
      <c r="J13" s="246"/>
      <c r="K13" s="246"/>
      <c r="L13" s="246"/>
      <c r="M13" s="246"/>
      <c r="N13" s="246"/>
      <c r="O13" s="246"/>
      <c r="P13" s="246"/>
    </row>
    <row r="16" spans="2:17">
      <c r="B16" s="71" t="s">
        <v>157</v>
      </c>
      <c r="C16" s="72"/>
      <c r="D16" s="247" t="s">
        <v>128</v>
      </c>
      <c r="E16" s="247"/>
      <c r="F16" s="247"/>
      <c r="G16" s="72"/>
      <c r="H16" s="247" t="s">
        <v>158</v>
      </c>
      <c r="I16" s="247"/>
      <c r="J16" s="247"/>
      <c r="K16" s="72"/>
      <c r="L16" s="247" t="s">
        <v>159</v>
      </c>
      <c r="M16" s="247"/>
      <c r="N16" s="247"/>
      <c r="O16" s="72"/>
      <c r="P16" s="71" t="s">
        <v>160</v>
      </c>
      <c r="Q16" s="26"/>
    </row>
    <row r="17" spans="2:17" ht="15.6">
      <c r="B17" s="26"/>
      <c r="C17" s="26"/>
      <c r="D17" s="248"/>
      <c r="E17" s="248"/>
      <c r="F17" s="248"/>
      <c r="G17" s="26"/>
      <c r="H17" s="248"/>
      <c r="I17" s="248"/>
      <c r="J17" s="248"/>
      <c r="K17" s="26"/>
      <c r="L17" s="248"/>
      <c r="M17" s="248"/>
      <c r="N17" s="248"/>
      <c r="O17" s="26"/>
      <c r="P17" s="90"/>
      <c r="Q17" s="73"/>
    </row>
    <row r="18" spans="2:17">
      <c r="B18" s="74" t="s">
        <v>161</v>
      </c>
      <c r="C18" s="26"/>
      <c r="D18" s="90" t="s">
        <v>162</v>
      </c>
      <c r="E18" s="90" t="s">
        <v>100</v>
      </c>
      <c r="F18" s="90" t="s">
        <v>163</v>
      </c>
      <c r="G18" s="26"/>
      <c r="H18" s="90" t="s">
        <v>162</v>
      </c>
      <c r="I18" s="90" t="s">
        <v>100</v>
      </c>
      <c r="J18" s="90" t="s">
        <v>163</v>
      </c>
      <c r="K18" s="26"/>
      <c r="L18" s="90" t="s">
        <v>162</v>
      </c>
      <c r="M18" s="90" t="s">
        <v>100</v>
      </c>
      <c r="N18" s="90" t="s">
        <v>163</v>
      </c>
      <c r="O18" s="26"/>
      <c r="P18" s="90" t="s">
        <v>163</v>
      </c>
      <c r="Q18" s="26"/>
    </row>
    <row r="19" spans="2:17">
      <c r="B19" s="26"/>
      <c r="C19" s="26"/>
      <c r="D19" s="26"/>
      <c r="E19" s="26"/>
      <c r="F19" s="26"/>
      <c r="G19" s="26"/>
      <c r="H19" s="26"/>
      <c r="I19" s="26"/>
      <c r="J19" s="26"/>
      <c r="K19" s="26"/>
      <c r="L19" s="26"/>
      <c r="M19" s="26"/>
      <c r="N19" s="26"/>
      <c r="O19" s="26"/>
      <c r="P19" s="26"/>
      <c r="Q19" s="26"/>
    </row>
    <row r="20" spans="2:17">
      <c r="B20" s="27" t="s">
        <v>164</v>
      </c>
      <c r="C20" s="26"/>
      <c r="D20" s="97">
        <v>349448.28988735715</v>
      </c>
      <c r="E20" s="92">
        <f>'4. UTRs &amp; Sub-Transmission'!O22</f>
        <v>7.5603957976091127</v>
      </c>
      <c r="F20" s="98">
        <f>D20*E20</f>
        <v>2641967.3823460662</v>
      </c>
      <c r="G20" s="26"/>
      <c r="H20" s="97">
        <v>180819.75293655199</v>
      </c>
      <c r="I20" s="92">
        <f>'4. UTRs &amp; Sub-Transmission'!O24</f>
        <v>1.2136259601899371</v>
      </c>
      <c r="J20" s="98">
        <f>H20*I20</f>
        <v>219447.54627893009</v>
      </c>
      <c r="K20" s="26"/>
      <c r="L20" s="97">
        <v>372319.28299965127</v>
      </c>
      <c r="M20" s="92">
        <f>'4. UTRs &amp; Sub-Transmission'!O26</f>
        <v>4.0890903516542556</v>
      </c>
      <c r="N20" s="98">
        <f>L20*M20</f>
        <v>1522447.1878487044</v>
      </c>
      <c r="O20" s="26"/>
      <c r="P20" s="80">
        <f t="shared" ref="P20:P31" si="0">J20+N20</f>
        <v>1741894.7341276344</v>
      </c>
      <c r="Q20" s="26"/>
    </row>
    <row r="21" spans="2:17">
      <c r="B21" s="27" t="s">
        <v>165</v>
      </c>
      <c r="C21" s="26"/>
      <c r="D21" s="97">
        <v>342879.08261176612</v>
      </c>
      <c r="E21" s="92">
        <f>E20</f>
        <v>7.5603957976091127</v>
      </c>
      <c r="F21" s="98">
        <f t="shared" ref="F21:F31" si="1">D21*E21</f>
        <v>2592301.5752660641</v>
      </c>
      <c r="G21" s="26"/>
      <c r="H21" s="97">
        <v>189912.17935714842</v>
      </c>
      <c r="I21" s="92">
        <f>I20</f>
        <v>1.2136259601899371</v>
      </c>
      <c r="J21" s="98">
        <f t="shared" ref="J21:J31" si="2">H21*I21</f>
        <v>230482.3510240828</v>
      </c>
      <c r="K21" s="26"/>
      <c r="L21" s="97">
        <v>364296.42050940287</v>
      </c>
      <c r="M21" s="92">
        <f>M20</f>
        <v>4.0890903516542556</v>
      </c>
      <c r="N21" s="98">
        <f t="shared" ref="N21:N31" si="3">L21*M21</f>
        <v>1489640.9782471808</v>
      </c>
      <c r="O21" s="26"/>
      <c r="P21" s="80">
        <f t="shared" si="0"/>
        <v>1720123.3292712637</v>
      </c>
      <c r="Q21" s="26"/>
    </row>
    <row r="22" spans="2:17">
      <c r="B22" s="27" t="s">
        <v>166</v>
      </c>
      <c r="C22" s="26"/>
      <c r="D22" s="97">
        <v>337292.19729339093</v>
      </c>
      <c r="E22" s="92">
        <f>E21</f>
        <v>7.5603957976091127</v>
      </c>
      <c r="F22" s="98">
        <f t="shared" si="1"/>
        <v>2550062.5109832967</v>
      </c>
      <c r="G22" s="26"/>
      <c r="H22" s="97">
        <v>181602.66466946562</v>
      </c>
      <c r="I22" s="92">
        <f t="shared" ref="I22:I31" si="4">I21</f>
        <v>1.2136259601899371</v>
      </c>
      <c r="J22" s="98">
        <f t="shared" si="2"/>
        <v>220397.70828253138</v>
      </c>
      <c r="K22" s="26"/>
      <c r="L22" s="97">
        <v>346901.27747695206</v>
      </c>
      <c r="M22" s="92">
        <f t="shared" ref="M22:M31" si="5">M21</f>
        <v>4.0890903516542556</v>
      </c>
      <c r="N22" s="98">
        <f t="shared" si="3"/>
        <v>1418510.6667075404</v>
      </c>
      <c r="O22" s="26"/>
      <c r="P22" s="80">
        <f t="shared" si="0"/>
        <v>1638908.3749900719</v>
      </c>
      <c r="Q22" s="26"/>
    </row>
    <row r="23" spans="2:17">
      <c r="B23" s="27" t="s">
        <v>167</v>
      </c>
      <c r="C23" s="26"/>
      <c r="D23" s="97">
        <v>328202.0368980706</v>
      </c>
      <c r="E23" s="92">
        <f t="shared" ref="E23:E31" si="6">E22</f>
        <v>7.5603957976091127</v>
      </c>
      <c r="F23" s="98">
        <f t="shared" si="1"/>
        <v>2481337.300530924</v>
      </c>
      <c r="G23" s="26"/>
      <c r="H23" s="97">
        <v>173552.60987590329</v>
      </c>
      <c r="I23" s="92">
        <f t="shared" si="4"/>
        <v>1.2136259601899371</v>
      </c>
      <c r="J23" s="98">
        <f t="shared" si="2"/>
        <v>210627.95280411269</v>
      </c>
      <c r="K23" s="26"/>
      <c r="L23" s="97">
        <v>330779.64064970386</v>
      </c>
      <c r="M23" s="92">
        <f t="shared" si="5"/>
        <v>4.0890903516542556</v>
      </c>
      <c r="N23" s="98">
        <f t="shared" si="3"/>
        <v>1352587.8371043659</v>
      </c>
      <c r="O23" s="26"/>
      <c r="P23" s="80">
        <f t="shared" si="0"/>
        <v>1563215.7899084785</v>
      </c>
      <c r="Q23" s="26"/>
    </row>
    <row r="24" spans="2:17">
      <c r="B24" s="27" t="s">
        <v>168</v>
      </c>
      <c r="C24" s="26"/>
      <c r="D24" s="97">
        <v>403049.9847823102</v>
      </c>
      <c r="E24" s="92">
        <f t="shared" si="6"/>
        <v>7.5603957976091127</v>
      </c>
      <c r="F24" s="98">
        <f t="shared" si="1"/>
        <v>3047217.4111745949</v>
      </c>
      <c r="G24" s="26"/>
      <c r="H24" s="97">
        <v>231392.90504991563</v>
      </c>
      <c r="I24" s="92">
        <f t="shared" si="4"/>
        <v>1.2136259601899371</v>
      </c>
      <c r="J24" s="98">
        <f t="shared" si="2"/>
        <v>280824.43657234282</v>
      </c>
      <c r="K24" s="26"/>
      <c r="L24" s="97">
        <v>415557.31129408139</v>
      </c>
      <c r="M24" s="92">
        <f t="shared" si="5"/>
        <v>4.0890903516542556</v>
      </c>
      <c r="N24" s="98">
        <f t="shared" si="3"/>
        <v>1699251.3921720122</v>
      </c>
      <c r="O24" s="26"/>
      <c r="P24" s="80">
        <f t="shared" si="0"/>
        <v>1980075.8287443551</v>
      </c>
      <c r="Q24" s="26"/>
    </row>
    <row r="25" spans="2:17">
      <c r="B25" s="27" t="s">
        <v>169</v>
      </c>
      <c r="C25" s="26"/>
      <c r="D25" s="97">
        <v>458773.81234838802</v>
      </c>
      <c r="E25" s="92">
        <f t="shared" si="6"/>
        <v>7.5603957976091127</v>
      </c>
      <c r="F25" s="98">
        <f t="shared" si="1"/>
        <v>3468511.6029318646</v>
      </c>
      <c r="G25" s="26"/>
      <c r="H25" s="97">
        <v>288638.3685889357</v>
      </c>
      <c r="I25" s="92">
        <f t="shared" si="4"/>
        <v>1.2136259601899371</v>
      </c>
      <c r="J25" s="98">
        <f t="shared" si="2"/>
        <v>350299.01722640404</v>
      </c>
      <c r="K25" s="26"/>
      <c r="L25" s="97">
        <v>496114.50986160891</v>
      </c>
      <c r="M25" s="92">
        <f t="shared" si="5"/>
        <v>4.0890903516542556</v>
      </c>
      <c r="N25" s="98">
        <f t="shared" si="3"/>
        <v>2028657.0555907851</v>
      </c>
      <c r="O25" s="26"/>
      <c r="P25" s="80">
        <f t="shared" si="0"/>
        <v>2378956.0728171892</v>
      </c>
      <c r="Q25" s="26"/>
    </row>
    <row r="26" spans="2:17">
      <c r="B26" s="27" t="s">
        <v>170</v>
      </c>
      <c r="C26" s="26"/>
      <c r="D26" s="97">
        <v>501909.86950539087</v>
      </c>
      <c r="E26" s="92">
        <f t="shared" si="6"/>
        <v>7.5603957976091127</v>
      </c>
      <c r="F26" s="98">
        <f t="shared" si="1"/>
        <v>3794637.2681870954</v>
      </c>
      <c r="G26" s="26"/>
      <c r="H26" s="97">
        <v>302294.56991572061</v>
      </c>
      <c r="I26" s="92">
        <f t="shared" si="4"/>
        <v>1.2136259601899371</v>
      </c>
      <c r="J26" s="98">
        <f t="shared" si="2"/>
        <v>366872.53767417051</v>
      </c>
      <c r="K26" s="26"/>
      <c r="L26" s="97">
        <v>514721.97641680582</v>
      </c>
      <c r="M26" s="92">
        <f t="shared" si="5"/>
        <v>4.0890903516542556</v>
      </c>
      <c r="N26" s="98">
        <f t="shared" si="3"/>
        <v>2104744.6675503701</v>
      </c>
      <c r="O26" s="26"/>
      <c r="P26" s="80">
        <f t="shared" si="0"/>
        <v>2471617.2052245406</v>
      </c>
      <c r="Q26" s="26"/>
    </row>
    <row r="27" spans="2:17">
      <c r="B27" s="27" t="s">
        <v>171</v>
      </c>
      <c r="C27" s="26"/>
      <c r="D27" s="97">
        <v>488041.7948152849</v>
      </c>
      <c r="E27" s="92">
        <f t="shared" si="6"/>
        <v>7.5603957976091127</v>
      </c>
      <c r="F27" s="98">
        <f t="shared" si="1"/>
        <v>3689789.134579089</v>
      </c>
      <c r="G27" s="26"/>
      <c r="H27" s="97">
        <v>293136.42876211554</v>
      </c>
      <c r="I27" s="92">
        <f t="shared" si="4"/>
        <v>1.2136259601899371</v>
      </c>
      <c r="J27" s="98">
        <f t="shared" si="2"/>
        <v>355757.97982307157</v>
      </c>
      <c r="K27" s="26"/>
      <c r="L27" s="97">
        <v>506602.80785232066</v>
      </c>
      <c r="M27" s="92">
        <f t="shared" si="5"/>
        <v>4.0890903516542556</v>
      </c>
      <c r="N27" s="98">
        <f t="shared" si="3"/>
        <v>2071544.6537098791</v>
      </c>
      <c r="O27" s="26"/>
      <c r="P27" s="80">
        <f t="shared" si="0"/>
        <v>2427302.6335329507</v>
      </c>
      <c r="Q27" s="26"/>
    </row>
    <row r="28" spans="2:17">
      <c r="B28" s="27" t="s">
        <v>172</v>
      </c>
      <c r="C28" s="26"/>
      <c r="D28" s="97">
        <v>424275.84354411124</v>
      </c>
      <c r="E28" s="92">
        <f t="shared" si="6"/>
        <v>7.5603957976091127</v>
      </c>
      <c r="F28" s="98">
        <f t="shared" si="1"/>
        <v>3207693.30455796</v>
      </c>
      <c r="G28" s="26"/>
      <c r="H28" s="97">
        <v>238963.69549756989</v>
      </c>
      <c r="I28" s="92">
        <f t="shared" si="4"/>
        <v>1.2136259601899371</v>
      </c>
      <c r="J28" s="98">
        <f t="shared" si="2"/>
        <v>290012.54439877399</v>
      </c>
      <c r="K28" s="26"/>
      <c r="L28" s="97">
        <v>425406.59015691571</v>
      </c>
      <c r="M28" s="92">
        <f t="shared" si="5"/>
        <v>4.0890903516542556</v>
      </c>
      <c r="N28" s="98">
        <f t="shared" si="3"/>
        <v>1739525.9833407803</v>
      </c>
      <c r="O28" s="26"/>
      <c r="P28" s="80">
        <f t="shared" si="0"/>
        <v>2029538.5277395542</v>
      </c>
      <c r="Q28" s="26"/>
    </row>
    <row r="29" spans="2:17">
      <c r="B29" s="27" t="s">
        <v>173</v>
      </c>
      <c r="C29" s="26"/>
      <c r="D29" s="97">
        <v>347490.44404875394</v>
      </c>
      <c r="E29" s="92">
        <f t="shared" si="6"/>
        <v>7.5603957976091127</v>
      </c>
      <c r="F29" s="98">
        <f t="shared" si="1"/>
        <v>2627165.2928955238</v>
      </c>
      <c r="G29" s="26"/>
      <c r="H29" s="97">
        <v>250001.50461775067</v>
      </c>
      <c r="I29" s="92">
        <f t="shared" si="4"/>
        <v>1.2136259601899371</v>
      </c>
      <c r="J29" s="98">
        <f t="shared" si="2"/>
        <v>303408.31609064667</v>
      </c>
      <c r="K29" s="26"/>
      <c r="L29" s="97">
        <v>364116.27149994805</v>
      </c>
      <c r="M29" s="92">
        <f t="shared" si="5"/>
        <v>4.0890903516542556</v>
      </c>
      <c r="N29" s="98">
        <f t="shared" si="3"/>
        <v>1488904.3326707589</v>
      </c>
      <c r="O29" s="26"/>
      <c r="P29" s="80">
        <f t="shared" si="0"/>
        <v>1792312.6487614056</v>
      </c>
      <c r="Q29" s="26"/>
    </row>
    <row r="30" spans="2:17">
      <c r="B30" s="27" t="s">
        <v>174</v>
      </c>
      <c r="C30" s="26"/>
      <c r="D30" s="97">
        <v>334477.79390039877</v>
      </c>
      <c r="E30" s="92">
        <f t="shared" si="6"/>
        <v>7.5603957976091127</v>
      </c>
      <c r="F30" s="98">
        <f t="shared" si="1"/>
        <v>2528784.507398142</v>
      </c>
      <c r="G30" s="26"/>
      <c r="H30" s="97">
        <v>190039.07677261345</v>
      </c>
      <c r="I30" s="92">
        <f t="shared" si="4"/>
        <v>1.2136259601899371</v>
      </c>
      <c r="J30" s="98">
        <f t="shared" si="2"/>
        <v>230636.35702177216</v>
      </c>
      <c r="K30" s="26"/>
      <c r="L30" s="97">
        <v>313776.51999002899</v>
      </c>
      <c r="M30" s="92">
        <f t="shared" si="5"/>
        <v>4.0890903516542556</v>
      </c>
      <c r="N30" s="98">
        <f t="shared" si="3"/>
        <v>1283060.5404668762</v>
      </c>
      <c r="O30" s="26"/>
      <c r="P30" s="80">
        <f t="shared" si="0"/>
        <v>1513696.8974886483</v>
      </c>
      <c r="Q30" s="26"/>
    </row>
    <row r="31" spans="2:17">
      <c r="B31" s="27" t="s">
        <v>175</v>
      </c>
      <c r="C31" s="26"/>
      <c r="D31" s="97">
        <v>364270.36121872702</v>
      </c>
      <c r="E31" s="92">
        <f t="shared" si="6"/>
        <v>7.5603957976091127</v>
      </c>
      <c r="F31" s="98">
        <f t="shared" si="1"/>
        <v>2754028.1081516175</v>
      </c>
      <c r="G31" s="26"/>
      <c r="H31" s="97">
        <v>234287.75234021147</v>
      </c>
      <c r="I31" s="92">
        <f t="shared" si="4"/>
        <v>1.2136259601899371</v>
      </c>
      <c r="J31" s="98">
        <f t="shared" si="2"/>
        <v>284337.69839463133</v>
      </c>
      <c r="K31" s="26"/>
      <c r="L31" s="97">
        <v>363073.8998729139</v>
      </c>
      <c r="M31" s="92">
        <f t="shared" si="5"/>
        <v>4.0890903516542556</v>
      </c>
      <c r="N31" s="98">
        <f t="shared" si="3"/>
        <v>1484641.9809078155</v>
      </c>
      <c r="O31" s="26"/>
      <c r="P31" s="80">
        <f t="shared" si="0"/>
        <v>1768979.6793024468</v>
      </c>
      <c r="Q31" s="26"/>
    </row>
    <row r="32" spans="2:17">
      <c r="B32" s="26"/>
      <c r="C32" s="26"/>
      <c r="D32" s="26"/>
      <c r="E32" s="26"/>
      <c r="F32" s="26"/>
      <c r="G32" s="26"/>
      <c r="H32" s="26"/>
      <c r="I32" s="26"/>
      <c r="J32" s="26"/>
      <c r="K32" s="26"/>
      <c r="L32" s="26"/>
      <c r="M32" s="26"/>
      <c r="N32" s="26"/>
      <c r="O32" s="26"/>
      <c r="P32" s="26"/>
      <c r="Q32" s="26"/>
    </row>
    <row r="33" spans="2:17" ht="13.9" thickBot="1">
      <c r="B33" s="74" t="s">
        <v>146</v>
      </c>
      <c r="C33" s="26"/>
      <c r="D33" s="81">
        <f>SUM(D20:D31)</f>
        <v>4680111.5108539499</v>
      </c>
      <c r="E33" s="82">
        <f>IF(D33&lt;&gt;0,F33/D33,0)</f>
        <v>7.5603957976091127</v>
      </c>
      <c r="F33" s="83">
        <f>SUM(F20:F31)</f>
        <v>35383495.399002239</v>
      </c>
      <c r="G33" s="26"/>
      <c r="H33" s="81">
        <f>SUM(H20:H31)</f>
        <v>2754641.5083839027</v>
      </c>
      <c r="I33" s="82">
        <f>IF(H33&lt;&gt;0,J33/H33,0)</f>
        <v>1.2136259601899371</v>
      </c>
      <c r="J33" s="83">
        <f>SUM(J20:J31)</f>
        <v>3343104.4455914702</v>
      </c>
      <c r="K33" s="26"/>
      <c r="L33" s="81">
        <f>SUM(L20:L31)</f>
        <v>4813666.5085803336</v>
      </c>
      <c r="M33" s="82">
        <f>IF(L33&lt;&gt;0,N33/L33,0)</f>
        <v>4.0890903516542565</v>
      </c>
      <c r="N33" s="83">
        <f>SUM(N20:N31)</f>
        <v>19683517.276317071</v>
      </c>
      <c r="O33" s="26"/>
      <c r="P33" s="83">
        <f>SUM(P20:P31)</f>
        <v>23026621.72190854</v>
      </c>
      <c r="Q33" s="26"/>
    </row>
    <row r="34" spans="2:17">
      <c r="B34" s="26"/>
      <c r="C34" s="26"/>
      <c r="D34" s="26"/>
      <c r="E34" s="26"/>
      <c r="F34" s="26"/>
      <c r="G34" s="26"/>
      <c r="H34" s="26"/>
      <c r="I34" s="26"/>
      <c r="J34" s="26"/>
      <c r="K34" s="26"/>
      <c r="L34" s="26"/>
      <c r="M34" s="26"/>
      <c r="N34" s="26"/>
      <c r="O34" s="26"/>
      <c r="P34" s="26"/>
      <c r="Q34" s="26"/>
    </row>
    <row r="35" spans="2:17">
      <c r="B35" s="71" t="s">
        <v>176</v>
      </c>
      <c r="C35" s="72"/>
      <c r="D35" s="247" t="s">
        <v>128</v>
      </c>
      <c r="E35" s="247"/>
      <c r="F35" s="247"/>
      <c r="G35" s="72"/>
      <c r="H35" s="247" t="s">
        <v>158</v>
      </c>
      <c r="I35" s="247"/>
      <c r="J35" s="247"/>
      <c r="K35" s="72"/>
      <c r="L35" s="247" t="s">
        <v>159</v>
      </c>
      <c r="M35" s="247"/>
      <c r="N35" s="247"/>
      <c r="O35" s="72"/>
      <c r="P35" s="71" t="s">
        <v>160</v>
      </c>
      <c r="Q35" s="26"/>
    </row>
    <row r="36" spans="2:17">
      <c r="B36" s="74"/>
      <c r="C36" s="26"/>
      <c r="D36" s="90"/>
      <c r="E36" s="90"/>
      <c r="F36" s="90"/>
      <c r="G36" s="26"/>
      <c r="H36" s="90"/>
      <c r="I36" s="90"/>
      <c r="J36" s="90"/>
      <c r="K36" s="26"/>
      <c r="L36" s="90"/>
      <c r="M36" s="90"/>
      <c r="N36" s="90"/>
      <c r="O36" s="26"/>
      <c r="P36" s="90"/>
      <c r="Q36" s="26"/>
    </row>
    <row r="37" spans="2:17">
      <c r="B37" s="74" t="s">
        <v>161</v>
      </c>
      <c r="C37" s="26"/>
      <c r="D37" s="90" t="s">
        <v>162</v>
      </c>
      <c r="E37" s="90" t="s">
        <v>100</v>
      </c>
      <c r="F37" s="90" t="s">
        <v>163</v>
      </c>
      <c r="G37" s="26"/>
      <c r="H37" s="90" t="s">
        <v>162</v>
      </c>
      <c r="I37" s="90" t="s">
        <v>100</v>
      </c>
      <c r="J37" s="90" t="s">
        <v>163</v>
      </c>
      <c r="K37" s="26"/>
      <c r="L37" s="90" t="s">
        <v>162</v>
      </c>
      <c r="M37" s="90" t="s">
        <v>100</v>
      </c>
      <c r="N37" s="90" t="s">
        <v>163</v>
      </c>
      <c r="O37" s="26"/>
      <c r="P37" s="90" t="s">
        <v>163</v>
      </c>
      <c r="Q37" s="26"/>
    </row>
    <row r="38" spans="2:17">
      <c r="B38" s="26"/>
      <c r="C38" s="26"/>
      <c r="D38" s="26"/>
      <c r="E38" s="26"/>
      <c r="F38" s="26"/>
      <c r="G38" s="26"/>
      <c r="H38" s="26"/>
      <c r="I38" s="26"/>
      <c r="J38" s="26"/>
      <c r="K38" s="26"/>
      <c r="L38" s="26"/>
      <c r="M38" s="26"/>
      <c r="N38" s="26"/>
      <c r="O38" s="26"/>
      <c r="P38" s="26"/>
      <c r="Q38" s="26"/>
    </row>
    <row r="39" spans="2:17">
      <c r="B39" s="27" t="s">
        <v>164</v>
      </c>
      <c r="C39" s="26"/>
      <c r="D39" s="97">
        <v>305912.50587163947</v>
      </c>
      <c r="E39" s="92">
        <f>'4. UTRs &amp; Sub-Transmission'!O35</f>
        <v>6.4728346368638396</v>
      </c>
      <c r="F39" s="98">
        <f>D39*E39</f>
        <v>1980121.0638557607</v>
      </c>
      <c r="G39" s="26"/>
      <c r="H39" s="97">
        <v>278130.85470388213</v>
      </c>
      <c r="I39" s="92">
        <f>'4. UTRs &amp; Sub-Transmission'!O37</f>
        <v>0.83115704108541899</v>
      </c>
      <c r="J39" s="98">
        <f>H39*I39</f>
        <v>231170.41823023726</v>
      </c>
      <c r="K39" s="26"/>
      <c r="L39" s="97">
        <v>322473.86490372667</v>
      </c>
      <c r="M39" s="92">
        <f>'4. UTRs &amp; Sub-Transmission'!O39</f>
        <v>4.214473410275585</v>
      </c>
      <c r="N39" s="98">
        <f>L39*M39</f>
        <v>1359057.5291455572</v>
      </c>
      <c r="O39" s="26"/>
      <c r="P39" s="80">
        <f t="shared" ref="P39:P50" si="7">J39+N39</f>
        <v>1590227.9473757944</v>
      </c>
      <c r="Q39" s="26"/>
    </row>
    <row r="40" spans="2:17">
      <c r="B40" s="27" t="s">
        <v>165</v>
      </c>
      <c r="C40" s="26"/>
      <c r="D40" s="97">
        <v>306036.09489020129</v>
      </c>
      <c r="E40" s="92">
        <f t="shared" ref="E40:E50" si="8">E39</f>
        <v>6.4728346368638396</v>
      </c>
      <c r="F40" s="98">
        <f t="shared" ref="F40:F50" si="9">D40*E40</f>
        <v>1980921.0351358436</v>
      </c>
      <c r="G40" s="26"/>
      <c r="H40" s="97">
        <v>255050.48085607079</v>
      </c>
      <c r="I40" s="92">
        <f t="shared" ref="I40:I50" si="10">I39</f>
        <v>0.83115704108541899</v>
      </c>
      <c r="J40" s="98">
        <f t="shared" ref="J40:J50" si="11">H40*I40</f>
        <v>211987.0029957451</v>
      </c>
      <c r="K40" s="26"/>
      <c r="L40" s="97">
        <v>307706.64271416637</v>
      </c>
      <c r="M40" s="92">
        <f t="shared" ref="M40:M50" si="12">M39</f>
        <v>4.214473410275585</v>
      </c>
      <c r="N40" s="98">
        <f t="shared" ref="N40:N50" si="13">L40*M40</f>
        <v>1296821.4638840237</v>
      </c>
      <c r="O40" s="26"/>
      <c r="P40" s="80">
        <f t="shared" si="7"/>
        <v>1508808.4668797688</v>
      </c>
      <c r="Q40" s="26"/>
    </row>
    <row r="41" spans="2:17">
      <c r="B41" s="27" t="s">
        <v>166</v>
      </c>
      <c r="C41" s="26"/>
      <c r="D41" s="97">
        <v>257516.08630842975</v>
      </c>
      <c r="E41" s="92">
        <f t="shared" si="8"/>
        <v>6.4728346368638396</v>
      </c>
      <c r="F41" s="98">
        <f t="shared" si="9"/>
        <v>1666859.043006822</v>
      </c>
      <c r="G41" s="26"/>
      <c r="H41" s="97">
        <v>219633.93338559661</v>
      </c>
      <c r="I41" s="92">
        <f t="shared" si="10"/>
        <v>0.83115704108541899</v>
      </c>
      <c r="J41" s="98">
        <f t="shared" si="11"/>
        <v>182550.29019472451</v>
      </c>
      <c r="K41" s="26"/>
      <c r="L41" s="97">
        <v>262233.12383417145</v>
      </c>
      <c r="M41" s="92">
        <f t="shared" si="12"/>
        <v>4.214473410275585</v>
      </c>
      <c r="N41" s="98">
        <f t="shared" si="13"/>
        <v>1105174.5276926204</v>
      </c>
      <c r="O41" s="26"/>
      <c r="P41" s="80">
        <f t="shared" si="7"/>
        <v>1287724.8178873449</v>
      </c>
      <c r="Q41" s="26"/>
    </row>
    <row r="42" spans="2:17">
      <c r="B42" s="27" t="s">
        <v>167</v>
      </c>
      <c r="C42" s="26"/>
      <c r="D42" s="97">
        <v>226610.83259874821</v>
      </c>
      <c r="E42" s="92">
        <f t="shared" si="8"/>
        <v>6.4728346368638396</v>
      </c>
      <c r="F42" s="98">
        <f t="shared" si="9"/>
        <v>1466814.4463337308</v>
      </c>
      <c r="G42" s="26"/>
      <c r="H42" s="97">
        <v>200443.01064229367</v>
      </c>
      <c r="I42" s="92">
        <f t="shared" si="10"/>
        <v>0.83115704108541899</v>
      </c>
      <c r="J42" s="98">
        <f t="shared" si="11"/>
        <v>166599.61963170196</v>
      </c>
      <c r="K42" s="26"/>
      <c r="L42" s="97">
        <v>231267.31059898442</v>
      </c>
      <c r="M42" s="92">
        <f t="shared" si="12"/>
        <v>4.214473410275585</v>
      </c>
      <c r="N42" s="98">
        <f t="shared" si="13"/>
        <v>974669.93118536484</v>
      </c>
      <c r="O42" s="26"/>
      <c r="P42" s="80">
        <f t="shared" si="7"/>
        <v>1141269.5508170668</v>
      </c>
      <c r="Q42" s="26"/>
    </row>
    <row r="43" spans="2:17">
      <c r="B43" s="27" t="s">
        <v>168</v>
      </c>
      <c r="C43" s="26"/>
      <c r="D43" s="97">
        <v>264755.14198578038</v>
      </c>
      <c r="E43" s="92">
        <f t="shared" si="8"/>
        <v>6.4728346368638396</v>
      </c>
      <c r="F43" s="98">
        <f t="shared" si="9"/>
        <v>1713716.253333363</v>
      </c>
      <c r="G43" s="26"/>
      <c r="H43" s="97">
        <v>219981.58698346527</v>
      </c>
      <c r="I43" s="92">
        <f t="shared" si="10"/>
        <v>0.83115704108541899</v>
      </c>
      <c r="J43" s="98">
        <f t="shared" si="11"/>
        <v>182839.24493045171</v>
      </c>
      <c r="K43" s="26"/>
      <c r="L43" s="97">
        <v>267037.43732342438</v>
      </c>
      <c r="M43" s="92">
        <f t="shared" si="12"/>
        <v>4.214473410275585</v>
      </c>
      <c r="N43" s="98">
        <f t="shared" si="13"/>
        <v>1125422.1791477052</v>
      </c>
      <c r="O43" s="26"/>
      <c r="P43" s="80">
        <f t="shared" si="7"/>
        <v>1308261.4240781569</v>
      </c>
      <c r="Q43" s="26"/>
    </row>
    <row r="44" spans="2:17">
      <c r="B44" s="27" t="s">
        <v>169</v>
      </c>
      <c r="C44" s="26"/>
      <c r="D44" s="97">
        <v>342734.18162548199</v>
      </c>
      <c r="E44" s="92">
        <f t="shared" si="8"/>
        <v>6.4728346368638396</v>
      </c>
      <c r="F44" s="98">
        <f t="shared" si="9"/>
        <v>2218461.6820626021</v>
      </c>
      <c r="G44" s="26"/>
      <c r="H44" s="97">
        <v>298845.1469294636</v>
      </c>
      <c r="I44" s="92">
        <f t="shared" si="10"/>
        <v>0.83115704108541899</v>
      </c>
      <c r="J44" s="98">
        <f t="shared" si="11"/>
        <v>248387.24806463026</v>
      </c>
      <c r="K44" s="26"/>
      <c r="L44" s="97">
        <v>346001.14425650268</v>
      </c>
      <c r="M44" s="92">
        <f t="shared" si="12"/>
        <v>4.214473410275585</v>
      </c>
      <c r="N44" s="98">
        <f t="shared" si="13"/>
        <v>1458212.6223939576</v>
      </c>
      <c r="O44" s="26"/>
      <c r="P44" s="80">
        <f t="shared" si="7"/>
        <v>1706599.8704585878</v>
      </c>
      <c r="Q44" s="26"/>
    </row>
    <row r="45" spans="2:17">
      <c r="B45" s="27" t="s">
        <v>170</v>
      </c>
      <c r="C45" s="26"/>
      <c r="D45" s="97">
        <v>325446.79942503909</v>
      </c>
      <c r="E45" s="92">
        <f t="shared" si="8"/>
        <v>6.4728346368638396</v>
      </c>
      <c r="F45" s="98">
        <f t="shared" si="9"/>
        <v>2106563.315774872</v>
      </c>
      <c r="G45" s="26"/>
      <c r="H45" s="97">
        <v>276447.01664167235</v>
      </c>
      <c r="I45" s="92">
        <f t="shared" si="10"/>
        <v>0.83115704108541899</v>
      </c>
      <c r="J45" s="98">
        <f t="shared" si="11"/>
        <v>229770.88436878397</v>
      </c>
      <c r="K45" s="26"/>
      <c r="L45" s="97">
        <v>326395.61819854693</v>
      </c>
      <c r="M45" s="92">
        <f t="shared" si="12"/>
        <v>4.214473410275585</v>
      </c>
      <c r="N45" s="98">
        <f t="shared" si="13"/>
        <v>1375585.6541282379</v>
      </c>
      <c r="O45" s="26"/>
      <c r="P45" s="80">
        <f t="shared" si="7"/>
        <v>1605356.5384970219</v>
      </c>
      <c r="Q45" s="26"/>
    </row>
    <row r="46" spans="2:17">
      <c r="B46" s="27" t="s">
        <v>171</v>
      </c>
      <c r="C46" s="26"/>
      <c r="D46" s="97">
        <v>356292.01479502872</v>
      </c>
      <c r="E46" s="92">
        <f t="shared" si="8"/>
        <v>6.4728346368638396</v>
      </c>
      <c r="F46" s="98">
        <f t="shared" si="9"/>
        <v>2306219.2942032656</v>
      </c>
      <c r="G46" s="26"/>
      <c r="H46" s="97">
        <v>269201.42348139995</v>
      </c>
      <c r="I46" s="92">
        <f t="shared" si="10"/>
        <v>0.83115704108541899</v>
      </c>
      <c r="J46" s="98">
        <f t="shared" si="11"/>
        <v>223748.65859678321</v>
      </c>
      <c r="K46" s="26"/>
      <c r="L46" s="97">
        <v>360225.51743090583</v>
      </c>
      <c r="M46" s="92">
        <f t="shared" si="12"/>
        <v>4.214473410275585</v>
      </c>
      <c r="N46" s="98">
        <f t="shared" si="13"/>
        <v>1518160.8649153169</v>
      </c>
      <c r="O46" s="26"/>
      <c r="P46" s="80">
        <f t="shared" si="7"/>
        <v>1741909.5235121001</v>
      </c>
      <c r="Q46" s="26"/>
    </row>
    <row r="47" spans="2:17">
      <c r="B47" s="27" t="s">
        <v>172</v>
      </c>
      <c r="C47" s="26"/>
      <c r="D47" s="97">
        <v>297121.61943454173</v>
      </c>
      <c r="E47" s="92">
        <f t="shared" si="8"/>
        <v>6.4728346368638396</v>
      </c>
      <c r="F47" s="98">
        <f t="shared" si="9"/>
        <v>1923219.1096369778</v>
      </c>
      <c r="G47" s="26"/>
      <c r="H47" s="97">
        <v>231659.75218643635</v>
      </c>
      <c r="I47" s="92">
        <f t="shared" si="10"/>
        <v>0.83115704108541899</v>
      </c>
      <c r="J47" s="98">
        <f t="shared" si="11"/>
        <v>192545.63416585987</v>
      </c>
      <c r="K47" s="26"/>
      <c r="L47" s="97">
        <v>298698.21785055724</v>
      </c>
      <c r="M47" s="92">
        <f t="shared" si="12"/>
        <v>4.214473410275585</v>
      </c>
      <c r="N47" s="98">
        <f t="shared" si="13"/>
        <v>1258855.6968278775</v>
      </c>
      <c r="O47" s="26"/>
      <c r="P47" s="80">
        <f t="shared" si="7"/>
        <v>1451401.3309937373</v>
      </c>
      <c r="Q47" s="26"/>
    </row>
    <row r="48" spans="2:17">
      <c r="B48" s="27" t="s">
        <v>173</v>
      </c>
      <c r="C48" s="26"/>
      <c r="D48" s="97">
        <v>250186.40095015906</v>
      </c>
      <c r="E48" s="92">
        <f t="shared" si="8"/>
        <v>6.4728346368638396</v>
      </c>
      <c r="F48" s="98">
        <f t="shared" si="9"/>
        <v>1619415.2017424938</v>
      </c>
      <c r="G48" s="26"/>
      <c r="H48" s="97">
        <v>198630.39436363959</v>
      </c>
      <c r="I48" s="92">
        <f t="shared" si="10"/>
        <v>0.83115704108541899</v>
      </c>
      <c r="J48" s="98">
        <f t="shared" si="11"/>
        <v>165093.05084891256</v>
      </c>
      <c r="K48" s="26"/>
      <c r="L48" s="97">
        <v>253117.17607120847</v>
      </c>
      <c r="M48" s="92">
        <f t="shared" si="12"/>
        <v>4.214473410275585</v>
      </c>
      <c r="N48" s="98">
        <f t="shared" si="13"/>
        <v>1066755.6082361517</v>
      </c>
      <c r="O48" s="26"/>
      <c r="P48" s="80">
        <f t="shared" si="7"/>
        <v>1231848.6590850642</v>
      </c>
      <c r="Q48" s="26"/>
    </row>
    <row r="49" spans="2:17">
      <c r="B49" s="27" t="s">
        <v>174</v>
      </c>
      <c r="C49" s="26"/>
      <c r="D49" s="97">
        <v>271991.18384951382</v>
      </c>
      <c r="E49" s="92">
        <f t="shared" si="8"/>
        <v>6.4728346368638396</v>
      </c>
      <c r="F49" s="98">
        <f t="shared" si="9"/>
        <v>1760553.9557427336</v>
      </c>
      <c r="G49" s="26"/>
      <c r="H49" s="97">
        <v>220467.4114725478</v>
      </c>
      <c r="I49" s="92">
        <f t="shared" si="10"/>
        <v>0.83115704108541899</v>
      </c>
      <c r="J49" s="98">
        <f t="shared" si="11"/>
        <v>183243.04137528437</v>
      </c>
      <c r="K49" s="26"/>
      <c r="L49" s="97">
        <v>276035.55177202704</v>
      </c>
      <c r="M49" s="92">
        <f t="shared" si="12"/>
        <v>4.214473410275585</v>
      </c>
      <c r="N49" s="98">
        <f t="shared" si="13"/>
        <v>1163344.4932339576</v>
      </c>
      <c r="O49" s="26"/>
      <c r="P49" s="80">
        <f t="shared" si="7"/>
        <v>1346587.5346092419</v>
      </c>
      <c r="Q49" s="26"/>
    </row>
    <row r="50" spans="2:17">
      <c r="B50" s="27" t="s">
        <v>175</v>
      </c>
      <c r="C50" s="26"/>
      <c r="D50" s="97">
        <v>280004.12114905269</v>
      </c>
      <c r="E50" s="92">
        <f t="shared" si="8"/>
        <v>6.4728346368638396</v>
      </c>
      <c r="F50" s="98">
        <f t="shared" si="9"/>
        <v>1812420.373838207</v>
      </c>
      <c r="G50" s="26"/>
      <c r="H50" s="97">
        <v>239315.47326144119</v>
      </c>
      <c r="I50" s="92">
        <f t="shared" si="10"/>
        <v>0.83115704108541899</v>
      </c>
      <c r="J50" s="98">
        <f t="shared" si="11"/>
        <v>198908.74064193617</v>
      </c>
      <c r="K50" s="26"/>
      <c r="L50" s="97">
        <v>286850.72390882496</v>
      </c>
      <c r="M50" s="92">
        <f t="shared" si="12"/>
        <v>4.214473410275585</v>
      </c>
      <c r="N50" s="98">
        <f t="shared" si="13"/>
        <v>1208924.7486320459</v>
      </c>
      <c r="O50" s="26"/>
      <c r="P50" s="80">
        <f t="shared" si="7"/>
        <v>1407833.4892739821</v>
      </c>
      <c r="Q50" s="26"/>
    </row>
    <row r="51" spans="2:17">
      <c r="B51" s="26"/>
      <c r="C51" s="26"/>
      <c r="D51" s="26"/>
      <c r="E51" s="26"/>
      <c r="F51" s="26"/>
      <c r="G51" s="26"/>
      <c r="H51" s="26"/>
      <c r="I51" s="26"/>
      <c r="J51" s="26"/>
      <c r="K51" s="26"/>
      <c r="L51" s="26"/>
      <c r="M51" s="26"/>
      <c r="N51" s="26"/>
      <c r="O51" s="26"/>
      <c r="P51" s="26"/>
      <c r="Q51" s="26"/>
    </row>
    <row r="52" spans="2:17" ht="13.9" thickBot="1">
      <c r="B52" s="74" t="s">
        <v>146</v>
      </c>
      <c r="C52" s="26"/>
      <c r="D52" s="81">
        <f>SUM(D39:D50)</f>
        <v>3484606.9828836159</v>
      </c>
      <c r="E52" s="82">
        <f>IF(D52&lt;&gt;0,F52/D52,0)</f>
        <v>6.4728346368638414</v>
      </c>
      <c r="F52" s="83">
        <f>SUM(F39:F50)</f>
        <v>22555284.774666674</v>
      </c>
      <c r="G52" s="26"/>
      <c r="H52" s="81">
        <f>SUM(H39:H50)</f>
        <v>2907806.4849079093</v>
      </c>
      <c r="I52" s="82">
        <f>IF(H52&lt;&gt;0,J52/H52,0)</f>
        <v>0.8311570410854191</v>
      </c>
      <c r="J52" s="83">
        <f>SUM(J39:J50)</f>
        <v>2416843.8340450511</v>
      </c>
      <c r="K52" s="26"/>
      <c r="L52" s="81">
        <f>SUM(L39:L50)</f>
        <v>3538042.3288630461</v>
      </c>
      <c r="M52" s="82">
        <f>IF(L52&lt;&gt;0,N52/L52,0)</f>
        <v>4.214473410275585</v>
      </c>
      <c r="N52" s="83">
        <f>SUM(N39:N50)</f>
        <v>14910985.319422815</v>
      </c>
      <c r="O52" s="26"/>
      <c r="P52" s="83">
        <f>SUM(P39:P50)</f>
        <v>17327829.153467868</v>
      </c>
      <c r="Q52" s="26"/>
    </row>
    <row r="53" spans="2:17">
      <c r="B53" s="26"/>
      <c r="C53" s="26"/>
      <c r="D53" s="26"/>
      <c r="E53" s="26"/>
      <c r="F53" s="26"/>
      <c r="G53" s="26"/>
      <c r="H53" s="26"/>
      <c r="I53" s="26"/>
      <c r="J53" s="26"/>
      <c r="K53" s="26"/>
      <c r="L53" s="26"/>
      <c r="M53" s="26"/>
      <c r="N53" s="26"/>
      <c r="O53" s="26"/>
      <c r="P53" s="26"/>
      <c r="Q53" s="26"/>
    </row>
    <row r="54" spans="2:17">
      <c r="B54" s="71" t="e">
        <f>#REF!</f>
        <v>#REF!</v>
      </c>
      <c r="C54" s="72"/>
      <c r="D54" s="247" t="s">
        <v>128</v>
      </c>
      <c r="E54" s="247"/>
      <c r="F54" s="247"/>
      <c r="G54" s="72"/>
      <c r="H54" s="247" t="s">
        <v>158</v>
      </c>
      <c r="I54" s="247"/>
      <c r="J54" s="247"/>
      <c r="K54" s="72"/>
      <c r="L54" s="247" t="s">
        <v>159</v>
      </c>
      <c r="M54" s="247"/>
      <c r="N54" s="247"/>
      <c r="O54" s="72"/>
      <c r="P54" s="71" t="s">
        <v>160</v>
      </c>
      <c r="Q54" s="26"/>
    </row>
    <row r="55" spans="2:17">
      <c r="B55" s="74"/>
      <c r="C55" s="26"/>
      <c r="D55" s="90"/>
      <c r="E55" s="90"/>
      <c r="F55" s="90"/>
      <c r="G55" s="26"/>
      <c r="H55" s="90"/>
      <c r="I55" s="90"/>
      <c r="J55" s="90"/>
      <c r="K55" s="26"/>
      <c r="L55" s="90"/>
      <c r="M55" s="90"/>
      <c r="N55" s="90"/>
      <c r="O55" s="26"/>
      <c r="P55" s="90"/>
      <c r="Q55" s="26"/>
    </row>
    <row r="56" spans="2:17">
      <c r="B56" s="74" t="s">
        <v>161</v>
      </c>
      <c r="C56" s="26"/>
      <c r="D56" s="90" t="s">
        <v>162</v>
      </c>
      <c r="E56" s="90" t="s">
        <v>100</v>
      </c>
      <c r="F56" s="90" t="s">
        <v>163</v>
      </c>
      <c r="G56" s="26"/>
      <c r="H56" s="90" t="s">
        <v>162</v>
      </c>
      <c r="I56" s="90" t="s">
        <v>100</v>
      </c>
      <c r="J56" s="90" t="s">
        <v>163</v>
      </c>
      <c r="K56" s="26"/>
      <c r="L56" s="90" t="s">
        <v>162</v>
      </c>
      <c r="M56" s="90" t="s">
        <v>100</v>
      </c>
      <c r="N56" s="90" t="s">
        <v>163</v>
      </c>
      <c r="O56" s="26"/>
      <c r="P56" s="90" t="s">
        <v>163</v>
      </c>
      <c r="Q56" s="26"/>
    </row>
    <row r="57" spans="2:17">
      <c r="B57" s="26"/>
      <c r="C57" s="26"/>
      <c r="D57" s="26"/>
      <c r="E57" s="26"/>
      <c r="F57" s="26"/>
      <c r="G57" s="26"/>
      <c r="H57" s="26"/>
      <c r="I57" s="26"/>
      <c r="J57" s="26"/>
      <c r="K57" s="26"/>
      <c r="L57" s="26"/>
      <c r="M57" s="26"/>
      <c r="N57" s="26"/>
      <c r="O57" s="26"/>
      <c r="P57" s="26"/>
      <c r="Q57" s="26"/>
    </row>
    <row r="58" spans="2:17">
      <c r="B58" s="27" t="s">
        <v>164</v>
      </c>
      <c r="C58" s="26"/>
      <c r="D58" s="97"/>
      <c r="E58" s="92"/>
      <c r="F58" s="98"/>
      <c r="G58" s="26"/>
      <c r="H58" s="97"/>
      <c r="I58" s="92"/>
      <c r="J58" s="98"/>
      <c r="K58" s="26"/>
      <c r="L58" s="97"/>
      <c r="M58" s="92"/>
      <c r="N58" s="98"/>
      <c r="O58" s="26"/>
      <c r="P58" s="80"/>
      <c r="Q58" s="26"/>
    </row>
    <row r="59" spans="2:17">
      <c r="B59" s="27" t="s">
        <v>165</v>
      </c>
      <c r="C59" s="26"/>
      <c r="D59" s="97"/>
      <c r="E59" s="92"/>
      <c r="F59" s="98"/>
      <c r="G59" s="26"/>
      <c r="H59" s="97"/>
      <c r="I59" s="92"/>
      <c r="J59" s="98"/>
      <c r="K59" s="26"/>
      <c r="L59" s="97"/>
      <c r="M59" s="92"/>
      <c r="N59" s="98"/>
      <c r="O59" s="26"/>
      <c r="P59" s="80"/>
      <c r="Q59" s="26"/>
    </row>
    <row r="60" spans="2:17">
      <c r="B60" s="27" t="s">
        <v>166</v>
      </c>
      <c r="C60" s="26"/>
      <c r="D60" s="97"/>
      <c r="E60" s="92"/>
      <c r="F60" s="98"/>
      <c r="G60" s="26"/>
      <c r="H60" s="97"/>
      <c r="I60" s="92"/>
      <c r="J60" s="98"/>
      <c r="K60" s="26"/>
      <c r="L60" s="97"/>
      <c r="M60" s="92"/>
      <c r="N60" s="98"/>
      <c r="O60" s="26"/>
      <c r="P60" s="80"/>
      <c r="Q60" s="26"/>
    </row>
    <row r="61" spans="2:17">
      <c r="B61" s="27" t="s">
        <v>167</v>
      </c>
      <c r="C61" s="26"/>
      <c r="D61" s="97"/>
      <c r="E61" s="92"/>
      <c r="F61" s="98"/>
      <c r="G61" s="26"/>
      <c r="H61" s="97"/>
      <c r="I61" s="92"/>
      <c r="J61" s="98"/>
      <c r="K61" s="26"/>
      <c r="L61" s="97"/>
      <c r="M61" s="92"/>
      <c r="N61" s="98"/>
      <c r="O61" s="26"/>
      <c r="P61" s="80"/>
      <c r="Q61" s="26"/>
    </row>
    <row r="62" spans="2:17">
      <c r="B62" s="27" t="s">
        <v>168</v>
      </c>
      <c r="C62" s="26"/>
      <c r="D62" s="97"/>
      <c r="E62" s="92"/>
      <c r="F62" s="98"/>
      <c r="G62" s="26"/>
      <c r="H62" s="97"/>
      <c r="I62" s="92"/>
      <c r="J62" s="98"/>
      <c r="K62" s="26"/>
      <c r="L62" s="97"/>
      <c r="M62" s="92"/>
      <c r="N62" s="98"/>
      <c r="O62" s="26"/>
      <c r="P62" s="80"/>
      <c r="Q62" s="26"/>
    </row>
    <row r="63" spans="2:17">
      <c r="B63" s="27" t="s">
        <v>169</v>
      </c>
      <c r="C63" s="26"/>
      <c r="D63" s="97"/>
      <c r="E63" s="92"/>
      <c r="F63" s="98"/>
      <c r="G63" s="26"/>
      <c r="H63" s="97"/>
      <c r="I63" s="92"/>
      <c r="J63" s="98"/>
      <c r="K63" s="26"/>
      <c r="L63" s="97"/>
      <c r="M63" s="92"/>
      <c r="N63" s="98"/>
      <c r="O63" s="26"/>
      <c r="P63" s="80"/>
      <c r="Q63" s="26"/>
    </row>
    <row r="64" spans="2:17">
      <c r="B64" s="27" t="s">
        <v>170</v>
      </c>
      <c r="C64" s="26"/>
      <c r="D64" s="97"/>
      <c r="E64" s="92"/>
      <c r="F64" s="98"/>
      <c r="G64" s="26"/>
      <c r="H64" s="97"/>
      <c r="I64" s="92"/>
      <c r="J64" s="98"/>
      <c r="K64" s="26"/>
      <c r="L64" s="97"/>
      <c r="M64" s="92"/>
      <c r="N64" s="98"/>
      <c r="O64" s="26"/>
      <c r="P64" s="80"/>
      <c r="Q64" s="26"/>
    </row>
    <row r="65" spans="2:17">
      <c r="B65" s="27" t="s">
        <v>171</v>
      </c>
      <c r="C65" s="26"/>
      <c r="D65" s="97"/>
      <c r="E65" s="92"/>
      <c r="F65" s="98"/>
      <c r="G65" s="26"/>
      <c r="H65" s="97"/>
      <c r="I65" s="92"/>
      <c r="J65" s="98"/>
      <c r="K65" s="26"/>
      <c r="L65" s="97"/>
      <c r="M65" s="92"/>
      <c r="N65" s="98"/>
      <c r="O65" s="26"/>
      <c r="P65" s="80"/>
      <c r="Q65" s="26"/>
    </row>
    <row r="66" spans="2:17">
      <c r="B66" s="27" t="s">
        <v>172</v>
      </c>
      <c r="C66" s="26"/>
      <c r="D66" s="97"/>
      <c r="E66" s="92"/>
      <c r="F66" s="98"/>
      <c r="G66" s="26"/>
      <c r="H66" s="97"/>
      <c r="I66" s="92"/>
      <c r="J66" s="98"/>
      <c r="K66" s="26"/>
      <c r="L66" s="97"/>
      <c r="M66" s="92"/>
      <c r="N66" s="98"/>
      <c r="O66" s="26"/>
      <c r="P66" s="80"/>
      <c r="Q66" s="26"/>
    </row>
    <row r="67" spans="2:17">
      <c r="B67" s="27" t="s">
        <v>173</v>
      </c>
      <c r="C67" s="26"/>
      <c r="D67" s="97"/>
      <c r="E67" s="92"/>
      <c r="F67" s="98"/>
      <c r="G67" s="26"/>
      <c r="H67" s="97"/>
      <c r="I67" s="92"/>
      <c r="J67" s="98"/>
      <c r="K67" s="26"/>
      <c r="L67" s="97"/>
      <c r="M67" s="92"/>
      <c r="N67" s="98"/>
      <c r="O67" s="26"/>
      <c r="P67" s="80"/>
      <c r="Q67" s="26"/>
    </row>
    <row r="68" spans="2:17">
      <c r="B68" s="27" t="s">
        <v>174</v>
      </c>
      <c r="C68" s="26"/>
      <c r="D68" s="97"/>
      <c r="E68" s="92"/>
      <c r="F68" s="98"/>
      <c r="G68" s="26"/>
      <c r="H68" s="97"/>
      <c r="I68" s="92"/>
      <c r="J68" s="98"/>
      <c r="K68" s="26"/>
      <c r="L68" s="97"/>
      <c r="M68" s="92"/>
      <c r="N68" s="98"/>
      <c r="O68" s="26"/>
      <c r="P68" s="80"/>
      <c r="Q68" s="26"/>
    </row>
    <row r="69" spans="2:17">
      <c r="B69" s="27" t="s">
        <v>175</v>
      </c>
      <c r="C69" s="26"/>
      <c r="D69" s="97"/>
      <c r="E69" s="92"/>
      <c r="F69" s="98"/>
      <c r="G69" s="26"/>
      <c r="H69" s="97"/>
      <c r="I69" s="92"/>
      <c r="J69" s="98"/>
      <c r="K69" s="26"/>
      <c r="L69" s="97"/>
      <c r="M69" s="92"/>
      <c r="N69" s="98"/>
      <c r="O69" s="26"/>
      <c r="P69" s="80"/>
      <c r="Q69" s="26"/>
    </row>
    <row r="70" spans="2:17">
      <c r="B70" s="26"/>
      <c r="C70" s="26"/>
      <c r="D70" s="26"/>
      <c r="E70" s="26"/>
      <c r="F70" s="26"/>
      <c r="G70" s="26"/>
      <c r="H70" s="26"/>
      <c r="I70" s="26"/>
      <c r="J70" s="26"/>
      <c r="K70" s="26"/>
      <c r="L70" s="26"/>
      <c r="M70" s="26"/>
      <c r="N70" s="26"/>
      <c r="O70" s="26"/>
      <c r="P70" s="26"/>
      <c r="Q70" s="26"/>
    </row>
    <row r="71" spans="2:17" ht="13.9" thickBot="1">
      <c r="B71" s="74" t="s">
        <v>146</v>
      </c>
      <c r="C71" s="26"/>
      <c r="D71" s="81">
        <f>SUM(D58:D69)</f>
        <v>0</v>
      </c>
      <c r="E71" s="82">
        <f>IF(D71&lt;&gt;0,F71/D71,0)</f>
        <v>0</v>
      </c>
      <c r="F71" s="83">
        <f>SUM(F58:F69)</f>
        <v>0</v>
      </c>
      <c r="G71" s="26"/>
      <c r="H71" s="81">
        <f>SUM(H58:H69)</f>
        <v>0</v>
      </c>
      <c r="I71" s="82">
        <f>IF(H71&lt;&gt;0,J71/H71,0)</f>
        <v>0</v>
      </c>
      <c r="J71" s="83">
        <f>SUM(J58:J69)</f>
        <v>0</v>
      </c>
      <c r="K71" s="26"/>
      <c r="L71" s="81">
        <f>SUM(L58:L69)</f>
        <v>0</v>
      </c>
      <c r="M71" s="82">
        <f>IF(L71&lt;&gt;0,N71/L71,0)</f>
        <v>0</v>
      </c>
      <c r="N71" s="83">
        <f>SUM(N58:N69)</f>
        <v>0</v>
      </c>
      <c r="O71" s="26"/>
      <c r="P71" s="83">
        <f>SUM(P58:P69)</f>
        <v>0</v>
      </c>
      <c r="Q71" s="26"/>
    </row>
    <row r="72" spans="2:17">
      <c r="B72" s="26"/>
      <c r="C72" s="26"/>
      <c r="D72" s="26"/>
      <c r="E72" s="26"/>
      <c r="F72" s="26"/>
      <c r="G72" s="26"/>
      <c r="H72" s="26"/>
      <c r="I72" s="26"/>
      <c r="J72" s="26"/>
      <c r="K72" s="26"/>
      <c r="L72" s="26"/>
      <c r="M72" s="26"/>
      <c r="N72" s="26"/>
      <c r="O72" s="26"/>
      <c r="P72" s="26"/>
      <c r="Q72" s="26"/>
    </row>
    <row r="73" spans="2:17">
      <c r="B73" s="71" t="e">
        <f>#REF!</f>
        <v>#REF!</v>
      </c>
      <c r="C73" s="72"/>
      <c r="D73" s="247" t="s">
        <v>128</v>
      </c>
      <c r="E73" s="247"/>
      <c r="F73" s="247"/>
      <c r="G73" s="72"/>
      <c r="H73" s="247" t="s">
        <v>158</v>
      </c>
      <c r="I73" s="247"/>
      <c r="J73" s="247"/>
      <c r="K73" s="72"/>
      <c r="L73" s="247" t="s">
        <v>159</v>
      </c>
      <c r="M73" s="247"/>
      <c r="N73" s="247"/>
      <c r="O73" s="72"/>
      <c r="P73" s="71" t="s">
        <v>160</v>
      </c>
      <c r="Q73" s="26"/>
    </row>
    <row r="74" spans="2:17">
      <c r="B74" s="74"/>
      <c r="C74" s="26"/>
      <c r="D74" s="90"/>
      <c r="E74" s="90"/>
      <c r="F74" s="90"/>
      <c r="G74" s="26"/>
      <c r="H74" s="90"/>
      <c r="I74" s="90"/>
      <c r="J74" s="90"/>
      <c r="K74" s="26"/>
      <c r="L74" s="90"/>
      <c r="M74" s="90"/>
      <c r="N74" s="90"/>
      <c r="O74" s="26"/>
      <c r="P74" s="90"/>
      <c r="Q74" s="26"/>
    </row>
    <row r="75" spans="2:17">
      <c r="B75" s="74" t="s">
        <v>161</v>
      </c>
      <c r="C75" s="26"/>
      <c r="D75" s="90" t="s">
        <v>162</v>
      </c>
      <c r="E75" s="90" t="s">
        <v>100</v>
      </c>
      <c r="F75" s="90" t="s">
        <v>163</v>
      </c>
      <c r="G75" s="26"/>
      <c r="H75" s="90" t="s">
        <v>162</v>
      </c>
      <c r="I75" s="90" t="s">
        <v>100</v>
      </c>
      <c r="J75" s="90" t="s">
        <v>163</v>
      </c>
      <c r="K75" s="26"/>
      <c r="L75" s="90" t="s">
        <v>162</v>
      </c>
      <c r="M75" s="90" t="s">
        <v>100</v>
      </c>
      <c r="N75" s="90" t="s">
        <v>163</v>
      </c>
      <c r="O75" s="26"/>
      <c r="P75" s="90" t="s">
        <v>163</v>
      </c>
      <c r="Q75" s="26"/>
    </row>
    <row r="76" spans="2:17">
      <c r="B76" s="26"/>
      <c r="C76" s="26"/>
      <c r="D76" s="26"/>
      <c r="E76" s="26"/>
      <c r="F76" s="26"/>
      <c r="G76" s="26"/>
      <c r="H76" s="26"/>
      <c r="I76" s="26"/>
      <c r="J76" s="26"/>
      <c r="K76" s="26"/>
      <c r="L76" s="26"/>
      <c r="M76" s="26"/>
      <c r="N76" s="26"/>
      <c r="O76" s="26"/>
      <c r="P76" s="26"/>
      <c r="Q76" s="26"/>
    </row>
    <row r="77" spans="2:17">
      <c r="B77" s="27" t="s">
        <v>164</v>
      </c>
      <c r="C77" s="26"/>
      <c r="D77" s="97"/>
      <c r="E77" s="92"/>
      <c r="F77" s="98"/>
      <c r="G77" s="26"/>
      <c r="H77" s="97"/>
      <c r="I77" s="92"/>
      <c r="J77" s="98"/>
      <c r="K77" s="26"/>
      <c r="L77" s="97"/>
      <c r="M77" s="92"/>
      <c r="N77" s="98"/>
      <c r="O77" s="26"/>
      <c r="P77" s="80"/>
      <c r="Q77" s="26"/>
    </row>
    <row r="78" spans="2:17">
      <c r="B78" s="27" t="s">
        <v>165</v>
      </c>
      <c r="C78" s="26"/>
      <c r="D78" s="97"/>
      <c r="E78" s="92"/>
      <c r="F78" s="98"/>
      <c r="G78" s="26"/>
      <c r="H78" s="97"/>
      <c r="I78" s="92"/>
      <c r="J78" s="98"/>
      <c r="K78" s="26"/>
      <c r="L78" s="97"/>
      <c r="M78" s="92"/>
      <c r="N78" s="98"/>
      <c r="O78" s="26"/>
      <c r="P78" s="80"/>
      <c r="Q78" s="26"/>
    </row>
    <row r="79" spans="2:17">
      <c r="B79" s="27" t="s">
        <v>166</v>
      </c>
      <c r="C79" s="26"/>
      <c r="D79" s="97"/>
      <c r="E79" s="92"/>
      <c r="F79" s="98"/>
      <c r="G79" s="26"/>
      <c r="H79" s="97"/>
      <c r="I79" s="92"/>
      <c r="J79" s="98"/>
      <c r="K79" s="26"/>
      <c r="L79" s="97"/>
      <c r="M79" s="92"/>
      <c r="N79" s="98"/>
      <c r="O79" s="26"/>
      <c r="P79" s="80"/>
      <c r="Q79" s="26"/>
    </row>
    <row r="80" spans="2:17">
      <c r="B80" s="27" t="s">
        <v>167</v>
      </c>
      <c r="C80" s="26"/>
      <c r="D80" s="97"/>
      <c r="E80" s="92"/>
      <c r="F80" s="98"/>
      <c r="G80" s="26"/>
      <c r="H80" s="97"/>
      <c r="I80" s="92"/>
      <c r="J80" s="98"/>
      <c r="K80" s="26"/>
      <c r="L80" s="97"/>
      <c r="M80" s="92"/>
      <c r="N80" s="98"/>
      <c r="O80" s="26"/>
      <c r="P80" s="80"/>
      <c r="Q80" s="26"/>
    </row>
    <row r="81" spans="2:17">
      <c r="B81" s="27" t="s">
        <v>168</v>
      </c>
      <c r="C81" s="26"/>
      <c r="D81" s="97"/>
      <c r="E81" s="92"/>
      <c r="F81" s="98"/>
      <c r="G81" s="26"/>
      <c r="H81" s="97"/>
      <c r="I81" s="92"/>
      <c r="J81" s="98"/>
      <c r="K81" s="26"/>
      <c r="L81" s="97"/>
      <c r="M81" s="92"/>
      <c r="N81" s="98"/>
      <c r="O81" s="26"/>
      <c r="P81" s="80"/>
      <c r="Q81" s="26"/>
    </row>
    <row r="82" spans="2:17">
      <c r="B82" s="27" t="s">
        <v>169</v>
      </c>
      <c r="C82" s="26"/>
      <c r="D82" s="97"/>
      <c r="E82" s="92"/>
      <c r="F82" s="98"/>
      <c r="G82" s="26"/>
      <c r="H82" s="97"/>
      <c r="I82" s="92"/>
      <c r="J82" s="98"/>
      <c r="K82" s="26"/>
      <c r="L82" s="97"/>
      <c r="M82" s="92"/>
      <c r="N82" s="98"/>
      <c r="O82" s="26"/>
      <c r="P82" s="80"/>
      <c r="Q82" s="26"/>
    </row>
    <row r="83" spans="2:17">
      <c r="B83" s="27" t="s">
        <v>170</v>
      </c>
      <c r="C83" s="26"/>
      <c r="D83" s="97"/>
      <c r="E83" s="92"/>
      <c r="F83" s="98"/>
      <c r="G83" s="26"/>
      <c r="H83" s="97"/>
      <c r="I83" s="92"/>
      <c r="J83" s="98"/>
      <c r="K83" s="26"/>
      <c r="L83" s="97"/>
      <c r="M83" s="92"/>
      <c r="N83" s="98"/>
      <c r="O83" s="26"/>
      <c r="P83" s="80"/>
      <c r="Q83" s="26"/>
    </row>
    <row r="84" spans="2:17">
      <c r="B84" s="27" t="s">
        <v>171</v>
      </c>
      <c r="C84" s="26"/>
      <c r="D84" s="97"/>
      <c r="E84" s="92"/>
      <c r="F84" s="98"/>
      <c r="G84" s="26"/>
      <c r="H84" s="97"/>
      <c r="I84" s="92"/>
      <c r="J84" s="98"/>
      <c r="K84" s="26"/>
      <c r="L84" s="97"/>
      <c r="M84" s="92"/>
      <c r="N84" s="98"/>
      <c r="O84" s="26"/>
      <c r="P84" s="80"/>
      <c r="Q84" s="26"/>
    </row>
    <row r="85" spans="2:17">
      <c r="B85" s="27" t="s">
        <v>172</v>
      </c>
      <c r="C85" s="26"/>
      <c r="D85" s="97"/>
      <c r="E85" s="92"/>
      <c r="F85" s="98"/>
      <c r="G85" s="26"/>
      <c r="H85" s="97"/>
      <c r="I85" s="92"/>
      <c r="J85" s="98"/>
      <c r="K85" s="26"/>
      <c r="L85" s="97"/>
      <c r="M85" s="92"/>
      <c r="N85" s="98"/>
      <c r="O85" s="26"/>
      <c r="P85" s="80"/>
      <c r="Q85" s="26"/>
    </row>
    <row r="86" spans="2:17">
      <c r="B86" s="27" t="s">
        <v>173</v>
      </c>
      <c r="C86" s="26"/>
      <c r="D86" s="97"/>
      <c r="E86" s="92"/>
      <c r="F86" s="98"/>
      <c r="G86" s="26"/>
      <c r="H86" s="97"/>
      <c r="I86" s="92"/>
      <c r="J86" s="98"/>
      <c r="K86" s="26"/>
      <c r="L86" s="97"/>
      <c r="M86" s="92"/>
      <c r="N86" s="98"/>
      <c r="O86" s="26"/>
      <c r="P86" s="80"/>
      <c r="Q86" s="26"/>
    </row>
    <row r="87" spans="2:17">
      <c r="B87" s="27" t="s">
        <v>174</v>
      </c>
      <c r="C87" s="26"/>
      <c r="D87" s="97"/>
      <c r="E87" s="92"/>
      <c r="F87" s="98"/>
      <c r="G87" s="26"/>
      <c r="H87" s="97"/>
      <c r="I87" s="92"/>
      <c r="J87" s="98"/>
      <c r="K87" s="26"/>
      <c r="L87" s="97"/>
      <c r="M87" s="92"/>
      <c r="N87" s="98"/>
      <c r="O87" s="26"/>
      <c r="P87" s="80"/>
      <c r="Q87" s="26"/>
    </row>
    <row r="88" spans="2:17">
      <c r="B88" s="27" t="s">
        <v>175</v>
      </c>
      <c r="C88" s="26"/>
      <c r="D88" s="97"/>
      <c r="E88" s="92"/>
      <c r="F88" s="98"/>
      <c r="G88" s="26"/>
      <c r="H88" s="97"/>
      <c r="I88" s="92"/>
      <c r="J88" s="98"/>
      <c r="K88" s="26"/>
      <c r="L88" s="97"/>
      <c r="M88" s="92"/>
      <c r="N88" s="98"/>
      <c r="O88" s="26"/>
      <c r="P88" s="80"/>
      <c r="Q88" s="26"/>
    </row>
    <row r="89" spans="2:17">
      <c r="B89" s="26"/>
      <c r="C89" s="26"/>
      <c r="D89" s="26"/>
      <c r="E89" s="26"/>
      <c r="F89" s="26"/>
      <c r="G89" s="26"/>
      <c r="H89" s="26"/>
      <c r="I89" s="26"/>
      <c r="J89" s="26"/>
      <c r="K89" s="26"/>
      <c r="L89" s="26"/>
      <c r="M89" s="26"/>
      <c r="N89" s="26"/>
      <c r="O89" s="26"/>
      <c r="P89" s="26"/>
      <c r="Q89" s="26"/>
    </row>
    <row r="90" spans="2:17" ht="13.9" thickBot="1">
      <c r="B90" s="74" t="s">
        <v>146</v>
      </c>
      <c r="C90" s="26"/>
      <c r="D90" s="81">
        <f>SUM(D77:D88)</f>
        <v>0</v>
      </c>
      <c r="E90" s="82">
        <f>IF(D90&lt;&gt;0,F90/D90,0)</f>
        <v>0</v>
      </c>
      <c r="F90" s="83">
        <f>SUM(F77:F88)</f>
        <v>0</v>
      </c>
      <c r="G90" s="26"/>
      <c r="H90" s="81">
        <f>SUM(H77:H88)</f>
        <v>0</v>
      </c>
      <c r="I90" s="82">
        <f>IF(H90&lt;&gt;0,J90/H90,0)</f>
        <v>0</v>
      </c>
      <c r="J90" s="83">
        <f>SUM(J77:J88)</f>
        <v>0</v>
      </c>
      <c r="K90" s="26"/>
      <c r="L90" s="81">
        <f>SUM(L77:L88)</f>
        <v>0</v>
      </c>
      <c r="M90" s="82">
        <f>IF(L90&lt;&gt;0,N90/L90,0)</f>
        <v>0</v>
      </c>
      <c r="N90" s="83">
        <f>SUM(N77:N88)</f>
        <v>0</v>
      </c>
      <c r="O90" s="26"/>
      <c r="P90" s="83">
        <f>SUM(P77:P88)</f>
        <v>0</v>
      </c>
      <c r="Q90" s="26"/>
    </row>
    <row r="91" spans="2:17">
      <c r="B91" s="26"/>
      <c r="C91" s="26"/>
      <c r="D91" s="26"/>
      <c r="E91" s="26"/>
      <c r="F91" s="26"/>
      <c r="G91" s="26"/>
      <c r="H91" s="26"/>
      <c r="I91" s="26"/>
      <c r="J91" s="26"/>
      <c r="K91" s="26"/>
      <c r="L91" s="26"/>
      <c r="M91" s="26"/>
      <c r="N91" s="26"/>
      <c r="O91" s="26"/>
      <c r="P91" s="26"/>
      <c r="Q91" s="26"/>
    </row>
    <row r="92" spans="2:17">
      <c r="B92" s="71" t="s">
        <v>146</v>
      </c>
      <c r="C92" s="72"/>
      <c r="D92" s="247" t="s">
        <v>128</v>
      </c>
      <c r="E92" s="247"/>
      <c r="F92" s="247"/>
      <c r="G92" s="72"/>
      <c r="H92" s="247" t="s">
        <v>158</v>
      </c>
      <c r="I92" s="247"/>
      <c r="J92" s="247"/>
      <c r="K92" s="72"/>
      <c r="L92" s="247" t="s">
        <v>159</v>
      </c>
      <c r="M92" s="247"/>
      <c r="N92" s="247"/>
      <c r="O92" s="72"/>
      <c r="P92" s="71" t="s">
        <v>160</v>
      </c>
      <c r="Q92" s="26"/>
    </row>
    <row r="93" spans="2:17">
      <c r="B93" s="26"/>
      <c r="C93" s="26"/>
      <c r="D93" s="248"/>
      <c r="E93" s="248"/>
      <c r="F93" s="248"/>
      <c r="G93" s="26"/>
      <c r="H93" s="248"/>
      <c r="I93" s="248"/>
      <c r="J93" s="248"/>
      <c r="K93" s="26"/>
      <c r="L93" s="248"/>
      <c r="M93" s="248"/>
      <c r="N93" s="248"/>
      <c r="O93" s="26"/>
      <c r="P93" s="90"/>
      <c r="Q93" s="26"/>
    </row>
    <row r="94" spans="2:17">
      <c r="B94" s="74" t="s">
        <v>161</v>
      </c>
      <c r="C94" s="26"/>
      <c r="D94" s="90" t="s">
        <v>162</v>
      </c>
      <c r="E94" s="90" t="s">
        <v>100</v>
      </c>
      <c r="F94" s="90" t="s">
        <v>163</v>
      </c>
      <c r="G94" s="26"/>
      <c r="H94" s="90" t="s">
        <v>162</v>
      </c>
      <c r="I94" s="90" t="s">
        <v>100</v>
      </c>
      <c r="J94" s="90" t="s">
        <v>163</v>
      </c>
      <c r="K94" s="26"/>
      <c r="L94" s="90" t="s">
        <v>162</v>
      </c>
      <c r="M94" s="90" t="s">
        <v>100</v>
      </c>
      <c r="N94" s="90" t="s">
        <v>163</v>
      </c>
      <c r="O94" s="26"/>
      <c r="P94" s="90" t="s">
        <v>163</v>
      </c>
      <c r="Q94" s="26"/>
    </row>
    <row r="95" spans="2:17">
      <c r="B95" s="26"/>
      <c r="C95" s="26"/>
      <c r="D95" s="26"/>
      <c r="E95" s="26"/>
      <c r="F95" s="26"/>
      <c r="G95" s="26"/>
      <c r="H95" s="26"/>
      <c r="I95" s="26"/>
      <c r="J95" s="26"/>
      <c r="K95" s="26"/>
      <c r="L95" s="26"/>
      <c r="M95" s="26"/>
      <c r="N95" s="26"/>
      <c r="O95" s="26"/>
      <c r="P95" s="26"/>
      <c r="Q95" s="26"/>
    </row>
    <row r="96" spans="2:17">
      <c r="B96" s="27" t="s">
        <v>164</v>
      </c>
      <c r="C96" s="26"/>
      <c r="D96" s="91">
        <f>D20+D39+D58+D77</f>
        <v>655360.79575899662</v>
      </c>
      <c r="E96" s="92">
        <f t="shared" ref="E96:E107" si="14">IF(D96&lt;&gt;0,F96/D96,0)</f>
        <v>7.0527386992211252</v>
      </c>
      <c r="F96" s="80">
        <f>F20+F39+F58+F77</f>
        <v>4622088.4462018274</v>
      </c>
      <c r="G96" s="26"/>
      <c r="H96" s="91">
        <f>H20+H39+H58+H77</f>
        <v>458950.60764043411</v>
      </c>
      <c r="I96" s="92">
        <f t="shared" ref="I96:I107" si="15">IF(H96&lt;&gt;0,J96/H96,0)</f>
        <v>0.98184413966873973</v>
      </c>
      <c r="J96" s="80">
        <f>J20+J39+J58+J77</f>
        <v>450617.96450916736</v>
      </c>
      <c r="K96" s="26"/>
      <c r="L96" s="91">
        <f>L20+L39+L58+L77</f>
        <v>694793.14790337789</v>
      </c>
      <c r="M96" s="92">
        <f t="shared" ref="M96:M107" si="16">IF(L96&lt;&gt;0,N96/L96,0)</f>
        <v>4.1472843042415564</v>
      </c>
      <c r="N96" s="80">
        <f>N20+N39+N58+N77</f>
        <v>2881504.7169942614</v>
      </c>
      <c r="O96" s="26"/>
      <c r="P96" s="80">
        <f t="shared" ref="P96:P107" si="17">J96+N96</f>
        <v>3332122.6815034286</v>
      </c>
      <c r="Q96" s="26"/>
    </row>
    <row r="97" spans="2:17">
      <c r="B97" s="27" t="s">
        <v>165</v>
      </c>
      <c r="C97" s="26"/>
      <c r="D97" s="91">
        <f t="shared" ref="D97:D107" si="18">D21+D40+D59+D78</f>
        <v>648915.17750196741</v>
      </c>
      <c r="E97" s="92">
        <f t="shared" si="14"/>
        <v>7.0474890539727628</v>
      </c>
      <c r="F97" s="80">
        <f t="shared" ref="F97:F107" si="19">F21+F40+F59+F78</f>
        <v>4573222.6104019079</v>
      </c>
      <c r="G97" s="26"/>
      <c r="H97" s="91">
        <f t="shared" ref="H97:H107" si="20">H21+H40+H59+H78</f>
        <v>444962.66021321923</v>
      </c>
      <c r="I97" s="92">
        <f t="shared" si="15"/>
        <v>0.99439659455425633</v>
      </c>
      <c r="J97" s="80">
        <f t="shared" ref="J97:J107" si="21">J21+J40+J59+J78</f>
        <v>442469.35401982791</v>
      </c>
      <c r="K97" s="26"/>
      <c r="L97" s="91">
        <f t="shared" ref="L97:L107" si="22">L21+L40+L59+L78</f>
        <v>672003.06322356919</v>
      </c>
      <c r="M97" s="92">
        <f t="shared" si="16"/>
        <v>4.1465025899802699</v>
      </c>
      <c r="N97" s="80">
        <f t="shared" ref="N97:N107" si="23">N21+N40+N59+N78</f>
        <v>2786462.4421312045</v>
      </c>
      <c r="O97" s="26"/>
      <c r="P97" s="80">
        <f t="shared" si="17"/>
        <v>3228931.7961510327</v>
      </c>
      <c r="Q97" s="26"/>
    </row>
    <row r="98" spans="2:17">
      <c r="B98" s="27" t="s">
        <v>166</v>
      </c>
      <c r="C98" s="26"/>
      <c r="D98" s="91">
        <f t="shared" si="18"/>
        <v>594808.2836018207</v>
      </c>
      <c r="E98" s="92">
        <f t="shared" si="14"/>
        <v>7.0895474562910241</v>
      </c>
      <c r="F98" s="80">
        <f t="shared" si="19"/>
        <v>4216921.5539901182</v>
      </c>
      <c r="G98" s="26"/>
      <c r="H98" s="91">
        <f t="shared" si="20"/>
        <v>401236.59805506223</v>
      </c>
      <c r="I98" s="92">
        <f t="shared" si="15"/>
        <v>1.0042653148553484</v>
      </c>
      <c r="J98" s="80">
        <f t="shared" si="21"/>
        <v>402947.99847725593</v>
      </c>
      <c r="K98" s="26"/>
      <c r="L98" s="91">
        <f t="shared" si="22"/>
        <v>609134.40131112351</v>
      </c>
      <c r="M98" s="92">
        <f t="shared" si="16"/>
        <v>4.1430679156653882</v>
      </c>
      <c r="N98" s="80">
        <f t="shared" si="23"/>
        <v>2523685.1944001606</v>
      </c>
      <c r="O98" s="26"/>
      <c r="P98" s="80">
        <f t="shared" si="17"/>
        <v>2926633.1928774165</v>
      </c>
      <c r="Q98" s="26"/>
    </row>
    <row r="99" spans="2:17">
      <c r="B99" s="27" t="s">
        <v>167</v>
      </c>
      <c r="C99" s="26"/>
      <c r="D99" s="91">
        <f t="shared" si="18"/>
        <v>554812.86949681886</v>
      </c>
      <c r="E99" s="92">
        <f t="shared" si="14"/>
        <v>7.1161863106120551</v>
      </c>
      <c r="F99" s="80">
        <f t="shared" si="19"/>
        <v>3948151.7468646551</v>
      </c>
      <c r="G99" s="26"/>
      <c r="H99" s="91">
        <f t="shared" si="20"/>
        <v>373995.62051819696</v>
      </c>
      <c r="I99" s="92">
        <f t="shared" si="15"/>
        <v>1.0086416838602004</v>
      </c>
      <c r="J99" s="80">
        <f t="shared" si="21"/>
        <v>377227.57243581465</v>
      </c>
      <c r="K99" s="26"/>
      <c r="L99" s="91">
        <f t="shared" si="22"/>
        <v>562046.95124868827</v>
      </c>
      <c r="M99" s="92">
        <f t="shared" si="16"/>
        <v>4.1406821318384699</v>
      </c>
      <c r="N99" s="80">
        <f t="shared" si="23"/>
        <v>2327257.7682897309</v>
      </c>
      <c r="O99" s="26"/>
      <c r="P99" s="80">
        <f t="shared" si="17"/>
        <v>2704485.3407255458</v>
      </c>
      <c r="Q99" s="26"/>
    </row>
    <row r="100" spans="2:17">
      <c r="B100" s="27" t="s">
        <v>168</v>
      </c>
      <c r="C100" s="26"/>
      <c r="D100" s="91">
        <f t="shared" si="18"/>
        <v>667805.12676809053</v>
      </c>
      <c r="E100" s="92">
        <f t="shared" si="14"/>
        <v>7.1292259877503055</v>
      </c>
      <c r="F100" s="80">
        <f t="shared" si="19"/>
        <v>4760933.6645079581</v>
      </c>
      <c r="G100" s="26"/>
      <c r="H100" s="91">
        <f t="shared" si="20"/>
        <v>451374.4920333809</v>
      </c>
      <c r="I100" s="92">
        <f t="shared" si="15"/>
        <v>1.0272261496524815</v>
      </c>
      <c r="J100" s="80">
        <f t="shared" si="21"/>
        <v>463663.6815027945</v>
      </c>
      <c r="K100" s="26"/>
      <c r="L100" s="91">
        <f t="shared" si="22"/>
        <v>682594.74861750577</v>
      </c>
      <c r="M100" s="92">
        <f t="shared" si="16"/>
        <v>4.1381413745720632</v>
      </c>
      <c r="N100" s="80">
        <f t="shared" si="23"/>
        <v>2824673.5713197174</v>
      </c>
      <c r="O100" s="26"/>
      <c r="P100" s="80">
        <f t="shared" si="17"/>
        <v>3288337.2528225118</v>
      </c>
      <c r="Q100" s="26"/>
    </row>
    <row r="101" spans="2:17">
      <c r="B101" s="27" t="s">
        <v>169</v>
      </c>
      <c r="C101" s="26"/>
      <c r="D101" s="91">
        <f t="shared" si="18"/>
        <v>801507.99397387006</v>
      </c>
      <c r="E101" s="92">
        <f t="shared" si="14"/>
        <v>7.095341940132748</v>
      </c>
      <c r="F101" s="80">
        <f t="shared" si="19"/>
        <v>5686973.2849944662</v>
      </c>
      <c r="G101" s="26"/>
      <c r="H101" s="91">
        <f t="shared" si="20"/>
        <v>587483.5155183993</v>
      </c>
      <c r="I101" s="92">
        <f t="shared" si="15"/>
        <v>1.0190690453037641</v>
      </c>
      <c r="J101" s="80">
        <f t="shared" si="21"/>
        <v>598686.26529103424</v>
      </c>
      <c r="K101" s="26"/>
      <c r="L101" s="91">
        <f t="shared" si="22"/>
        <v>842115.65411811159</v>
      </c>
      <c r="M101" s="92">
        <f t="shared" si="16"/>
        <v>4.1406066505630932</v>
      </c>
      <c r="N101" s="80">
        <f t="shared" si="23"/>
        <v>3486869.6779847424</v>
      </c>
      <c r="O101" s="26"/>
      <c r="P101" s="80">
        <f t="shared" si="17"/>
        <v>4085555.9432757767</v>
      </c>
      <c r="Q101" s="26"/>
    </row>
    <row r="102" spans="2:17">
      <c r="B102" s="27" t="s">
        <v>170</v>
      </c>
      <c r="C102" s="26"/>
      <c r="D102" s="91">
        <f t="shared" si="18"/>
        <v>827356.66893042997</v>
      </c>
      <c r="E102" s="92">
        <f t="shared" si="14"/>
        <v>7.1325956574336651</v>
      </c>
      <c r="F102" s="80">
        <f t="shared" si="19"/>
        <v>5901200.5839619674</v>
      </c>
      <c r="G102" s="26"/>
      <c r="H102" s="91">
        <f t="shared" si="20"/>
        <v>578741.58655739296</v>
      </c>
      <c r="I102" s="92">
        <f t="shared" si="15"/>
        <v>1.0309323468390261</v>
      </c>
      <c r="J102" s="80">
        <f t="shared" si="21"/>
        <v>596643.42204295448</v>
      </c>
      <c r="K102" s="26"/>
      <c r="L102" s="91">
        <f t="shared" si="22"/>
        <v>841117.59461535281</v>
      </c>
      <c r="M102" s="92">
        <f t="shared" si="16"/>
        <v>4.1377452379535349</v>
      </c>
      <c r="N102" s="80">
        <f t="shared" si="23"/>
        <v>3480330.3216786077</v>
      </c>
      <c r="O102" s="26"/>
      <c r="P102" s="80">
        <f t="shared" si="17"/>
        <v>4076973.7437215624</v>
      </c>
      <c r="Q102" s="26"/>
    </row>
    <row r="103" spans="2:17">
      <c r="B103" s="27" t="s">
        <v>171</v>
      </c>
      <c r="C103" s="26"/>
      <c r="D103" s="91">
        <f t="shared" si="18"/>
        <v>844333.80961031362</v>
      </c>
      <c r="E103" s="92">
        <f t="shared" si="14"/>
        <v>7.1014666954408705</v>
      </c>
      <c r="F103" s="80">
        <f t="shared" si="19"/>
        <v>5996008.428782355</v>
      </c>
      <c r="G103" s="26"/>
      <c r="H103" s="91">
        <f t="shared" si="20"/>
        <v>562337.85224351543</v>
      </c>
      <c r="I103" s="92">
        <f t="shared" si="15"/>
        <v>1.0305310875087679</v>
      </c>
      <c r="J103" s="80">
        <f t="shared" si="21"/>
        <v>579506.6384198548</v>
      </c>
      <c r="K103" s="26"/>
      <c r="L103" s="91">
        <f t="shared" si="22"/>
        <v>866828.32528322656</v>
      </c>
      <c r="M103" s="92">
        <f t="shared" si="16"/>
        <v>4.1411954523432302</v>
      </c>
      <c r="N103" s="80">
        <f t="shared" si="23"/>
        <v>3589705.5186251961</v>
      </c>
      <c r="O103" s="26"/>
      <c r="P103" s="80">
        <f t="shared" si="17"/>
        <v>4169212.157045051</v>
      </c>
      <c r="Q103" s="26"/>
    </row>
    <row r="104" spans="2:17">
      <c r="B104" s="27" t="s">
        <v>172</v>
      </c>
      <c r="C104" s="26"/>
      <c r="D104" s="91">
        <f t="shared" si="18"/>
        <v>721397.46297865291</v>
      </c>
      <c r="E104" s="92">
        <f t="shared" si="14"/>
        <v>7.1124625154757002</v>
      </c>
      <c r="F104" s="80">
        <f t="shared" si="19"/>
        <v>5130912.4141949378</v>
      </c>
      <c r="G104" s="26"/>
      <c r="H104" s="91">
        <f t="shared" si="20"/>
        <v>470623.44768400624</v>
      </c>
      <c r="I104" s="92">
        <f t="shared" si="15"/>
        <v>1.0253594055701216</v>
      </c>
      <c r="J104" s="80">
        <f t="shared" si="21"/>
        <v>482558.17856463382</v>
      </c>
      <c r="K104" s="26"/>
      <c r="L104" s="91">
        <f t="shared" si="22"/>
        <v>724104.80800747289</v>
      </c>
      <c r="M104" s="92">
        <f t="shared" si="16"/>
        <v>4.140811726439626</v>
      </c>
      <c r="N104" s="80">
        <f t="shared" si="23"/>
        <v>2998381.6801686576</v>
      </c>
      <c r="O104" s="26"/>
      <c r="P104" s="80">
        <f t="shared" si="17"/>
        <v>3480939.8587332913</v>
      </c>
      <c r="Q104" s="26"/>
    </row>
    <row r="105" spans="2:17">
      <c r="B105" s="27" t="s">
        <v>173</v>
      </c>
      <c r="C105" s="26"/>
      <c r="D105" s="91">
        <f t="shared" si="18"/>
        <v>597676.844998913</v>
      </c>
      <c r="E105" s="92">
        <f t="shared" si="14"/>
        <v>7.1051447453108887</v>
      </c>
      <c r="F105" s="80">
        <f t="shared" si="19"/>
        <v>4246580.4946380174</v>
      </c>
      <c r="G105" s="26"/>
      <c r="H105" s="91">
        <f t="shared" si="20"/>
        <v>448631.89898139029</v>
      </c>
      <c r="I105" s="92">
        <f t="shared" si="15"/>
        <v>1.0442890218089311</v>
      </c>
      <c r="J105" s="80">
        <f t="shared" si="21"/>
        <v>468501.36693955923</v>
      </c>
      <c r="K105" s="26"/>
      <c r="L105" s="91">
        <f t="shared" si="22"/>
        <v>617233.44757115655</v>
      </c>
      <c r="M105" s="92">
        <f t="shared" si="16"/>
        <v>4.1405078596494667</v>
      </c>
      <c r="N105" s="80">
        <f t="shared" si="23"/>
        <v>2555659.9409069107</v>
      </c>
      <c r="O105" s="26"/>
      <c r="P105" s="80">
        <f t="shared" si="17"/>
        <v>3024161.3078464698</v>
      </c>
      <c r="Q105" s="26"/>
    </row>
    <row r="106" spans="2:17">
      <c r="B106" s="27" t="s">
        <v>174</v>
      </c>
      <c r="C106" s="26"/>
      <c r="D106" s="91">
        <f t="shared" si="18"/>
        <v>606468.97774991253</v>
      </c>
      <c r="E106" s="92">
        <f t="shared" si="14"/>
        <v>7.0726428234712682</v>
      </c>
      <c r="F106" s="80">
        <f t="shared" si="19"/>
        <v>4289338.4631408751</v>
      </c>
      <c r="G106" s="26"/>
      <c r="H106" s="91">
        <f t="shared" si="20"/>
        <v>410506.48824516125</v>
      </c>
      <c r="I106" s="92">
        <f t="shared" si="15"/>
        <v>1.0082164600279859</v>
      </c>
      <c r="J106" s="80">
        <f t="shared" si="21"/>
        <v>413879.3983970565</v>
      </c>
      <c r="K106" s="26"/>
      <c r="L106" s="91">
        <f t="shared" si="22"/>
        <v>589812.07176205609</v>
      </c>
      <c r="M106" s="92">
        <f t="shared" si="16"/>
        <v>4.1477703675888318</v>
      </c>
      <c r="N106" s="80">
        <f t="shared" si="23"/>
        <v>2446405.033700834</v>
      </c>
      <c r="O106" s="26"/>
      <c r="P106" s="80">
        <f t="shared" si="17"/>
        <v>2860284.4320978904</v>
      </c>
      <c r="Q106" s="26"/>
    </row>
    <row r="107" spans="2:17">
      <c r="B107" s="27" t="s">
        <v>175</v>
      </c>
      <c r="C107" s="26"/>
      <c r="D107" s="91">
        <f t="shared" si="18"/>
        <v>644274.48236777971</v>
      </c>
      <c r="E107" s="92">
        <f t="shared" si="14"/>
        <v>7.0877376133346504</v>
      </c>
      <c r="F107" s="80">
        <f t="shared" si="19"/>
        <v>4566448.4819898242</v>
      </c>
      <c r="G107" s="26"/>
      <c r="H107" s="91">
        <f t="shared" si="20"/>
        <v>473603.22560165264</v>
      </c>
      <c r="I107" s="92">
        <f t="shared" si="15"/>
        <v>1.0203613761765755</v>
      </c>
      <c r="J107" s="80">
        <f t="shared" si="21"/>
        <v>483246.43903656746</v>
      </c>
      <c r="K107" s="26"/>
      <c r="L107" s="91">
        <f t="shared" si="22"/>
        <v>649924.6237817388</v>
      </c>
      <c r="M107" s="92">
        <f t="shared" si="16"/>
        <v>4.1444294168556226</v>
      </c>
      <c r="N107" s="80">
        <f t="shared" si="23"/>
        <v>2693566.7295398614</v>
      </c>
      <c r="O107" s="26"/>
      <c r="P107" s="80">
        <f t="shared" si="17"/>
        <v>3176813.1685764287</v>
      </c>
      <c r="Q107" s="26"/>
    </row>
    <row r="108" spans="2:17">
      <c r="B108" s="26"/>
      <c r="C108" s="26"/>
      <c r="D108" s="26"/>
      <c r="E108" s="26"/>
      <c r="F108" s="26"/>
      <c r="G108" s="26"/>
      <c r="H108" s="26"/>
      <c r="I108" s="26"/>
      <c r="J108" s="26"/>
      <c r="K108" s="26"/>
      <c r="L108" s="26"/>
      <c r="M108" s="26"/>
      <c r="N108" s="26"/>
      <c r="O108" s="26"/>
      <c r="P108" s="80"/>
      <c r="Q108" s="26"/>
    </row>
    <row r="109" spans="2:17" ht="13.9" thickBot="1">
      <c r="B109" s="74" t="s">
        <v>146</v>
      </c>
      <c r="C109" s="26"/>
      <c r="D109" s="81">
        <f>SUM(D96:D107)</f>
        <v>8164718.4937375654</v>
      </c>
      <c r="E109" s="82">
        <f>IF(D109&lt;&gt;0,F109/D109,0)</f>
        <v>7.0962373311595055</v>
      </c>
      <c r="F109" s="83">
        <f>SUM(F96:F107)</f>
        <v>57938780.173668921</v>
      </c>
      <c r="G109" s="26"/>
      <c r="H109" s="81">
        <f>SUM(H96:H107)</f>
        <v>5662447.9932918111</v>
      </c>
      <c r="I109" s="82">
        <f>IF(H109&lt;&gt;0,J109/H109,0)</f>
        <v>1.017218751758995</v>
      </c>
      <c r="J109" s="83">
        <f>SUM(J96:J107)</f>
        <v>5759948.2796365218</v>
      </c>
      <c r="K109" s="26"/>
      <c r="L109" s="81">
        <f>SUM(L96:L107)</f>
        <v>8351708.8374433797</v>
      </c>
      <c r="M109" s="82">
        <f>IF(L109&lt;&gt;0,N109/L109,0)</f>
        <v>4.1422064955906608</v>
      </c>
      <c r="N109" s="83">
        <f>SUM(N96:N107)</f>
        <v>34594502.595739894</v>
      </c>
      <c r="O109" s="26"/>
      <c r="P109" s="83">
        <f>SUM(P96:P107)</f>
        <v>40354450.875376403</v>
      </c>
      <c r="Q109" s="26"/>
    </row>
    <row r="111" spans="2:17">
      <c r="N111" s="94" t="s">
        <v>180</v>
      </c>
      <c r="P111" s="95" t="e">
        <f>#REF!</f>
        <v>#REF!</v>
      </c>
    </row>
    <row r="113" spans="14:16" ht="13.9" thickBot="1">
      <c r="N113" s="96" t="s">
        <v>181</v>
      </c>
      <c r="P113" s="83" t="e">
        <f>P109+P111</f>
        <v>#REF!</v>
      </c>
    </row>
  </sheetData>
  <mergeCells count="22">
    <mergeCell ref="D93:F93"/>
    <mergeCell ref="H93:J93"/>
    <mergeCell ref="L93:N93"/>
    <mergeCell ref="D73:F73"/>
    <mergeCell ref="H73:J73"/>
    <mergeCell ref="L73:N73"/>
    <mergeCell ref="D92:F92"/>
    <mergeCell ref="H92:J92"/>
    <mergeCell ref="L92:N92"/>
    <mergeCell ref="D35:F35"/>
    <mergeCell ref="H35:J35"/>
    <mergeCell ref="L35:N35"/>
    <mergeCell ref="D54:F54"/>
    <mergeCell ref="H54:J54"/>
    <mergeCell ref="L54:N54"/>
    <mergeCell ref="B13:P13"/>
    <mergeCell ref="D16:F16"/>
    <mergeCell ref="H16:J16"/>
    <mergeCell ref="L16:N16"/>
    <mergeCell ref="D17:F17"/>
    <mergeCell ref="H17:J17"/>
    <mergeCell ref="L17:N1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1B82-4CE9-4FEB-88B3-E08D82B548C9}">
  <dimension ref="A3:M49"/>
  <sheetViews>
    <sheetView topLeftCell="B1" workbookViewId="0">
      <selection activeCell="F15" sqref="F15"/>
    </sheetView>
  </sheetViews>
  <sheetFormatPr defaultColWidth="9.28515625" defaultRowHeight="13.15"/>
  <cols>
    <col min="1" max="1" width="56.7109375" style="1" customWidth="1"/>
    <col min="2" max="2" width="79.7109375" style="1" customWidth="1"/>
    <col min="3" max="3" width="9.28515625" style="99"/>
    <col min="4" max="4" width="16.28515625" style="99" customWidth="1"/>
    <col min="5" max="5" width="17.42578125" style="99" customWidth="1"/>
    <col min="6" max="6" width="16.28515625" style="99" customWidth="1"/>
    <col min="7" max="7" width="14.5703125" style="99" customWidth="1"/>
    <col min="8" max="8" width="11.5703125" style="99" customWidth="1"/>
    <col min="9" max="9" width="14.28515625" style="99" customWidth="1"/>
    <col min="10" max="10" width="14.42578125" style="99" customWidth="1"/>
    <col min="11" max="11" width="12.28515625" style="1" bestFit="1" customWidth="1"/>
    <col min="12" max="12" width="14.28515625" style="1" customWidth="1"/>
    <col min="13" max="13" width="12.140625" style="1" customWidth="1"/>
    <col min="14" max="16384" width="9.28515625" style="1"/>
  </cols>
  <sheetData>
    <row r="3" spans="1:13">
      <c r="D3" s="100"/>
      <c r="E3" s="101"/>
      <c r="F3" s="101"/>
      <c r="G3" s="101"/>
      <c r="H3" s="102"/>
      <c r="I3" s="101"/>
      <c r="J3" s="100"/>
    </row>
    <row r="4" spans="1:13">
      <c r="D4" s="100"/>
      <c r="E4" s="101"/>
      <c r="F4" s="101"/>
      <c r="G4" s="101"/>
      <c r="H4" s="102"/>
      <c r="I4" s="101"/>
      <c r="J4" s="100"/>
    </row>
    <row r="5" spans="1:13">
      <c r="D5" s="100"/>
      <c r="E5" s="101"/>
      <c r="F5" s="101"/>
      <c r="G5" s="101"/>
      <c r="H5" s="102"/>
      <c r="I5" s="101"/>
      <c r="J5" s="100"/>
    </row>
    <row r="6" spans="1:13">
      <c r="D6" s="100"/>
      <c r="E6" s="101"/>
      <c r="F6" s="101"/>
      <c r="G6" s="101"/>
      <c r="H6" s="102"/>
      <c r="I6" s="101"/>
      <c r="J6" s="100"/>
    </row>
    <row r="7" spans="1:13">
      <c r="D7" s="100"/>
      <c r="E7" s="101"/>
      <c r="F7" s="101"/>
      <c r="G7" s="101"/>
      <c r="H7" s="102"/>
      <c r="I7" s="101"/>
      <c r="J7" s="100"/>
    </row>
    <row r="8" spans="1:13">
      <c r="D8" s="100"/>
      <c r="E8" s="101"/>
      <c r="F8" s="101"/>
      <c r="G8" s="101"/>
      <c r="H8" s="102"/>
      <c r="I8" s="101"/>
      <c r="J8" s="100"/>
    </row>
    <row r="9" spans="1:13">
      <c r="D9" s="100"/>
      <c r="E9" s="101"/>
      <c r="F9" s="101"/>
      <c r="G9" s="101"/>
      <c r="H9" s="102"/>
      <c r="I9" s="101"/>
      <c r="J9" s="100"/>
    </row>
    <row r="10" spans="1:13">
      <c r="D10" s="100"/>
      <c r="E10" s="101"/>
      <c r="F10" s="101"/>
      <c r="G10" s="101"/>
      <c r="H10" s="102"/>
      <c r="I10" s="101"/>
      <c r="J10" s="100"/>
    </row>
    <row r="11" spans="1:13">
      <c r="D11" s="100"/>
      <c r="E11" s="101"/>
      <c r="F11" s="101"/>
      <c r="G11" s="101"/>
      <c r="H11" s="102"/>
      <c r="I11" s="101"/>
      <c r="J11" s="100"/>
    </row>
    <row r="12" spans="1:13">
      <c r="D12" s="100"/>
      <c r="E12" s="101"/>
      <c r="F12" s="101"/>
      <c r="G12" s="101"/>
      <c r="H12" s="102"/>
      <c r="I12" s="101"/>
      <c r="J12" s="100"/>
    </row>
    <row r="13" spans="1:13" ht="15.6">
      <c r="A13" s="103" t="s">
        <v>183</v>
      </c>
      <c r="D13" s="100"/>
      <c r="E13" s="101"/>
      <c r="F13" s="101"/>
      <c r="G13" s="101"/>
      <c r="H13" s="102"/>
      <c r="I13" s="101"/>
      <c r="J13" s="100"/>
    </row>
    <row r="14" spans="1:13">
      <c r="D14" s="100"/>
      <c r="E14" s="101"/>
      <c r="F14" s="101"/>
      <c r="G14" s="101"/>
      <c r="H14" s="102"/>
      <c r="I14" s="101"/>
      <c r="J14" s="100"/>
    </row>
    <row r="15" spans="1:13" ht="46.9">
      <c r="A15" s="104" t="s">
        <v>97</v>
      </c>
      <c r="B15" s="104" t="s">
        <v>98</v>
      </c>
      <c r="C15" s="105" t="s">
        <v>99</v>
      </c>
      <c r="D15" s="106" t="s">
        <v>186</v>
      </c>
      <c r="E15" s="107" t="s">
        <v>104</v>
      </c>
      <c r="F15" s="108" t="s">
        <v>187</v>
      </c>
      <c r="G15" s="109" t="s">
        <v>188</v>
      </c>
      <c r="H15" s="110" t="s">
        <v>189</v>
      </c>
      <c r="I15" s="108" t="s">
        <v>190</v>
      </c>
      <c r="J15" s="111" t="s">
        <v>191</v>
      </c>
    </row>
    <row r="16" spans="1:13">
      <c r="G16" s="112"/>
      <c r="M16" s="118"/>
    </row>
    <row r="17" spans="1:13">
      <c r="A17" s="1" t="s">
        <v>106</v>
      </c>
      <c r="B17" s="1" t="s">
        <v>107</v>
      </c>
      <c r="C17" s="99" t="s">
        <v>108</v>
      </c>
      <c r="D17" s="100">
        <f>'8. RTSR Rates to Forecast 2028'!J17</f>
        <v>1.3100000000000001E-2</v>
      </c>
      <c r="E17" s="112">
        <f>'3. RRR Data 2029'!H17</f>
        <v>1602389256.3182268</v>
      </c>
      <c r="F17" s="112">
        <f>'3. RRR Data 2029'!F17</f>
        <v>0</v>
      </c>
      <c r="G17" s="112">
        <f>IF(D17*E17=0,ROUND(D17*F17,2),ROUND(D17*E17,2))</f>
        <v>20991299.260000002</v>
      </c>
      <c r="H17" s="113">
        <f t="shared" ref="H17:H28" si="0">G17/$G$28</f>
        <v>0.38240261750417337</v>
      </c>
      <c r="I17" s="112">
        <f>H17*$I$28</f>
        <v>22155941.193409897</v>
      </c>
      <c r="J17" s="100">
        <f>IF(I17*E17=0,ROUND(I17/F17,4),ROUND(I17/E17,4))</f>
        <v>1.38E-2</v>
      </c>
      <c r="K17" s="118"/>
      <c r="L17" s="123"/>
      <c r="M17" s="118"/>
    </row>
    <row r="18" spans="1:13">
      <c r="A18" s="1" t="s">
        <v>110</v>
      </c>
      <c r="B18" s="1" t="s">
        <v>107</v>
      </c>
      <c r="C18" s="99" t="s">
        <v>108</v>
      </c>
      <c r="D18" s="100">
        <f>'8. RTSR Rates to Forecast 2028'!J18</f>
        <v>1.32E-2</v>
      </c>
      <c r="E18" s="112">
        <f>'3. RRR Data 2029'!H19</f>
        <v>14445442.376776399</v>
      </c>
      <c r="F18" s="112">
        <f>'3. RRR Data 2029'!F19</f>
        <v>0</v>
      </c>
      <c r="G18" s="112">
        <f t="shared" ref="G18:G27" si="1">IF(D18*E18=0,ROUND(D18*F18,2),ROUND(D18*E18,2))</f>
        <v>190679.84</v>
      </c>
      <c r="H18" s="113">
        <f t="shared" si="0"/>
        <v>3.4736520602239732E-3</v>
      </c>
      <c r="I18" s="112">
        <f t="shared" ref="I18:I27" si="2">H18*$I$28</f>
        <v>201259.16311712892</v>
      </c>
      <c r="J18" s="100">
        <f t="shared" ref="J18:J27" si="3">IF(I18*E18=0,ROUND(I18/F18,4),ROUND(I18/E18,4))</f>
        <v>1.3899999999999999E-2</v>
      </c>
      <c r="K18" s="120"/>
      <c r="L18" s="123"/>
      <c r="M18" s="118"/>
    </row>
    <row r="19" spans="1:13">
      <c r="A19" s="1" t="s">
        <v>111</v>
      </c>
      <c r="B19" s="1" t="s">
        <v>107</v>
      </c>
      <c r="C19" s="99" t="s">
        <v>108</v>
      </c>
      <c r="D19" s="100">
        <f>'8. RTSR Rates to Forecast 2028'!J19</f>
        <v>1.2E-2</v>
      </c>
      <c r="E19" s="112">
        <f>'3. RRR Data 2029'!H21</f>
        <v>372747747.06065547</v>
      </c>
      <c r="F19" s="112">
        <f>'3. RRR Data 2029'!F21</f>
        <v>0</v>
      </c>
      <c r="G19" s="112">
        <f t="shared" si="1"/>
        <v>4472972.96</v>
      </c>
      <c r="H19" s="113">
        <f t="shared" si="0"/>
        <v>8.1485026093110452E-2</v>
      </c>
      <c r="I19" s="112">
        <f t="shared" si="2"/>
        <v>4721143.0142544024</v>
      </c>
      <c r="J19" s="100">
        <f t="shared" si="3"/>
        <v>1.2699999999999999E-2</v>
      </c>
      <c r="K19" s="120"/>
      <c r="L19" s="123"/>
      <c r="M19" s="118"/>
    </row>
    <row r="20" spans="1:13">
      <c r="A20" s="1" t="s">
        <v>112</v>
      </c>
      <c r="B20" s="1" t="s">
        <v>107</v>
      </c>
      <c r="C20" s="99" t="s">
        <v>113</v>
      </c>
      <c r="D20" s="100">
        <f>'8. RTSR Rates to Forecast 2028'!J20</f>
        <v>5.5117000000000003</v>
      </c>
      <c r="E20" s="112"/>
      <c r="F20" s="112">
        <f>'3. RRR Data 2029'!F23</f>
        <v>3475754.98238065</v>
      </c>
      <c r="G20" s="112">
        <f t="shared" si="1"/>
        <v>19157318.739999998</v>
      </c>
      <c r="H20" s="113">
        <f t="shared" si="0"/>
        <v>0.34899263451012091</v>
      </c>
      <c r="I20" s="112">
        <f t="shared" si="2"/>
        <v>20220207.533111475</v>
      </c>
      <c r="J20" s="100">
        <f t="shared" si="3"/>
        <v>5.8174999999999999</v>
      </c>
      <c r="K20" s="120"/>
      <c r="L20" s="123"/>
      <c r="M20" s="118"/>
    </row>
    <row r="21" spans="1:13">
      <c r="A21" s="1" t="s">
        <v>112</v>
      </c>
      <c r="B21" s="1" t="s">
        <v>114</v>
      </c>
      <c r="C21" s="99" t="s">
        <v>113</v>
      </c>
      <c r="D21" s="100">
        <f>'8. RTSR Rates to Forecast 2028'!J21</f>
        <v>0.94030000000000002</v>
      </c>
      <c r="E21" s="112"/>
      <c r="F21" s="112">
        <f>'3. RRR Data 2029'!F25</f>
        <v>31932.981443627858</v>
      </c>
      <c r="G21" s="112">
        <f t="shared" si="1"/>
        <v>30026.58</v>
      </c>
      <c r="H21" s="113">
        <f t="shared" si="0"/>
        <v>5.470000996354935E-4</v>
      </c>
      <c r="I21" s="112">
        <f t="shared" si="2"/>
        <v>31692.518527755852</v>
      </c>
      <c r="J21" s="100">
        <f t="shared" si="3"/>
        <v>0.99250000000000005</v>
      </c>
      <c r="K21" s="120"/>
      <c r="L21" s="123"/>
      <c r="M21" s="118"/>
    </row>
    <row r="22" spans="1:13">
      <c r="A22" s="1" t="s">
        <v>116</v>
      </c>
      <c r="B22" s="1" t="s">
        <v>107</v>
      </c>
      <c r="C22" s="99" t="s">
        <v>113</v>
      </c>
      <c r="D22" s="100">
        <f>'8. RTSR Rates to Forecast 2028'!J22</f>
        <v>5.8022</v>
      </c>
      <c r="E22" s="112"/>
      <c r="F22" s="112">
        <f>'3. RRR Data 2029'!F27</f>
        <v>678659.53619359934</v>
      </c>
      <c r="G22" s="112">
        <f t="shared" si="1"/>
        <v>3937718.36</v>
      </c>
      <c r="H22" s="113">
        <f t="shared" si="0"/>
        <v>7.173418801796648E-2</v>
      </c>
      <c r="I22" s="112">
        <f t="shared" si="2"/>
        <v>4156191.3505095942</v>
      </c>
      <c r="J22" s="100">
        <f t="shared" si="3"/>
        <v>6.1241000000000003</v>
      </c>
      <c r="K22" s="120"/>
      <c r="L22" s="123"/>
      <c r="M22" s="118"/>
    </row>
    <row r="23" spans="1:13">
      <c r="A23" s="1" t="s">
        <v>116</v>
      </c>
      <c r="B23" s="1" t="s">
        <v>114</v>
      </c>
      <c r="C23" s="99" t="s">
        <v>113</v>
      </c>
      <c r="D23" s="100" t="e">
        <f>'8. RTSR Rates to Forecast 2028'!J23</f>
        <v>#DIV/0!</v>
      </c>
      <c r="E23" s="112"/>
      <c r="F23" s="112"/>
      <c r="G23" s="112"/>
      <c r="H23" s="113">
        <f t="shared" si="0"/>
        <v>0</v>
      </c>
      <c r="I23" s="112">
        <f t="shared" si="2"/>
        <v>0</v>
      </c>
      <c r="J23" s="100" t="e">
        <f t="shared" si="3"/>
        <v>#DIV/0!</v>
      </c>
      <c r="K23" s="120"/>
      <c r="L23" s="123"/>
      <c r="M23" s="118"/>
    </row>
    <row r="24" spans="1:13">
      <c r="A24" s="1" t="s">
        <v>119</v>
      </c>
      <c r="B24" s="1" t="s">
        <v>107</v>
      </c>
      <c r="C24" s="99" t="s">
        <v>113</v>
      </c>
      <c r="D24" s="100">
        <f>'8. RTSR Rates to Forecast 2028'!J24</f>
        <v>6.2215999999999996</v>
      </c>
      <c r="E24" s="112"/>
      <c r="F24" s="112">
        <f>'3. RRR Data 2029'!F31</f>
        <v>942415.91802328057</v>
      </c>
      <c r="G24" s="112">
        <f t="shared" si="1"/>
        <v>5863334.8799999999</v>
      </c>
      <c r="H24" s="113">
        <f t="shared" si="0"/>
        <v>0.10681352200471263</v>
      </c>
      <c r="I24" s="112">
        <f t="shared" si="2"/>
        <v>6188645.1710063918</v>
      </c>
      <c r="J24" s="100">
        <f t="shared" si="3"/>
        <v>6.5667999999999997</v>
      </c>
      <c r="K24" s="120"/>
      <c r="L24" s="123"/>
      <c r="M24" s="118"/>
    </row>
    <row r="25" spans="1:13">
      <c r="A25" s="1" t="s">
        <v>120</v>
      </c>
      <c r="B25" s="1" t="s">
        <v>107</v>
      </c>
      <c r="C25" s="99" t="s">
        <v>108</v>
      </c>
      <c r="D25" s="100">
        <f>'8. RTSR Rates to Forecast 2028'!J25</f>
        <v>1.2E-2</v>
      </c>
      <c r="E25" s="112">
        <f>'3. RRR Data 2029'!H33</f>
        <v>6688076.1413429212</v>
      </c>
      <c r="F25" s="112">
        <f>'3. RRR Data 2029'!F33</f>
        <v>0</v>
      </c>
      <c r="G25" s="112">
        <f t="shared" si="1"/>
        <v>80256.91</v>
      </c>
      <c r="H25" s="113">
        <f t="shared" si="0"/>
        <v>1.4620558773738746E-3</v>
      </c>
      <c r="I25" s="112">
        <f t="shared" si="2"/>
        <v>84709.734080785551</v>
      </c>
      <c r="J25" s="100">
        <f t="shared" si="3"/>
        <v>1.2699999999999999E-2</v>
      </c>
      <c r="K25" s="120"/>
      <c r="L25" s="123"/>
      <c r="M25" s="118"/>
    </row>
    <row r="26" spans="1:13">
      <c r="A26" s="1" t="s">
        <v>121</v>
      </c>
      <c r="B26" s="1" t="s">
        <v>107</v>
      </c>
      <c r="C26" s="99" t="s">
        <v>113</v>
      </c>
      <c r="D26" s="100">
        <f>'8. RTSR Rates to Forecast 2028'!J26</f>
        <v>3.5703999999999998</v>
      </c>
      <c r="E26" s="112"/>
      <c r="F26" s="112">
        <f>'3. RRR Data 2029'!F35</f>
        <v>634.86173214226346</v>
      </c>
      <c r="G26" s="112">
        <f t="shared" si="1"/>
        <v>2266.71</v>
      </c>
      <c r="H26" s="113">
        <f t="shared" si="0"/>
        <v>4.1293100840814024E-5</v>
      </c>
      <c r="I26" s="112">
        <f t="shared" si="2"/>
        <v>2392.4718923050668</v>
      </c>
      <c r="J26" s="100">
        <f t="shared" si="3"/>
        <v>3.7685</v>
      </c>
      <c r="K26" s="120"/>
      <c r="L26" s="123"/>
      <c r="M26" s="118"/>
    </row>
    <row r="27" spans="1:13">
      <c r="A27" s="1" t="s">
        <v>122</v>
      </c>
      <c r="B27" s="1" t="s">
        <v>107</v>
      </c>
      <c r="C27" s="99" t="s">
        <v>113</v>
      </c>
      <c r="D27" s="100">
        <f>'8. RTSR Rates to Forecast 2028'!J27</f>
        <v>3.7477</v>
      </c>
      <c r="E27" s="112"/>
      <c r="F27" s="112">
        <f>'3. RRR Data 2029'!F37</f>
        <v>44644.724030707992</v>
      </c>
      <c r="G27" s="112">
        <f t="shared" si="1"/>
        <v>167315.03</v>
      </c>
      <c r="H27" s="113">
        <f t="shared" si="0"/>
        <v>3.0480107318421072E-3</v>
      </c>
      <c r="I27" s="112">
        <f t="shared" si="2"/>
        <v>176598.02375918356</v>
      </c>
      <c r="J27" s="100">
        <f t="shared" si="3"/>
        <v>3.9556</v>
      </c>
      <c r="K27" s="120"/>
      <c r="L27" s="123"/>
      <c r="M27" s="118"/>
    </row>
    <row r="28" spans="1:13">
      <c r="D28" s="100"/>
      <c r="E28" s="112"/>
      <c r="F28" s="112"/>
      <c r="G28" s="112">
        <f>SUM(G17:G27)</f>
        <v>54893189.269999996</v>
      </c>
      <c r="H28" s="113">
        <f t="shared" si="0"/>
        <v>1</v>
      </c>
      <c r="I28" s="112">
        <f>'7. Forecast Wholesale 2029'!F33+'7. Forecast Wholesale 2029'!F52</f>
        <v>57938780.173668914</v>
      </c>
      <c r="J28" s="100"/>
      <c r="L28" s="123"/>
    </row>
    <row r="30" spans="1:13" ht="15.6">
      <c r="A30" s="103" t="s">
        <v>199</v>
      </c>
    </row>
    <row r="31" spans="1:13" ht="46.9">
      <c r="A31" s="104" t="s">
        <v>97</v>
      </c>
      <c r="B31" s="104" t="s">
        <v>98</v>
      </c>
      <c r="C31" s="105" t="s">
        <v>99</v>
      </c>
      <c r="D31" s="106" t="s">
        <v>200</v>
      </c>
      <c r="E31" s="107" t="s">
        <v>104</v>
      </c>
      <c r="F31" s="108" t="s">
        <v>187</v>
      </c>
      <c r="G31" s="109" t="s">
        <v>188</v>
      </c>
      <c r="H31" s="110" t="s">
        <v>189</v>
      </c>
      <c r="I31" s="108" t="s">
        <v>190</v>
      </c>
      <c r="J31" s="111" t="s">
        <v>201</v>
      </c>
    </row>
    <row r="33" spans="1:13">
      <c r="A33" s="1" t="s">
        <v>106</v>
      </c>
      <c r="B33" s="1" t="s">
        <v>109</v>
      </c>
      <c r="C33" s="99" t="s">
        <v>108</v>
      </c>
      <c r="D33" s="100">
        <f>'8. RTSR Rates to Forecast 2028'!J33</f>
        <v>9.4999999999999998E-3</v>
      </c>
      <c r="E33" s="112">
        <f>'3. RRR Data 2029'!H18</f>
        <v>1602389256.3182268</v>
      </c>
      <c r="F33" s="112">
        <f>'3. RRR Data 2029'!F18</f>
        <v>0</v>
      </c>
      <c r="G33" s="112">
        <f>IF(D33*E33=0,ROUND(D33*F33,2),ROUND(D33*E33,2))</f>
        <v>15222697.939999999</v>
      </c>
      <c r="H33" s="113">
        <f>G33/$G$44</f>
        <v>0.39775364756830145</v>
      </c>
      <c r="I33" s="112">
        <f>H33*$I$44</f>
        <v>16051130.031296799</v>
      </c>
      <c r="J33" s="100">
        <f>IF(I33*E33=0,ROUND(I33/F33,4),ROUND(I33/E33,4))</f>
        <v>0.01</v>
      </c>
      <c r="K33" s="120"/>
      <c r="L33" s="123"/>
      <c r="M33" s="118"/>
    </row>
    <row r="34" spans="1:13">
      <c r="A34" s="1" t="s">
        <v>110</v>
      </c>
      <c r="B34" s="1" t="s">
        <v>109</v>
      </c>
      <c r="C34" s="99" t="s">
        <v>108</v>
      </c>
      <c r="D34" s="100">
        <f>'8. RTSR Rates to Forecast 2028'!J34</f>
        <v>1.15E-2</v>
      </c>
      <c r="E34" s="112">
        <f>'3. RRR Data 2029'!H20</f>
        <v>14445442.376776399</v>
      </c>
      <c r="F34" s="112">
        <f>'3. RRR Data 2029'!F20</f>
        <v>0</v>
      </c>
      <c r="G34" s="112">
        <f t="shared" ref="G34:G43" si="4">IF(D34*E34=0,ROUND(D34*F34,2),ROUND(D34*E34,2))</f>
        <v>166122.59</v>
      </c>
      <c r="H34" s="113">
        <f t="shared" ref="H34:H43" si="5">G34/$G$44</f>
        <v>4.3406146779257082E-3</v>
      </c>
      <c r="I34" s="112">
        <f t="shared" ref="I34:I43" si="6">H34*$I$44</f>
        <v>175163.12178929077</v>
      </c>
      <c r="J34" s="100">
        <f t="shared" ref="J34:J43" si="7">IF(I34*E34=0,ROUND(I34/F34,4),ROUND(I34/E34,4))</f>
        <v>1.21E-2</v>
      </c>
      <c r="K34" s="120"/>
      <c r="L34" s="123"/>
      <c r="M34" s="118"/>
    </row>
    <row r="35" spans="1:13">
      <c r="A35" s="1" t="s">
        <v>111</v>
      </c>
      <c r="B35" s="1" t="s">
        <v>109</v>
      </c>
      <c r="C35" s="99" t="s">
        <v>108</v>
      </c>
      <c r="D35" s="100">
        <f>'8. RTSR Rates to Forecast 2028'!J35</f>
        <v>8.8999999999999999E-3</v>
      </c>
      <c r="E35" s="112">
        <f>'3. RRR Data 2029'!H22</f>
        <v>372747747.06065547</v>
      </c>
      <c r="F35" s="112">
        <f>'3. RRR Data 2029'!F22</f>
        <v>0</v>
      </c>
      <c r="G35" s="112">
        <f t="shared" si="4"/>
        <v>3317454.95</v>
      </c>
      <c r="H35" s="113">
        <f t="shared" si="5"/>
        <v>8.668173093934603E-2</v>
      </c>
      <c r="I35" s="112">
        <f t="shared" si="6"/>
        <v>3497993.6529844343</v>
      </c>
      <c r="J35" s="100">
        <f t="shared" si="7"/>
        <v>9.4000000000000004E-3</v>
      </c>
      <c r="K35" s="120"/>
      <c r="L35" s="123"/>
      <c r="M35" s="118"/>
    </row>
    <row r="36" spans="1:13">
      <c r="A36" s="1" t="s">
        <v>112</v>
      </c>
      <c r="B36" s="1" t="s">
        <v>109</v>
      </c>
      <c r="C36" s="99" t="s">
        <v>113</v>
      </c>
      <c r="D36" s="100">
        <f>'8. RTSR Rates to Forecast 2028'!J36</f>
        <v>3.9043000000000001</v>
      </c>
      <c r="E36" s="112"/>
      <c r="F36" s="112">
        <f>'3. RRR Data 2029'!F24</f>
        <v>3475754.98238065</v>
      </c>
      <c r="G36" s="112">
        <f t="shared" si="4"/>
        <v>13570390.18</v>
      </c>
      <c r="H36" s="113">
        <f t="shared" si="5"/>
        <v>0.35458052273617269</v>
      </c>
      <c r="I36" s="112">
        <f t="shared" si="6"/>
        <v>14308902.286122167</v>
      </c>
      <c r="J36" s="100">
        <f t="shared" si="7"/>
        <v>4.1167999999999996</v>
      </c>
      <c r="K36" s="120"/>
      <c r="L36" s="123"/>
      <c r="M36" s="118"/>
    </row>
    <row r="37" spans="1:13">
      <c r="A37" s="1" t="s">
        <v>112</v>
      </c>
      <c r="B37" s="1" t="s">
        <v>115</v>
      </c>
      <c r="C37" s="99" t="s">
        <v>113</v>
      </c>
      <c r="D37" s="100">
        <f>'8. RTSR Rates to Forecast 2028'!J37</f>
        <v>0.66320000000000001</v>
      </c>
      <c r="E37" s="112"/>
      <c r="F37" s="112">
        <f>'3. RRR Data 2029'!F26</f>
        <v>31932.981443627858</v>
      </c>
      <c r="G37" s="112">
        <f t="shared" si="4"/>
        <v>21177.95</v>
      </c>
      <c r="H37" s="113">
        <f t="shared" si="5"/>
        <v>5.5335833987645358E-4</v>
      </c>
      <c r="I37" s="112">
        <f t="shared" si="6"/>
        <v>22330.471943024186</v>
      </c>
      <c r="J37" s="100">
        <f t="shared" si="7"/>
        <v>0.69930000000000003</v>
      </c>
      <c r="K37" s="120"/>
      <c r="L37" s="123"/>
      <c r="M37" s="118"/>
    </row>
    <row r="38" spans="1:13">
      <c r="A38" s="1" t="s">
        <v>116</v>
      </c>
      <c r="B38" s="1" t="s">
        <v>117</v>
      </c>
      <c r="C38" s="99" t="s">
        <v>113</v>
      </c>
      <c r="D38" s="100">
        <f>'8. RTSR Rates to Forecast 2028'!J38</f>
        <v>2.617</v>
      </c>
      <c r="E38" s="112"/>
      <c r="F38" s="112">
        <f>'3. RRR Data 2029'!F28</f>
        <v>678659.53619359934</v>
      </c>
      <c r="G38" s="112">
        <f t="shared" si="4"/>
        <v>1776052.01</v>
      </c>
      <c r="H38" s="113">
        <f t="shared" si="5"/>
        <v>4.6406436495876065E-2</v>
      </c>
      <c r="I38" s="112">
        <f t="shared" si="6"/>
        <v>1872706.2618741053</v>
      </c>
      <c r="J38" s="100">
        <f t="shared" si="7"/>
        <v>2.7593999999999999</v>
      </c>
      <c r="K38" s="120"/>
      <c r="L38" s="123"/>
      <c r="M38" s="118"/>
    </row>
    <row r="39" spans="1:13">
      <c r="A39" s="1" t="s">
        <v>116</v>
      </c>
      <c r="B39" s="1" t="s">
        <v>118</v>
      </c>
      <c r="C39" s="99" t="s">
        <v>113</v>
      </c>
      <c r="D39" s="100" t="e">
        <f>'8. RTSR Rates to Forecast 2028'!J39</f>
        <v>#DIV/0!</v>
      </c>
      <c r="E39" s="112"/>
      <c r="F39" s="112"/>
      <c r="G39" s="112"/>
      <c r="H39" s="113">
        <f t="shared" si="5"/>
        <v>0</v>
      </c>
      <c r="I39" s="112">
        <f t="shared" si="6"/>
        <v>0</v>
      </c>
      <c r="J39" s="100" t="e">
        <f t="shared" si="7"/>
        <v>#DIV/0!</v>
      </c>
      <c r="K39" s="120"/>
      <c r="L39" s="123"/>
      <c r="M39" s="118"/>
    </row>
    <row r="40" spans="1:13">
      <c r="A40" s="1" t="s">
        <v>119</v>
      </c>
      <c r="B40" s="1" t="s">
        <v>117</v>
      </c>
      <c r="C40" s="99" t="s">
        <v>113</v>
      </c>
      <c r="D40" s="100">
        <f>'8. RTSR Rates to Forecast 2028'!J40</f>
        <v>4.2628000000000004</v>
      </c>
      <c r="E40" s="112"/>
      <c r="F40" s="112">
        <f>'3. RRR Data 2029'!F32</f>
        <v>942415.91802328057</v>
      </c>
      <c r="G40" s="112">
        <f t="shared" si="4"/>
        <v>4017330.58</v>
      </c>
      <c r="H40" s="113">
        <f>G40/$G$44</f>
        <v>0.10496877084343434</v>
      </c>
      <c r="I40" s="112">
        <f t="shared" si="6"/>
        <v>4235957.1064500138</v>
      </c>
      <c r="J40" s="100">
        <f t="shared" si="7"/>
        <v>4.4947999999999997</v>
      </c>
      <c r="K40" s="120"/>
      <c r="L40" s="123"/>
      <c r="M40" s="118"/>
    </row>
    <row r="41" spans="1:13">
      <c r="A41" s="1" t="s">
        <v>120</v>
      </c>
      <c r="B41" s="1" t="s">
        <v>109</v>
      </c>
      <c r="C41" s="99" t="s">
        <v>108</v>
      </c>
      <c r="D41" s="100">
        <f>'8. RTSR Rates to Forecast 2028'!J41</f>
        <v>8.8999999999999999E-3</v>
      </c>
      <c r="E41" s="112">
        <f>'3. RRR Data 2029'!H34</f>
        <v>6688076.1413429212</v>
      </c>
      <c r="F41" s="112">
        <f>'3. RRR Data 2029'!F34</f>
        <v>0</v>
      </c>
      <c r="G41" s="112">
        <f t="shared" si="4"/>
        <v>59523.88</v>
      </c>
      <c r="H41" s="113">
        <f t="shared" si="5"/>
        <v>1.5552985732710312E-3</v>
      </c>
      <c r="I41" s="112">
        <f t="shared" si="6"/>
        <v>62763.219871608839</v>
      </c>
      <c r="J41" s="100">
        <f t="shared" si="7"/>
        <v>9.4000000000000004E-3</v>
      </c>
      <c r="K41" s="120"/>
      <c r="L41" s="123"/>
      <c r="M41" s="118"/>
    </row>
    <row r="42" spans="1:13">
      <c r="A42" s="1" t="s">
        <v>121</v>
      </c>
      <c r="B42" s="1" t="s">
        <v>109</v>
      </c>
      <c r="C42" s="99" t="s">
        <v>113</v>
      </c>
      <c r="D42" s="100">
        <f>'8. RTSR Rates to Forecast 2028'!J42</f>
        <v>2.5304000000000002</v>
      </c>
      <c r="E42" s="112"/>
      <c r="F42" s="112">
        <f>'3. RRR Data 2029'!F36</f>
        <v>634.86173214226346</v>
      </c>
      <c r="G42" s="112">
        <f t="shared" si="4"/>
        <v>1606.45</v>
      </c>
      <c r="H42" s="113">
        <f t="shared" si="5"/>
        <v>4.1974908104633775E-5</v>
      </c>
      <c r="I42" s="112">
        <f t="shared" si="6"/>
        <v>1693.8743671068826</v>
      </c>
      <c r="J42" s="100">
        <f t="shared" si="7"/>
        <v>2.6680999999999999</v>
      </c>
      <c r="K42" s="120"/>
      <c r="L42" s="123"/>
      <c r="M42" s="118"/>
    </row>
    <row r="43" spans="1:13">
      <c r="A43" s="1" t="s">
        <v>122</v>
      </c>
      <c r="B43" s="1" t="s">
        <v>109</v>
      </c>
      <c r="C43" s="99" t="s">
        <v>113</v>
      </c>
      <c r="D43" s="100">
        <f>'8. RTSR Rates to Forecast 2028'!J43</f>
        <v>2.6726000000000001</v>
      </c>
      <c r="E43" s="112"/>
      <c r="F43" s="112">
        <f>'3. RRR Data 2029'!F38</f>
        <v>44644.724030707992</v>
      </c>
      <c r="G43" s="112">
        <f t="shared" si="4"/>
        <v>119317.49</v>
      </c>
      <c r="H43" s="113">
        <f t="shared" si="5"/>
        <v>3.1176449176915305E-3</v>
      </c>
      <c r="I43" s="112">
        <f t="shared" si="6"/>
        <v>125810.84867784978</v>
      </c>
      <c r="J43" s="100">
        <f t="shared" si="7"/>
        <v>2.8180000000000001</v>
      </c>
      <c r="K43" s="120"/>
      <c r="L43" s="123"/>
      <c r="M43" s="118"/>
    </row>
    <row r="44" spans="1:13">
      <c r="D44" s="100"/>
      <c r="E44" s="112"/>
      <c r="F44" s="112"/>
      <c r="G44" s="112">
        <f>SUM(G33:G43)</f>
        <v>38271674.020000003</v>
      </c>
      <c r="H44" s="113"/>
      <c r="I44" s="112">
        <f>'7. Forecast Wholesale 2029'!P33+'7. Forecast Wholesale 2029'!P52</f>
        <v>40354450.875376403</v>
      </c>
      <c r="J44" s="100"/>
    </row>
    <row r="46" spans="1:13">
      <c r="D46" s="100"/>
      <c r="E46" s="112"/>
      <c r="F46" s="112"/>
      <c r="G46" s="112"/>
      <c r="H46" s="113"/>
      <c r="I46" s="112"/>
      <c r="J46" s="114"/>
    </row>
    <row r="47" spans="1:13">
      <c r="D47" s="100"/>
      <c r="E47" s="112"/>
      <c r="F47" s="112"/>
      <c r="G47" s="112"/>
      <c r="H47" s="113"/>
      <c r="I47" s="112"/>
      <c r="J47" s="114"/>
    </row>
    <row r="48" spans="1:13">
      <c r="D48" s="100"/>
      <c r="E48" s="112"/>
      <c r="F48" s="112"/>
      <c r="G48" s="112"/>
      <c r="H48" s="113"/>
      <c r="I48" s="112"/>
      <c r="J48" s="114"/>
    </row>
    <row r="49" spans="4:10">
      <c r="D49" s="100"/>
      <c r="E49" s="112"/>
      <c r="F49" s="112"/>
      <c r="G49" s="112"/>
      <c r="H49" s="113"/>
      <c r="I49" s="112"/>
      <c r="J49" s="114"/>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6860-76A4-40DD-ABF4-4221533C6ACD}">
  <dimension ref="A13:Q113"/>
  <sheetViews>
    <sheetView topLeftCell="B13" workbookViewId="0">
      <selection activeCell="F15" sqref="F15"/>
    </sheetView>
  </sheetViews>
  <sheetFormatPr defaultColWidth="9.28515625" defaultRowHeight="13.15"/>
  <cols>
    <col min="1" max="1" width="11.7109375" style="1" hidden="1" customWidth="1"/>
    <col min="2" max="2" width="30.28515625" style="1" customWidth="1"/>
    <col min="3" max="3" width="3.7109375" style="1" customWidth="1"/>
    <col min="4" max="4" width="13.7109375" style="1" customWidth="1"/>
    <col min="5" max="5" width="15.28515625" style="1" customWidth="1"/>
    <col min="6" max="6" width="13.7109375" style="1" customWidth="1"/>
    <col min="7" max="7" width="2.7109375" style="1" customWidth="1"/>
    <col min="8" max="8" width="13.7109375" style="1" customWidth="1"/>
    <col min="9" max="9" width="10.28515625" style="1" bestFit="1" customWidth="1"/>
    <col min="10" max="10" width="13.7109375" style="1" customWidth="1"/>
    <col min="11" max="11" width="3.28515625" style="1" customWidth="1"/>
    <col min="12" max="12" width="13.7109375" style="1" customWidth="1"/>
    <col min="13" max="13" width="9.42578125" style="1" bestFit="1" customWidth="1"/>
    <col min="14" max="14" width="13.7109375" style="1" customWidth="1"/>
    <col min="15" max="15" width="3.7109375" style="1" customWidth="1"/>
    <col min="16" max="16" width="18.28515625" style="1" customWidth="1"/>
    <col min="17" max="16384" width="9.28515625" style="1"/>
  </cols>
  <sheetData>
    <row r="13" spans="2:17" ht="18.75" customHeight="1">
      <c r="B13" s="249" t="s">
        <v>182</v>
      </c>
      <c r="C13" s="246"/>
      <c r="D13" s="246"/>
      <c r="E13" s="246"/>
      <c r="F13" s="246"/>
      <c r="G13" s="246"/>
      <c r="H13" s="246"/>
      <c r="I13" s="246"/>
      <c r="J13" s="246"/>
      <c r="K13" s="246"/>
      <c r="L13" s="246"/>
      <c r="M13" s="246"/>
      <c r="N13" s="246"/>
      <c r="O13" s="246"/>
      <c r="P13" s="246"/>
    </row>
    <row r="16" spans="2:17">
      <c r="B16" s="71" t="s">
        <v>157</v>
      </c>
      <c r="C16" s="72"/>
      <c r="D16" s="247" t="s">
        <v>128</v>
      </c>
      <c r="E16" s="247"/>
      <c r="F16" s="247"/>
      <c r="G16" s="72"/>
      <c r="H16" s="247" t="s">
        <v>158</v>
      </c>
      <c r="I16" s="247"/>
      <c r="J16" s="247"/>
      <c r="K16" s="72"/>
      <c r="L16" s="247" t="s">
        <v>159</v>
      </c>
      <c r="M16" s="247"/>
      <c r="N16" s="247"/>
      <c r="O16" s="72"/>
      <c r="P16" s="71" t="s">
        <v>160</v>
      </c>
      <c r="Q16" s="26"/>
    </row>
    <row r="17" spans="2:17" ht="15.6">
      <c r="B17" s="26"/>
      <c r="C17" s="26"/>
      <c r="D17" s="248"/>
      <c r="E17" s="248"/>
      <c r="F17" s="248"/>
      <c r="G17" s="26"/>
      <c r="H17" s="248"/>
      <c r="I17" s="248"/>
      <c r="J17" s="248"/>
      <c r="K17" s="26"/>
      <c r="L17" s="248"/>
      <c r="M17" s="248"/>
      <c r="N17" s="248"/>
      <c r="O17" s="26"/>
      <c r="P17" s="90"/>
      <c r="Q17" s="73"/>
    </row>
    <row r="18" spans="2:17">
      <c r="B18" s="74" t="s">
        <v>161</v>
      </c>
      <c r="C18" s="26"/>
      <c r="D18" s="90" t="s">
        <v>162</v>
      </c>
      <c r="E18" s="90" t="s">
        <v>100</v>
      </c>
      <c r="F18" s="90" t="s">
        <v>163</v>
      </c>
      <c r="G18" s="26"/>
      <c r="H18" s="90" t="s">
        <v>162</v>
      </c>
      <c r="I18" s="90" t="s">
        <v>100</v>
      </c>
      <c r="J18" s="90" t="s">
        <v>163</v>
      </c>
      <c r="K18" s="26"/>
      <c r="L18" s="90" t="s">
        <v>162</v>
      </c>
      <c r="M18" s="90" t="s">
        <v>100</v>
      </c>
      <c r="N18" s="90" t="s">
        <v>163</v>
      </c>
      <c r="O18" s="26"/>
      <c r="P18" s="90" t="s">
        <v>163</v>
      </c>
      <c r="Q18" s="26"/>
    </row>
    <row r="19" spans="2:17">
      <c r="B19" s="26"/>
      <c r="C19" s="26"/>
      <c r="D19" s="26"/>
      <c r="E19" s="26"/>
      <c r="F19" s="26"/>
      <c r="G19" s="26"/>
      <c r="H19" s="26"/>
      <c r="I19" s="26"/>
      <c r="J19" s="26"/>
      <c r="K19" s="26"/>
      <c r="L19" s="26"/>
      <c r="M19" s="26"/>
      <c r="N19" s="26"/>
      <c r="O19" s="26"/>
      <c r="P19" s="26"/>
      <c r="Q19" s="26"/>
    </row>
    <row r="20" spans="2:17">
      <c r="B20" s="27" t="s">
        <v>164</v>
      </c>
      <c r="C20" s="26"/>
      <c r="D20" s="97">
        <v>353946.03375700832</v>
      </c>
      <c r="E20" s="92">
        <f>'4. UTRs &amp; Sub-Transmission'!P22</f>
        <v>7.9963615705151456</v>
      </c>
      <c r="F20" s="98">
        <f>D20*E20</f>
        <v>2830280.462370798</v>
      </c>
      <c r="G20" s="26"/>
      <c r="H20" s="97">
        <v>183147.08135342412</v>
      </c>
      <c r="I20" s="92">
        <f>'4. UTRs &amp; Sub-Transmission'!P24</f>
        <v>1.2818407349807814</v>
      </c>
      <c r="J20" s="98">
        <f>H20*I20</f>
        <v>234765.38937165815</v>
      </c>
      <c r="K20" s="26"/>
      <c r="L20" s="97">
        <v>377111.39908985852</v>
      </c>
      <c r="M20" s="92">
        <f>'4. UTRs &amp; Sub-Transmission'!P26</f>
        <v>4.3190919578807492</v>
      </c>
      <c r="N20" s="98">
        <f>L20*M20</f>
        <v>1628778.8110341656</v>
      </c>
      <c r="O20" s="26"/>
      <c r="P20" s="80">
        <f t="shared" ref="P20:P31" si="0">J20+N20</f>
        <v>1863544.2004058238</v>
      </c>
      <c r="Q20" s="26"/>
    </row>
    <row r="21" spans="2:17">
      <c r="B21" s="27" t="s">
        <v>165</v>
      </c>
      <c r="C21" s="26"/>
      <c r="D21" s="97">
        <v>347292.27430987346</v>
      </c>
      <c r="E21" s="92">
        <f>E20</f>
        <v>7.9963615705151456</v>
      </c>
      <c r="F21" s="98">
        <f t="shared" ref="F21:F31" si="1">D21*E21</f>
        <v>2777074.5960282767</v>
      </c>
      <c r="G21" s="26"/>
      <c r="H21" s="97">
        <v>192356.5362625751</v>
      </c>
      <c r="I21" s="92">
        <f>I20</f>
        <v>1.2818407349807814</v>
      </c>
      <c r="J21" s="98">
        <f t="shared" ref="J21:J31" si="2">H21*I21</f>
        <v>246570.4438211766</v>
      </c>
      <c r="K21" s="26"/>
      <c r="L21" s="97">
        <v>368985.27445288672</v>
      </c>
      <c r="M21" s="92">
        <f>M20</f>
        <v>4.3190919578807492</v>
      </c>
      <c r="N21" s="98">
        <f t="shared" ref="N21:N31" si="3">L21*M21</f>
        <v>1593681.3314658841</v>
      </c>
      <c r="O21" s="26"/>
      <c r="P21" s="80">
        <f t="shared" si="0"/>
        <v>1840251.7752870608</v>
      </c>
      <c r="Q21" s="26"/>
    </row>
    <row r="22" spans="2:17">
      <c r="B22" s="27" t="s">
        <v>166</v>
      </c>
      <c r="C22" s="26"/>
      <c r="D22" s="97">
        <v>341633.48027161509</v>
      </c>
      <c r="E22" s="92">
        <f>E21</f>
        <v>7.9963615705151456</v>
      </c>
      <c r="F22" s="98">
        <f t="shared" si="1"/>
        <v>2731824.8328452869</v>
      </c>
      <c r="G22" s="26"/>
      <c r="H22" s="97">
        <v>183940.06993189428</v>
      </c>
      <c r="I22" s="92">
        <f t="shared" ref="I22:I31" si="4">I21</f>
        <v>1.2818407349807814</v>
      </c>
      <c r="J22" s="98">
        <f t="shared" si="2"/>
        <v>235781.87443391571</v>
      </c>
      <c r="K22" s="26"/>
      <c r="L22" s="97">
        <v>351366.23878681875</v>
      </c>
      <c r="M22" s="92">
        <f t="shared" ref="M22:M31" si="5">M21</f>
        <v>4.3190919578807492</v>
      </c>
      <c r="N22" s="98">
        <f t="shared" si="3"/>
        <v>1517583.0962149559</v>
      </c>
      <c r="O22" s="26"/>
      <c r="P22" s="80">
        <f t="shared" si="0"/>
        <v>1753364.9706488717</v>
      </c>
      <c r="Q22" s="26"/>
    </row>
    <row r="23" spans="2:17">
      <c r="B23" s="27" t="s">
        <v>167</v>
      </c>
      <c r="C23" s="26"/>
      <c r="D23" s="97">
        <v>332426.32055371866</v>
      </c>
      <c r="E23" s="92">
        <f t="shared" ref="E23:E31" si="6">E22</f>
        <v>7.9963615705151456</v>
      </c>
      <c r="F23" s="98">
        <f t="shared" si="1"/>
        <v>2658201.0547035048</v>
      </c>
      <c r="G23" s="26"/>
      <c r="H23" s="97">
        <v>175786.40299986713</v>
      </c>
      <c r="I23" s="92">
        <f t="shared" si="4"/>
        <v>1.2818407349807814</v>
      </c>
      <c r="J23" s="98">
        <f t="shared" si="2"/>
        <v>225330.17202097754</v>
      </c>
      <c r="K23" s="26"/>
      <c r="L23" s="97">
        <v>335037.10060584557</v>
      </c>
      <c r="M23" s="92">
        <f t="shared" si="5"/>
        <v>4.3190919578807492</v>
      </c>
      <c r="N23" s="98">
        <f t="shared" si="3"/>
        <v>1447056.046818391</v>
      </c>
      <c r="O23" s="26"/>
      <c r="P23" s="80">
        <f t="shared" si="0"/>
        <v>1672386.2188393686</v>
      </c>
      <c r="Q23" s="26"/>
    </row>
    <row r="24" spans="2:17">
      <c r="B24" s="27" t="s">
        <v>168</v>
      </c>
      <c r="C24" s="26"/>
      <c r="D24" s="97">
        <v>408237.63528934796</v>
      </c>
      <c r="E24" s="92">
        <f t="shared" si="6"/>
        <v>7.9963615705151456</v>
      </c>
      <c r="F24" s="98">
        <f t="shared" si="1"/>
        <v>3264415.7384657199</v>
      </c>
      <c r="G24" s="26"/>
      <c r="H24" s="97">
        <v>234371.15977396796</v>
      </c>
      <c r="I24" s="92">
        <f t="shared" si="4"/>
        <v>1.2818407349807814</v>
      </c>
      <c r="J24" s="98">
        <f t="shared" si="2"/>
        <v>300426.49970296124</v>
      </c>
      <c r="K24" s="26"/>
      <c r="L24" s="97">
        <v>420905.94341920683</v>
      </c>
      <c r="M24" s="92">
        <f t="shared" si="5"/>
        <v>4.3190919578807492</v>
      </c>
      <c r="N24" s="98">
        <f t="shared" si="3"/>
        <v>1817931.4752461058</v>
      </c>
      <c r="O24" s="26"/>
      <c r="P24" s="80">
        <f t="shared" si="0"/>
        <v>2118357.974949067</v>
      </c>
      <c r="Q24" s="26"/>
    </row>
    <row r="25" spans="2:17">
      <c r="B25" s="27" t="s">
        <v>169</v>
      </c>
      <c r="C25" s="26"/>
      <c r="D25" s="97">
        <v>464678.68343163643</v>
      </c>
      <c r="E25" s="92">
        <f t="shared" si="6"/>
        <v>7.9963615705151456</v>
      </c>
      <c r="F25" s="98">
        <f t="shared" si="1"/>
        <v>3715738.7668303102</v>
      </c>
      <c r="G25" s="26"/>
      <c r="H25" s="97">
        <v>292353.42884373182</v>
      </c>
      <c r="I25" s="92">
        <f t="shared" si="4"/>
        <v>1.2818407349807814</v>
      </c>
      <c r="J25" s="98">
        <f t="shared" si="2"/>
        <v>374750.53410320077</v>
      </c>
      <c r="K25" s="26"/>
      <c r="L25" s="97">
        <v>502499.99252084392</v>
      </c>
      <c r="M25" s="92">
        <f t="shared" si="5"/>
        <v>4.3190919578807492</v>
      </c>
      <c r="N25" s="98">
        <f t="shared" si="3"/>
        <v>2170343.6765319137</v>
      </c>
      <c r="O25" s="26"/>
      <c r="P25" s="80">
        <f t="shared" si="0"/>
        <v>2545094.2106351145</v>
      </c>
      <c r="Q25" s="26"/>
    </row>
    <row r="26" spans="2:17">
      <c r="B26" s="27" t="s">
        <v>170</v>
      </c>
      <c r="C26" s="26"/>
      <c r="D26" s="97">
        <v>508369.94415452698</v>
      </c>
      <c r="E26" s="92">
        <f t="shared" si="6"/>
        <v>7.9963615705151456</v>
      </c>
      <c r="F26" s="98">
        <f t="shared" si="1"/>
        <v>4065109.8850421901</v>
      </c>
      <c r="G26" s="26"/>
      <c r="H26" s="97">
        <v>306185.39893968159</v>
      </c>
      <c r="I26" s="92">
        <f t="shared" si="4"/>
        <v>1.2818407349807814</v>
      </c>
      <c r="J26" s="98">
        <f t="shared" si="2"/>
        <v>392480.91681722522</v>
      </c>
      <c r="K26" s="26"/>
      <c r="L26" s="97">
        <v>521346.95550813194</v>
      </c>
      <c r="M26" s="92">
        <f t="shared" si="5"/>
        <v>4.3190919578807492</v>
      </c>
      <c r="N26" s="98">
        <f t="shared" si="3"/>
        <v>2251745.4428007854</v>
      </c>
      <c r="O26" s="26"/>
      <c r="P26" s="80">
        <f t="shared" si="0"/>
        <v>2644226.3596180105</v>
      </c>
      <c r="Q26" s="26"/>
    </row>
    <row r="27" spans="2:17">
      <c r="B27" s="27" t="s">
        <v>171</v>
      </c>
      <c r="C27" s="26"/>
      <c r="D27" s="97">
        <v>494323.37367627054</v>
      </c>
      <c r="E27" s="92">
        <f t="shared" si="6"/>
        <v>7.9963615705151456</v>
      </c>
      <c r="F27" s="98">
        <f t="shared" si="1"/>
        <v>3952788.4286723277</v>
      </c>
      <c r="G27" s="26"/>
      <c r="H27" s="97">
        <v>296909.38348414679</v>
      </c>
      <c r="I27" s="92">
        <f t="shared" si="4"/>
        <v>1.2818407349807814</v>
      </c>
      <c r="J27" s="98">
        <f t="shared" si="2"/>
        <v>380590.54234800942</v>
      </c>
      <c r="K27" s="26"/>
      <c r="L27" s="97">
        <v>513123.28524283908</v>
      </c>
      <c r="M27" s="92">
        <f t="shared" si="5"/>
        <v>4.3190919578807492</v>
      </c>
      <c r="N27" s="98">
        <f t="shared" si="3"/>
        <v>2216226.6546936962</v>
      </c>
      <c r="O27" s="26"/>
      <c r="P27" s="80">
        <f t="shared" si="0"/>
        <v>2596817.1970417057</v>
      </c>
      <c r="Q27" s="26"/>
    </row>
    <row r="28" spans="2:17">
      <c r="B28" s="27" t="s">
        <v>172</v>
      </c>
      <c r="C28" s="26"/>
      <c r="D28" s="97">
        <v>429736.69177134603</v>
      </c>
      <c r="E28" s="92">
        <f t="shared" si="6"/>
        <v>7.9963615705151456</v>
      </c>
      <c r="F28" s="98">
        <f t="shared" si="1"/>
        <v>3436329.9675207036</v>
      </c>
      <c r="G28" s="26"/>
      <c r="H28" s="97">
        <v>242039.3937556436</v>
      </c>
      <c r="I28" s="92">
        <f t="shared" si="4"/>
        <v>1.2818407349807814</v>
      </c>
      <c r="J28" s="98">
        <f t="shared" si="2"/>
        <v>310255.95438603696</v>
      </c>
      <c r="K28" s="26"/>
      <c r="L28" s="97">
        <v>430881.99220740004</v>
      </c>
      <c r="M28" s="92">
        <f t="shared" si="5"/>
        <v>4.3190919578807492</v>
      </c>
      <c r="N28" s="98">
        <f t="shared" si="3"/>
        <v>1861018.9473386172</v>
      </c>
      <c r="O28" s="26"/>
      <c r="P28" s="80">
        <f t="shared" si="0"/>
        <v>2171274.9017246542</v>
      </c>
      <c r="Q28" s="26"/>
    </row>
    <row r="29" spans="2:17">
      <c r="B29" s="27" t="s">
        <v>173</v>
      </c>
      <c r="C29" s="26"/>
      <c r="D29" s="97">
        <v>351962.98851301917</v>
      </c>
      <c r="E29" s="92">
        <f t="shared" si="6"/>
        <v>7.9963615705151456</v>
      </c>
      <c r="F29" s="98">
        <f t="shared" si="1"/>
        <v>2814423.31558917</v>
      </c>
      <c r="G29" s="26"/>
      <c r="H29" s="97">
        <v>253219.27035688338</v>
      </c>
      <c r="I29" s="92">
        <f t="shared" si="4"/>
        <v>1.2818407349807814</v>
      </c>
      <c r="J29" s="98">
        <f t="shared" si="2"/>
        <v>324586.77562556462</v>
      </c>
      <c r="K29" s="26"/>
      <c r="L29" s="97">
        <v>368802.80674814468</v>
      </c>
      <c r="M29" s="92">
        <f t="shared" si="5"/>
        <v>4.3190919578807492</v>
      </c>
      <c r="N29" s="98">
        <f t="shared" si="3"/>
        <v>1592893.2366697597</v>
      </c>
      <c r="O29" s="26"/>
      <c r="P29" s="80">
        <f t="shared" si="0"/>
        <v>1917480.0122953244</v>
      </c>
      <c r="Q29" s="26"/>
    </row>
    <row r="30" spans="2:17">
      <c r="B30" s="27" t="s">
        <v>174</v>
      </c>
      <c r="C30" s="26"/>
      <c r="D30" s="97">
        <v>338782.85273338063</v>
      </c>
      <c r="E30" s="92">
        <f t="shared" si="6"/>
        <v>7.9963615705151456</v>
      </c>
      <c r="F30" s="98">
        <f t="shared" si="1"/>
        <v>2709030.1843466968</v>
      </c>
      <c r="G30" s="26"/>
      <c r="H30" s="97">
        <v>192485.06697283368</v>
      </c>
      <c r="I30" s="92">
        <f t="shared" si="4"/>
        <v>1.2818407349807814</v>
      </c>
      <c r="J30" s="98">
        <f t="shared" si="2"/>
        <v>246735.19972128206</v>
      </c>
      <c r="K30" s="26"/>
      <c r="L30" s="97">
        <v>317815.13302682637</v>
      </c>
      <c r="M30" s="92">
        <f t="shared" si="5"/>
        <v>4.3190919578807492</v>
      </c>
      <c r="N30" s="98">
        <f t="shared" si="3"/>
        <v>1372672.7851489664</v>
      </c>
      <c r="O30" s="26"/>
      <c r="P30" s="80">
        <f t="shared" si="0"/>
        <v>1619407.9848702485</v>
      </c>
      <c r="Q30" s="26"/>
    </row>
    <row r="31" spans="2:17">
      <c r="B31" s="27" t="s">
        <v>175</v>
      </c>
      <c r="C31" s="26"/>
      <c r="D31" s="97">
        <v>368958.87975345866</v>
      </c>
      <c r="E31" s="92">
        <f t="shared" si="6"/>
        <v>7.9963615705151456</v>
      </c>
      <c r="F31" s="98">
        <f t="shared" si="1"/>
        <v>2950328.6071608756</v>
      </c>
      <c r="G31" s="26"/>
      <c r="H31" s="97">
        <v>237303.26660174131</v>
      </c>
      <c r="I31" s="92">
        <f t="shared" si="4"/>
        <v>1.2818407349807814</v>
      </c>
      <c r="J31" s="98">
        <f t="shared" si="2"/>
        <v>304184.99367411638</v>
      </c>
      <c r="K31" s="26"/>
      <c r="L31" s="97">
        <v>367747.01877102075</v>
      </c>
      <c r="M31" s="92">
        <f t="shared" si="5"/>
        <v>4.3190919578807492</v>
      </c>
      <c r="N31" s="98">
        <f t="shared" si="3"/>
        <v>1588333.1913085366</v>
      </c>
      <c r="O31" s="26"/>
      <c r="P31" s="80">
        <f t="shared" si="0"/>
        <v>1892518.184982653</v>
      </c>
      <c r="Q31" s="26"/>
    </row>
    <row r="32" spans="2:17">
      <c r="B32" s="26"/>
      <c r="C32" s="26"/>
      <c r="D32" s="26"/>
      <c r="E32" s="26"/>
      <c r="F32" s="26"/>
      <c r="G32" s="26"/>
      <c r="H32" s="26"/>
      <c r="I32" s="26"/>
      <c r="J32" s="26"/>
      <c r="K32" s="26"/>
      <c r="L32" s="26"/>
      <c r="M32" s="26"/>
      <c r="N32" s="26"/>
      <c r="O32" s="26"/>
      <c r="P32" s="26"/>
      <c r="Q32" s="26"/>
    </row>
    <row r="33" spans="2:17" ht="13.9" thickBot="1">
      <c r="B33" s="74" t="s">
        <v>146</v>
      </c>
      <c r="C33" s="26"/>
      <c r="D33" s="81">
        <f>SUM(D20:D31)</f>
        <v>4740349.1582152015</v>
      </c>
      <c r="E33" s="82">
        <f>IF(D33&lt;&gt;0,F33/D33,0)</f>
        <v>7.9963615705151456</v>
      </c>
      <c r="F33" s="83">
        <f>SUM(F20:F31)</f>
        <v>37905545.839575857</v>
      </c>
      <c r="G33" s="26"/>
      <c r="H33" s="81">
        <f>SUM(H20:H31)</f>
        <v>2790096.4592763903</v>
      </c>
      <c r="I33" s="82">
        <f>IF(H33&lt;&gt;0,J33/H33,0)</f>
        <v>1.2818407349807814</v>
      </c>
      <c r="J33" s="83">
        <f>SUM(J20:J31)</f>
        <v>3576459.2960261242</v>
      </c>
      <c r="K33" s="26"/>
      <c r="L33" s="81">
        <f>SUM(L20:L31)</f>
        <v>4875623.1403798237</v>
      </c>
      <c r="M33" s="82">
        <f>IF(L33&lt;&gt;0,N33/L33,0)</f>
        <v>4.3190919578807483</v>
      </c>
      <c r="N33" s="83">
        <f>SUM(N20:N31)</f>
        <v>21058264.695271775</v>
      </c>
      <c r="O33" s="26"/>
      <c r="P33" s="83">
        <f>SUM(P20:P31)</f>
        <v>24634723.991297904</v>
      </c>
      <c r="Q33" s="26"/>
    </row>
    <row r="34" spans="2:17">
      <c r="B34" s="26"/>
      <c r="C34" s="26"/>
      <c r="D34" s="26"/>
      <c r="E34" s="26"/>
      <c r="F34" s="26"/>
      <c r="G34" s="26"/>
      <c r="H34" s="26"/>
      <c r="I34" s="26"/>
      <c r="J34" s="26"/>
      <c r="K34" s="26"/>
      <c r="L34" s="26"/>
      <c r="M34" s="26"/>
      <c r="N34" s="26"/>
      <c r="O34" s="26"/>
      <c r="P34" s="26"/>
      <c r="Q34" s="26"/>
    </row>
    <row r="35" spans="2:17">
      <c r="B35" s="71" t="s">
        <v>176</v>
      </c>
      <c r="C35" s="72"/>
      <c r="D35" s="247" t="s">
        <v>128</v>
      </c>
      <c r="E35" s="247"/>
      <c r="F35" s="247"/>
      <c r="G35" s="72"/>
      <c r="H35" s="247" t="s">
        <v>158</v>
      </c>
      <c r="I35" s="247"/>
      <c r="J35" s="247"/>
      <c r="K35" s="72"/>
      <c r="L35" s="247" t="s">
        <v>159</v>
      </c>
      <c r="M35" s="247"/>
      <c r="N35" s="247"/>
      <c r="O35" s="72"/>
      <c r="P35" s="71" t="s">
        <v>160</v>
      </c>
      <c r="Q35" s="26"/>
    </row>
    <row r="36" spans="2:17">
      <c r="B36" s="74"/>
      <c r="C36" s="26"/>
      <c r="D36" s="90"/>
      <c r="E36" s="90"/>
      <c r="F36" s="90"/>
      <c r="G36" s="26"/>
      <c r="H36" s="90"/>
      <c r="I36" s="90"/>
      <c r="J36" s="90"/>
      <c r="K36" s="26"/>
      <c r="L36" s="90"/>
      <c r="M36" s="90"/>
      <c r="N36" s="90"/>
      <c r="O36" s="26"/>
      <c r="P36" s="90"/>
      <c r="Q36" s="26"/>
    </row>
    <row r="37" spans="2:17">
      <c r="B37" s="74" t="s">
        <v>161</v>
      </c>
      <c r="C37" s="26"/>
      <c r="D37" s="90" t="s">
        <v>162</v>
      </c>
      <c r="E37" s="90" t="s">
        <v>100</v>
      </c>
      <c r="F37" s="90" t="s">
        <v>163</v>
      </c>
      <c r="G37" s="26"/>
      <c r="H37" s="90" t="s">
        <v>162</v>
      </c>
      <c r="I37" s="90" t="s">
        <v>100</v>
      </c>
      <c r="J37" s="90" t="s">
        <v>163</v>
      </c>
      <c r="K37" s="26"/>
      <c r="L37" s="90" t="s">
        <v>162</v>
      </c>
      <c r="M37" s="90" t="s">
        <v>100</v>
      </c>
      <c r="N37" s="90" t="s">
        <v>163</v>
      </c>
      <c r="O37" s="26"/>
      <c r="P37" s="90" t="s">
        <v>163</v>
      </c>
      <c r="Q37" s="26"/>
    </row>
    <row r="38" spans="2:17">
      <c r="B38" s="26"/>
      <c r="C38" s="26"/>
      <c r="D38" s="26"/>
      <c r="E38" s="26"/>
      <c r="F38" s="26"/>
      <c r="G38" s="26"/>
      <c r="H38" s="26"/>
      <c r="I38" s="26"/>
      <c r="J38" s="26"/>
      <c r="K38" s="26"/>
      <c r="L38" s="26"/>
      <c r="M38" s="26"/>
      <c r="N38" s="26"/>
      <c r="O38" s="26"/>
      <c r="P38" s="26"/>
      <c r="Q38" s="26"/>
    </row>
    <row r="39" spans="2:17">
      <c r="B39" s="27" t="s">
        <v>164</v>
      </c>
      <c r="C39" s="26"/>
      <c r="D39" s="97">
        <v>309849.90129680326</v>
      </c>
      <c r="E39" s="92">
        <f>'4. UTRs &amp; Sub-Transmission'!P35</f>
        <v>6.846086835676723</v>
      </c>
      <c r="F39" s="98">
        <f>D39*E39</f>
        <v>2121259.330303777</v>
      </c>
      <c r="G39" s="26"/>
      <c r="H39" s="97">
        <v>281710.6728998975</v>
      </c>
      <c r="I39" s="92">
        <f>'4. UTRs &amp; Sub-Transmission'!P37</f>
        <v>0.87787422762664391</v>
      </c>
      <c r="J39" s="98">
        <f>H39*I39</f>
        <v>247306.53938617965</v>
      </c>
      <c r="K39" s="26"/>
      <c r="L39" s="97">
        <v>326624.42134073481</v>
      </c>
      <c r="M39" s="92">
        <f>'4. UTRs &amp; Sub-Transmission'!P39</f>
        <v>4.4515275153212421</v>
      </c>
      <c r="N39" s="98">
        <f>L39*M39</f>
        <v>1453977.5987741598</v>
      </c>
      <c r="O39" s="26"/>
      <c r="P39" s="80">
        <f t="shared" ref="P39:P50" si="7">J39+N39</f>
        <v>1701284.1381603396</v>
      </c>
      <c r="Q39" s="26"/>
    </row>
    <row r="40" spans="2:17">
      <c r="B40" s="27" t="s">
        <v>165</v>
      </c>
      <c r="C40" s="26"/>
      <c r="D40" s="97">
        <v>309975.08102783008</v>
      </c>
      <c r="E40" s="92">
        <f t="shared" ref="E40:E50" si="8">E39</f>
        <v>6.846086835676723</v>
      </c>
      <c r="F40" s="98">
        <f t="shared" ref="F40:F50" si="9">D40*E40</f>
        <v>2122116.3216124531</v>
      </c>
      <c r="G40" s="26"/>
      <c r="H40" s="97">
        <v>258333.23189512081</v>
      </c>
      <c r="I40" s="92">
        <f t="shared" ref="I40:I50" si="10">I39</f>
        <v>0.87787422762664391</v>
      </c>
      <c r="J40" s="98">
        <f t="shared" ref="J40:J50" si="11">H40*I40</f>
        <v>226784.08642022387</v>
      </c>
      <c r="K40" s="26"/>
      <c r="L40" s="97">
        <v>311667.13044860255</v>
      </c>
      <c r="M40" s="92">
        <f t="shared" ref="M40:M50" si="12">M39</f>
        <v>4.4515275153212421</v>
      </c>
      <c r="N40" s="98">
        <f t="shared" ref="N40:N50" si="13">L40*M40</f>
        <v>1387394.806813169</v>
      </c>
      <c r="O40" s="26"/>
      <c r="P40" s="80">
        <f t="shared" si="7"/>
        <v>1614178.8932333929</v>
      </c>
      <c r="Q40" s="26"/>
    </row>
    <row r="41" spans="2:17">
      <c r="B41" s="27" t="s">
        <v>166</v>
      </c>
      <c r="C41" s="26"/>
      <c r="D41" s="97">
        <v>260830.57211948824</v>
      </c>
      <c r="E41" s="92">
        <f t="shared" si="8"/>
        <v>6.846086835676723</v>
      </c>
      <c r="F41" s="98">
        <f t="shared" si="9"/>
        <v>1785668.7461292564</v>
      </c>
      <c r="G41" s="26"/>
      <c r="H41" s="97">
        <v>222460.83855594633</v>
      </c>
      <c r="I41" s="92">
        <f t="shared" si="10"/>
        <v>0.87787422762664391</v>
      </c>
      <c r="J41" s="98">
        <f t="shared" si="11"/>
        <v>195292.63682447691</v>
      </c>
      <c r="K41" s="26"/>
      <c r="L41" s="97">
        <v>265608.32256679313</v>
      </c>
      <c r="M41" s="92">
        <f t="shared" si="12"/>
        <v>4.4515275153212421</v>
      </c>
      <c r="N41" s="98">
        <f t="shared" si="13"/>
        <v>1182362.7562043995</v>
      </c>
      <c r="O41" s="26"/>
      <c r="P41" s="80">
        <f t="shared" si="7"/>
        <v>1377655.3930288765</v>
      </c>
      <c r="Q41" s="26"/>
    </row>
    <row r="42" spans="2:17">
      <c r="B42" s="27" t="s">
        <v>167</v>
      </c>
      <c r="C42" s="26"/>
      <c r="D42" s="97">
        <v>229527.53733765567</v>
      </c>
      <c r="E42" s="92">
        <f t="shared" si="8"/>
        <v>6.846086835676723</v>
      </c>
      <c r="F42" s="98">
        <f t="shared" si="9"/>
        <v>1571365.451792622</v>
      </c>
      <c r="G42" s="26"/>
      <c r="H42" s="97">
        <v>203022.90972441941</v>
      </c>
      <c r="I42" s="92">
        <f t="shared" si="10"/>
        <v>0.87787422762664391</v>
      </c>
      <c r="J42" s="98">
        <f t="shared" si="11"/>
        <v>178228.58006483855</v>
      </c>
      <c r="K42" s="26"/>
      <c r="L42" s="97">
        <v>234243.94879868082</v>
      </c>
      <c r="M42" s="92">
        <f t="shared" si="12"/>
        <v>4.4515275153212421</v>
      </c>
      <c r="N42" s="98">
        <f t="shared" si="13"/>
        <v>1042743.3833748279</v>
      </c>
      <c r="O42" s="26"/>
      <c r="P42" s="80">
        <f t="shared" si="7"/>
        <v>1220971.9634396664</v>
      </c>
      <c r="Q42" s="26"/>
    </row>
    <row r="43" spans="2:17">
      <c r="B43" s="27" t="s">
        <v>168</v>
      </c>
      <c r="C43" s="26"/>
      <c r="D43" s="97">
        <v>268162.80157744419</v>
      </c>
      <c r="E43" s="92">
        <f t="shared" si="8"/>
        <v>6.846086835676723</v>
      </c>
      <c r="F43" s="98">
        <f t="shared" si="9"/>
        <v>1835865.8256975298</v>
      </c>
      <c r="G43" s="26"/>
      <c r="H43" s="97">
        <v>222812.9667982297</v>
      </c>
      <c r="I43" s="92">
        <f t="shared" si="10"/>
        <v>0.87787422762664391</v>
      </c>
      <c r="J43" s="98">
        <f t="shared" si="11"/>
        <v>195601.76113319694</v>
      </c>
      <c r="K43" s="26"/>
      <c r="L43" s="97">
        <v>270474.47230526945</v>
      </c>
      <c r="M43" s="92">
        <f t="shared" si="12"/>
        <v>4.4515275153212421</v>
      </c>
      <c r="N43" s="98">
        <f t="shared" si="13"/>
        <v>1204024.5556589002</v>
      </c>
      <c r="O43" s="26"/>
      <c r="P43" s="80">
        <f t="shared" si="7"/>
        <v>1399626.3167920972</v>
      </c>
      <c r="Q43" s="26"/>
    </row>
    <row r="44" spans="2:17">
      <c r="B44" s="27" t="s">
        <v>169</v>
      </c>
      <c r="C44" s="26"/>
      <c r="D44" s="97">
        <v>347145.50830509694</v>
      </c>
      <c r="E44" s="92">
        <f t="shared" si="8"/>
        <v>6.846086835676723</v>
      </c>
      <c r="F44" s="98">
        <f t="shared" si="9"/>
        <v>2376588.2944718287</v>
      </c>
      <c r="G44" s="26"/>
      <c r="H44" s="97">
        <v>302691.57848020969</v>
      </c>
      <c r="I44" s="92">
        <f t="shared" si="10"/>
        <v>0.87787422762664391</v>
      </c>
      <c r="J44" s="98">
        <f t="shared" si="11"/>
        <v>265725.13566740375</v>
      </c>
      <c r="K44" s="26"/>
      <c r="L44" s="97">
        <v>350454.51996474731</v>
      </c>
      <c r="M44" s="92">
        <f t="shared" si="12"/>
        <v>4.4515275153212421</v>
      </c>
      <c r="N44" s="98">
        <f t="shared" si="13"/>
        <v>1560057.9384917703</v>
      </c>
      <c r="O44" s="26"/>
      <c r="P44" s="80">
        <f t="shared" si="7"/>
        <v>1825783.074159174</v>
      </c>
      <c r="Q44" s="26"/>
    </row>
    <row r="45" spans="2:17">
      <c r="B45" s="27" t="s">
        <v>170</v>
      </c>
      <c r="C45" s="26"/>
      <c r="D45" s="97">
        <v>329635.62045914232</v>
      </c>
      <c r="E45" s="92">
        <f t="shared" si="8"/>
        <v>6.846086835676723</v>
      </c>
      <c r="F45" s="98">
        <f t="shared" si="9"/>
        <v>2256714.0817954629</v>
      </c>
      <c r="G45" s="26"/>
      <c r="H45" s="97">
        <v>280005.16218241671</v>
      </c>
      <c r="I45" s="92">
        <f t="shared" si="10"/>
        <v>0.87787422762664391</v>
      </c>
      <c r="J45" s="98">
        <f t="shared" si="11"/>
        <v>245809.31548236223</v>
      </c>
      <c r="K45" s="26"/>
      <c r="L45" s="97">
        <v>330596.65146531933</v>
      </c>
      <c r="M45" s="92">
        <f t="shared" si="12"/>
        <v>4.4515275153212421</v>
      </c>
      <c r="N45" s="98">
        <f t="shared" si="13"/>
        <v>1471660.0904709357</v>
      </c>
      <c r="O45" s="26"/>
      <c r="P45" s="80">
        <f t="shared" si="7"/>
        <v>1717469.4059532979</v>
      </c>
      <c r="Q45" s="26"/>
    </row>
    <row r="46" spans="2:17">
      <c r="B46" s="27" t="s">
        <v>171</v>
      </c>
      <c r="C46" s="26"/>
      <c r="D46" s="97">
        <v>360877.84414868377</v>
      </c>
      <c r="E46" s="92">
        <f t="shared" si="8"/>
        <v>6.846086835676723</v>
      </c>
      <c r="F46" s="98">
        <f t="shared" si="9"/>
        <v>2470601.0581137002</v>
      </c>
      <c r="G46" s="26"/>
      <c r="H46" s="97">
        <v>272666.31109769113</v>
      </c>
      <c r="I46" s="92">
        <f t="shared" si="10"/>
        <v>0.87787422762664391</v>
      </c>
      <c r="J46" s="98">
        <f t="shared" si="11"/>
        <v>239366.7272546918</v>
      </c>
      <c r="K46" s="26"/>
      <c r="L46" s="97">
        <v>364861.97483992344</v>
      </c>
      <c r="M46" s="92">
        <f t="shared" si="12"/>
        <v>4.4515275153212421</v>
      </c>
      <c r="N46" s="98">
        <f t="shared" si="13"/>
        <v>1624193.120294366</v>
      </c>
      <c r="O46" s="26"/>
      <c r="P46" s="80">
        <f t="shared" si="7"/>
        <v>1863559.8475490578</v>
      </c>
      <c r="Q46" s="26"/>
    </row>
    <row r="47" spans="2:17">
      <c r="B47" s="27" t="s">
        <v>172</v>
      </c>
      <c r="C47" s="26"/>
      <c r="D47" s="97">
        <v>300945.86748790409</v>
      </c>
      <c r="E47" s="92">
        <f t="shared" si="8"/>
        <v>6.846086835676723</v>
      </c>
      <c r="F47" s="98">
        <f t="shared" si="9"/>
        <v>2060301.5416602518</v>
      </c>
      <c r="G47" s="26"/>
      <c r="H47" s="97">
        <v>234641.44149611166</v>
      </c>
      <c r="I47" s="92">
        <f t="shared" si="10"/>
        <v>0.87787422762664391</v>
      </c>
      <c r="J47" s="98">
        <f t="shared" si="11"/>
        <v>205985.67422260137</v>
      </c>
      <c r="K47" s="26"/>
      <c r="L47" s="97">
        <v>302542.75827926025</v>
      </c>
      <c r="M47" s="92">
        <f t="shared" si="12"/>
        <v>4.4515275153212421</v>
      </c>
      <c r="N47" s="98">
        <f t="shared" si="13"/>
        <v>1346777.4130413106</v>
      </c>
      <c r="O47" s="26"/>
      <c r="P47" s="80">
        <f t="shared" si="7"/>
        <v>1552763.087263912</v>
      </c>
      <c r="Q47" s="26"/>
    </row>
    <row r="48" spans="2:17">
      <c r="B48" s="27" t="s">
        <v>173</v>
      </c>
      <c r="C48" s="26"/>
      <c r="D48" s="97">
        <v>253406.54648730389</v>
      </c>
      <c r="E48" s="92">
        <f t="shared" si="8"/>
        <v>6.846086835676723</v>
      </c>
      <c r="F48" s="98">
        <f t="shared" si="9"/>
        <v>1734843.2219810328</v>
      </c>
      <c r="G48" s="26"/>
      <c r="H48" s="97">
        <v>201186.96328793862</v>
      </c>
      <c r="I48" s="92">
        <f t="shared" si="10"/>
        <v>0.87787422762664391</v>
      </c>
      <c r="J48" s="98">
        <f t="shared" si="11"/>
        <v>176616.85000494908</v>
      </c>
      <c r="K48" s="26"/>
      <c r="L48" s="97">
        <v>256375.04357241921</v>
      </c>
      <c r="M48" s="92">
        <f t="shared" si="12"/>
        <v>4.4515275153212421</v>
      </c>
      <c r="N48" s="98">
        <f t="shared" si="13"/>
        <v>1141260.5607043065</v>
      </c>
      <c r="O48" s="26"/>
      <c r="P48" s="80">
        <f t="shared" si="7"/>
        <v>1317877.4107092556</v>
      </c>
      <c r="Q48" s="26"/>
    </row>
    <row r="49" spans="2:17">
      <c r="B49" s="27" t="s">
        <v>174</v>
      </c>
      <c r="C49" s="26"/>
      <c r="D49" s="97">
        <v>275491.97843103157</v>
      </c>
      <c r="E49" s="92">
        <f t="shared" si="8"/>
        <v>6.846086835676723</v>
      </c>
      <c r="F49" s="98">
        <f t="shared" si="9"/>
        <v>1886042.0068712209</v>
      </c>
      <c r="G49" s="26"/>
      <c r="H49" s="97">
        <v>223305.04432726331</v>
      </c>
      <c r="I49" s="92">
        <f t="shared" si="10"/>
        <v>0.87787422762664391</v>
      </c>
      <c r="J49" s="98">
        <f t="shared" si="11"/>
        <v>196033.74331392976</v>
      </c>
      <c r="K49" s="26"/>
      <c r="L49" s="97">
        <v>279588.40135440335</v>
      </c>
      <c r="M49" s="92">
        <f t="shared" si="12"/>
        <v>4.4515275153212421</v>
      </c>
      <c r="N49" s="98">
        <f t="shared" si="13"/>
        <v>1244595.4615938053</v>
      </c>
      <c r="O49" s="26"/>
      <c r="P49" s="80">
        <f t="shared" si="7"/>
        <v>1440629.2049077351</v>
      </c>
      <c r="Q49" s="26"/>
    </row>
    <row r="50" spans="2:17">
      <c r="B50" s="27" t="s">
        <v>175</v>
      </c>
      <c r="C50" s="26"/>
      <c r="D50" s="97">
        <v>283608.0501303082</v>
      </c>
      <c r="E50" s="92">
        <f t="shared" si="8"/>
        <v>6.846086835676723</v>
      </c>
      <c r="F50" s="98">
        <f t="shared" si="9"/>
        <v>1941605.338489047</v>
      </c>
      <c r="G50" s="26"/>
      <c r="H50" s="97">
        <v>242395.69924601042</v>
      </c>
      <c r="I50" s="92">
        <f t="shared" si="10"/>
        <v>0.87787422762664391</v>
      </c>
      <c r="J50" s="98">
        <f t="shared" si="11"/>
        <v>212792.93725561167</v>
      </c>
      <c r="K50" s="26"/>
      <c r="L50" s="97">
        <v>290542.77541487699</v>
      </c>
      <c r="M50" s="92">
        <f t="shared" si="12"/>
        <v>4.4515275153212421</v>
      </c>
      <c r="N50" s="98">
        <f t="shared" si="13"/>
        <v>1293359.1591371251</v>
      </c>
      <c r="O50" s="26"/>
      <c r="P50" s="80">
        <f t="shared" si="7"/>
        <v>1506152.0963927368</v>
      </c>
      <c r="Q50" s="26"/>
    </row>
    <row r="51" spans="2:17">
      <c r="B51" s="26"/>
      <c r="C51" s="26"/>
      <c r="D51" s="26"/>
      <c r="E51" s="26"/>
      <c r="F51" s="26"/>
      <c r="G51" s="26"/>
      <c r="H51" s="26"/>
      <c r="I51" s="26"/>
      <c r="J51" s="26"/>
      <c r="K51" s="26"/>
      <c r="L51" s="26"/>
      <c r="M51" s="26"/>
      <c r="N51" s="26"/>
      <c r="O51" s="26"/>
      <c r="P51" s="26"/>
      <c r="Q51" s="26"/>
    </row>
    <row r="52" spans="2:17" ht="13.9" thickBot="1">
      <c r="B52" s="74" t="s">
        <v>146</v>
      </c>
      <c r="C52" s="26"/>
      <c r="D52" s="81">
        <f>SUM(D39:D50)</f>
        <v>3529457.3088086923</v>
      </c>
      <c r="E52" s="82">
        <f>IF(D52&lt;&gt;0,F52/D52,0)</f>
        <v>6.846086835676723</v>
      </c>
      <c r="F52" s="83">
        <f>SUM(F39:F50)</f>
        <v>24162971.218918182</v>
      </c>
      <c r="G52" s="26"/>
      <c r="H52" s="81">
        <f>SUM(H39:H50)</f>
        <v>2945232.8199912552</v>
      </c>
      <c r="I52" s="82">
        <f>IF(H52&lt;&gt;0,J52/H52,0)</f>
        <v>0.8778742276266438</v>
      </c>
      <c r="J52" s="83">
        <f>SUM(J39:J50)</f>
        <v>2585543.9870304652</v>
      </c>
      <c r="K52" s="26"/>
      <c r="L52" s="81">
        <f>SUM(L39:L50)</f>
        <v>3583580.4203510308</v>
      </c>
      <c r="M52" s="82">
        <f>IF(L52&lt;&gt;0,N52/L52,0)</f>
        <v>4.4515275153212412</v>
      </c>
      <c r="N52" s="83">
        <f>SUM(N39:N50)</f>
        <v>15952406.844559073</v>
      </c>
      <c r="O52" s="26"/>
      <c r="P52" s="83">
        <f>SUM(P39:P50)</f>
        <v>18537950.831589542</v>
      </c>
      <c r="Q52" s="26"/>
    </row>
    <row r="53" spans="2:17">
      <c r="B53" s="26"/>
      <c r="C53" s="26"/>
      <c r="D53" s="26"/>
      <c r="E53" s="26"/>
      <c r="F53" s="26"/>
      <c r="G53" s="26"/>
      <c r="H53" s="26"/>
      <c r="I53" s="26"/>
      <c r="J53" s="26"/>
      <c r="K53" s="26"/>
      <c r="L53" s="26"/>
      <c r="M53" s="26"/>
      <c r="N53" s="26"/>
      <c r="O53" s="26"/>
      <c r="P53" s="26"/>
      <c r="Q53" s="26"/>
    </row>
    <row r="54" spans="2:17">
      <c r="B54" s="71" t="e">
        <f>#REF!</f>
        <v>#REF!</v>
      </c>
      <c r="C54" s="72"/>
      <c r="D54" s="247" t="s">
        <v>128</v>
      </c>
      <c r="E54" s="247"/>
      <c r="F54" s="247"/>
      <c r="G54" s="72"/>
      <c r="H54" s="247" t="s">
        <v>158</v>
      </c>
      <c r="I54" s="247"/>
      <c r="J54" s="247"/>
      <c r="K54" s="72"/>
      <c r="L54" s="247" t="s">
        <v>159</v>
      </c>
      <c r="M54" s="247"/>
      <c r="N54" s="247"/>
      <c r="O54" s="72"/>
      <c r="P54" s="71" t="s">
        <v>160</v>
      </c>
      <c r="Q54" s="26"/>
    </row>
    <row r="55" spans="2:17">
      <c r="B55" s="74"/>
      <c r="C55" s="26"/>
      <c r="D55" s="90"/>
      <c r="E55" s="90"/>
      <c r="F55" s="90"/>
      <c r="G55" s="26"/>
      <c r="H55" s="90"/>
      <c r="I55" s="90"/>
      <c r="J55" s="90"/>
      <c r="K55" s="26"/>
      <c r="L55" s="90"/>
      <c r="M55" s="90"/>
      <c r="N55" s="90"/>
      <c r="O55" s="26"/>
      <c r="P55" s="90"/>
      <c r="Q55" s="26"/>
    </row>
    <row r="56" spans="2:17">
      <c r="B56" s="74" t="s">
        <v>161</v>
      </c>
      <c r="C56" s="26"/>
      <c r="D56" s="90" t="s">
        <v>162</v>
      </c>
      <c r="E56" s="90" t="s">
        <v>100</v>
      </c>
      <c r="F56" s="90" t="s">
        <v>163</v>
      </c>
      <c r="G56" s="26"/>
      <c r="H56" s="90" t="s">
        <v>162</v>
      </c>
      <c r="I56" s="90" t="s">
        <v>100</v>
      </c>
      <c r="J56" s="90" t="s">
        <v>163</v>
      </c>
      <c r="K56" s="26"/>
      <c r="L56" s="90" t="s">
        <v>162</v>
      </c>
      <c r="M56" s="90" t="s">
        <v>100</v>
      </c>
      <c r="N56" s="90" t="s">
        <v>163</v>
      </c>
      <c r="O56" s="26"/>
      <c r="P56" s="90" t="s">
        <v>163</v>
      </c>
      <c r="Q56" s="26"/>
    </row>
    <row r="57" spans="2:17">
      <c r="B57" s="26"/>
      <c r="C57" s="26"/>
      <c r="D57" s="26"/>
      <c r="E57" s="26"/>
      <c r="F57" s="26"/>
      <c r="G57" s="26"/>
      <c r="H57" s="26"/>
      <c r="I57" s="26"/>
      <c r="J57" s="26"/>
      <c r="K57" s="26"/>
      <c r="L57" s="26"/>
      <c r="M57" s="26"/>
      <c r="N57" s="26"/>
      <c r="O57" s="26"/>
      <c r="P57" s="26"/>
      <c r="Q57" s="26"/>
    </row>
    <row r="58" spans="2:17">
      <c r="B58" s="27" t="s">
        <v>164</v>
      </c>
      <c r="C58" s="26"/>
      <c r="D58" s="97"/>
      <c r="E58" s="92"/>
      <c r="F58" s="98"/>
      <c r="G58" s="26"/>
      <c r="H58" s="97"/>
      <c r="I58" s="92"/>
      <c r="J58" s="98"/>
      <c r="K58" s="26"/>
      <c r="L58" s="97"/>
      <c r="M58" s="92"/>
      <c r="N58" s="98"/>
      <c r="O58" s="26"/>
      <c r="P58" s="80"/>
      <c r="Q58" s="26"/>
    </row>
    <row r="59" spans="2:17">
      <c r="B59" s="27" t="s">
        <v>165</v>
      </c>
      <c r="C59" s="26"/>
      <c r="D59" s="97"/>
      <c r="E59" s="92"/>
      <c r="F59" s="98"/>
      <c r="G59" s="26"/>
      <c r="H59" s="97"/>
      <c r="I59" s="92"/>
      <c r="J59" s="98"/>
      <c r="K59" s="26"/>
      <c r="L59" s="97"/>
      <c r="M59" s="92"/>
      <c r="N59" s="98"/>
      <c r="O59" s="26"/>
      <c r="P59" s="80"/>
      <c r="Q59" s="26"/>
    </row>
    <row r="60" spans="2:17">
      <c r="B60" s="27" t="s">
        <v>166</v>
      </c>
      <c r="C60" s="26"/>
      <c r="D60" s="97"/>
      <c r="E60" s="92"/>
      <c r="F60" s="98"/>
      <c r="G60" s="26"/>
      <c r="H60" s="97"/>
      <c r="I60" s="92"/>
      <c r="J60" s="98"/>
      <c r="K60" s="26"/>
      <c r="L60" s="97"/>
      <c r="M60" s="92"/>
      <c r="N60" s="98"/>
      <c r="O60" s="26"/>
      <c r="P60" s="80"/>
      <c r="Q60" s="26"/>
    </row>
    <row r="61" spans="2:17">
      <c r="B61" s="27" t="s">
        <v>167</v>
      </c>
      <c r="C61" s="26"/>
      <c r="D61" s="97"/>
      <c r="E61" s="92"/>
      <c r="F61" s="98"/>
      <c r="G61" s="26"/>
      <c r="H61" s="97"/>
      <c r="I61" s="92"/>
      <c r="J61" s="98"/>
      <c r="K61" s="26"/>
      <c r="L61" s="97"/>
      <c r="M61" s="92"/>
      <c r="N61" s="98"/>
      <c r="O61" s="26"/>
      <c r="P61" s="80"/>
      <c r="Q61" s="26"/>
    </row>
    <row r="62" spans="2:17">
      <c r="B62" s="27" t="s">
        <v>168</v>
      </c>
      <c r="C62" s="26"/>
      <c r="D62" s="97"/>
      <c r="E62" s="92"/>
      <c r="F62" s="98"/>
      <c r="G62" s="26"/>
      <c r="H62" s="97"/>
      <c r="I62" s="92"/>
      <c r="J62" s="98"/>
      <c r="K62" s="26"/>
      <c r="L62" s="97"/>
      <c r="M62" s="92"/>
      <c r="N62" s="98"/>
      <c r="O62" s="26"/>
      <c r="P62" s="80"/>
      <c r="Q62" s="26"/>
    </row>
    <row r="63" spans="2:17">
      <c r="B63" s="27" t="s">
        <v>169</v>
      </c>
      <c r="C63" s="26"/>
      <c r="D63" s="97"/>
      <c r="E63" s="92"/>
      <c r="F63" s="98"/>
      <c r="G63" s="26"/>
      <c r="H63" s="97"/>
      <c r="I63" s="92"/>
      <c r="J63" s="98"/>
      <c r="K63" s="26"/>
      <c r="L63" s="97"/>
      <c r="M63" s="92"/>
      <c r="N63" s="98"/>
      <c r="O63" s="26"/>
      <c r="P63" s="80"/>
      <c r="Q63" s="26"/>
    </row>
    <row r="64" spans="2:17">
      <c r="B64" s="27" t="s">
        <v>170</v>
      </c>
      <c r="C64" s="26"/>
      <c r="D64" s="97"/>
      <c r="E64" s="92"/>
      <c r="F64" s="98"/>
      <c r="G64" s="26"/>
      <c r="H64" s="97"/>
      <c r="I64" s="92"/>
      <c r="J64" s="98"/>
      <c r="K64" s="26"/>
      <c r="L64" s="97"/>
      <c r="M64" s="92"/>
      <c r="N64" s="98"/>
      <c r="O64" s="26"/>
      <c r="P64" s="80"/>
      <c r="Q64" s="26"/>
    </row>
    <row r="65" spans="2:17">
      <c r="B65" s="27" t="s">
        <v>171</v>
      </c>
      <c r="C65" s="26"/>
      <c r="D65" s="97"/>
      <c r="E65" s="92"/>
      <c r="F65" s="98"/>
      <c r="G65" s="26"/>
      <c r="H65" s="97"/>
      <c r="I65" s="92"/>
      <c r="J65" s="98"/>
      <c r="K65" s="26"/>
      <c r="L65" s="97"/>
      <c r="M65" s="92"/>
      <c r="N65" s="98"/>
      <c r="O65" s="26"/>
      <c r="P65" s="80"/>
      <c r="Q65" s="26"/>
    </row>
    <row r="66" spans="2:17">
      <c r="B66" s="27" t="s">
        <v>172</v>
      </c>
      <c r="C66" s="26"/>
      <c r="D66" s="97"/>
      <c r="E66" s="92"/>
      <c r="F66" s="98"/>
      <c r="G66" s="26"/>
      <c r="H66" s="97"/>
      <c r="I66" s="92"/>
      <c r="J66" s="98"/>
      <c r="K66" s="26"/>
      <c r="L66" s="97"/>
      <c r="M66" s="92"/>
      <c r="N66" s="98"/>
      <c r="O66" s="26"/>
      <c r="P66" s="80"/>
      <c r="Q66" s="26"/>
    </row>
    <row r="67" spans="2:17">
      <c r="B67" s="27" t="s">
        <v>173</v>
      </c>
      <c r="C67" s="26"/>
      <c r="D67" s="97"/>
      <c r="E67" s="92"/>
      <c r="F67" s="98"/>
      <c r="G67" s="26"/>
      <c r="H67" s="97"/>
      <c r="I67" s="92"/>
      <c r="J67" s="98"/>
      <c r="K67" s="26"/>
      <c r="L67" s="97"/>
      <c r="M67" s="92"/>
      <c r="N67" s="98"/>
      <c r="O67" s="26"/>
      <c r="P67" s="80"/>
      <c r="Q67" s="26"/>
    </row>
    <row r="68" spans="2:17">
      <c r="B68" s="27" t="s">
        <v>174</v>
      </c>
      <c r="C68" s="26"/>
      <c r="D68" s="97"/>
      <c r="E68" s="92"/>
      <c r="F68" s="98"/>
      <c r="G68" s="26"/>
      <c r="H68" s="97"/>
      <c r="I68" s="92"/>
      <c r="J68" s="98"/>
      <c r="K68" s="26"/>
      <c r="L68" s="97"/>
      <c r="M68" s="92"/>
      <c r="N68" s="98"/>
      <c r="O68" s="26"/>
      <c r="P68" s="80"/>
      <c r="Q68" s="26"/>
    </row>
    <row r="69" spans="2:17">
      <c r="B69" s="27" t="s">
        <v>175</v>
      </c>
      <c r="C69" s="26"/>
      <c r="D69" s="97"/>
      <c r="E69" s="92"/>
      <c r="F69" s="98"/>
      <c r="G69" s="26"/>
      <c r="H69" s="97"/>
      <c r="I69" s="92"/>
      <c r="J69" s="98"/>
      <c r="K69" s="26"/>
      <c r="L69" s="97"/>
      <c r="M69" s="92"/>
      <c r="N69" s="98"/>
      <c r="O69" s="26"/>
      <c r="P69" s="80"/>
      <c r="Q69" s="26"/>
    </row>
    <row r="70" spans="2:17">
      <c r="B70" s="26"/>
      <c r="C70" s="26"/>
      <c r="D70" s="26"/>
      <c r="E70" s="26"/>
      <c r="F70" s="26"/>
      <c r="G70" s="26"/>
      <c r="H70" s="26"/>
      <c r="I70" s="26"/>
      <c r="J70" s="26"/>
      <c r="K70" s="26"/>
      <c r="L70" s="26"/>
      <c r="M70" s="26"/>
      <c r="N70" s="26"/>
      <c r="O70" s="26"/>
      <c r="P70" s="26"/>
      <c r="Q70" s="26"/>
    </row>
    <row r="71" spans="2:17" ht="13.9" thickBot="1">
      <c r="B71" s="74" t="s">
        <v>146</v>
      </c>
      <c r="C71" s="26"/>
      <c r="D71" s="81">
        <f>SUM(D58:D69)</f>
        <v>0</v>
      </c>
      <c r="E71" s="82">
        <f>IF(D71&lt;&gt;0,F71/D71,0)</f>
        <v>0</v>
      </c>
      <c r="F71" s="83">
        <f>SUM(F58:F69)</f>
        <v>0</v>
      </c>
      <c r="G71" s="26"/>
      <c r="H71" s="81">
        <f>SUM(H58:H69)</f>
        <v>0</v>
      </c>
      <c r="I71" s="82">
        <f>IF(H71&lt;&gt;0,J71/H71,0)</f>
        <v>0</v>
      </c>
      <c r="J71" s="83">
        <f>SUM(J58:J69)</f>
        <v>0</v>
      </c>
      <c r="K71" s="26"/>
      <c r="L71" s="81">
        <f>SUM(L58:L69)</f>
        <v>0</v>
      </c>
      <c r="M71" s="82">
        <f>IF(L71&lt;&gt;0,N71/L71,0)</f>
        <v>0</v>
      </c>
      <c r="N71" s="83">
        <f>SUM(N58:N69)</f>
        <v>0</v>
      </c>
      <c r="O71" s="26"/>
      <c r="P71" s="83">
        <f>SUM(P58:P69)</f>
        <v>0</v>
      </c>
      <c r="Q71" s="26"/>
    </row>
    <row r="72" spans="2:17">
      <c r="B72" s="26"/>
      <c r="C72" s="26"/>
      <c r="D72" s="26"/>
      <c r="E72" s="26"/>
      <c r="F72" s="26"/>
      <c r="G72" s="26"/>
      <c r="H72" s="26"/>
      <c r="I72" s="26"/>
      <c r="J72" s="26"/>
      <c r="K72" s="26"/>
      <c r="L72" s="26"/>
      <c r="M72" s="26"/>
      <c r="N72" s="26"/>
      <c r="O72" s="26"/>
      <c r="P72" s="26"/>
      <c r="Q72" s="26"/>
    </row>
    <row r="73" spans="2:17">
      <c r="B73" s="71" t="e">
        <f>#REF!</f>
        <v>#REF!</v>
      </c>
      <c r="C73" s="72"/>
      <c r="D73" s="247" t="s">
        <v>128</v>
      </c>
      <c r="E73" s="247"/>
      <c r="F73" s="247"/>
      <c r="G73" s="72"/>
      <c r="H73" s="247" t="s">
        <v>158</v>
      </c>
      <c r="I73" s="247"/>
      <c r="J73" s="247"/>
      <c r="K73" s="72"/>
      <c r="L73" s="247" t="s">
        <v>159</v>
      </c>
      <c r="M73" s="247"/>
      <c r="N73" s="247"/>
      <c r="O73" s="72"/>
      <c r="P73" s="71" t="s">
        <v>160</v>
      </c>
      <c r="Q73" s="26"/>
    </row>
    <row r="74" spans="2:17">
      <c r="B74" s="74"/>
      <c r="C74" s="26"/>
      <c r="D74" s="90"/>
      <c r="E74" s="90"/>
      <c r="F74" s="90"/>
      <c r="G74" s="26"/>
      <c r="H74" s="90"/>
      <c r="I74" s="90"/>
      <c r="J74" s="90"/>
      <c r="K74" s="26"/>
      <c r="L74" s="90"/>
      <c r="M74" s="90"/>
      <c r="N74" s="90"/>
      <c r="O74" s="26"/>
      <c r="P74" s="90"/>
      <c r="Q74" s="26"/>
    </row>
    <row r="75" spans="2:17">
      <c r="B75" s="74" t="s">
        <v>161</v>
      </c>
      <c r="C75" s="26"/>
      <c r="D75" s="90" t="s">
        <v>162</v>
      </c>
      <c r="E75" s="90" t="s">
        <v>100</v>
      </c>
      <c r="F75" s="90" t="s">
        <v>163</v>
      </c>
      <c r="G75" s="26"/>
      <c r="H75" s="90" t="s">
        <v>162</v>
      </c>
      <c r="I75" s="90" t="s">
        <v>100</v>
      </c>
      <c r="J75" s="90" t="s">
        <v>163</v>
      </c>
      <c r="K75" s="26"/>
      <c r="L75" s="90" t="s">
        <v>162</v>
      </c>
      <c r="M75" s="90" t="s">
        <v>100</v>
      </c>
      <c r="N75" s="90" t="s">
        <v>163</v>
      </c>
      <c r="O75" s="26"/>
      <c r="P75" s="90" t="s">
        <v>163</v>
      </c>
      <c r="Q75" s="26"/>
    </row>
    <row r="76" spans="2:17">
      <c r="B76" s="26"/>
      <c r="C76" s="26"/>
      <c r="D76" s="26"/>
      <c r="E76" s="26"/>
      <c r="F76" s="26"/>
      <c r="G76" s="26"/>
      <c r="H76" s="26"/>
      <c r="I76" s="26"/>
      <c r="J76" s="26"/>
      <c r="K76" s="26"/>
      <c r="L76" s="26"/>
      <c r="M76" s="26"/>
      <c r="N76" s="26"/>
      <c r="O76" s="26"/>
      <c r="P76" s="26"/>
      <c r="Q76" s="26"/>
    </row>
    <row r="77" spans="2:17">
      <c r="B77" s="27" t="s">
        <v>164</v>
      </c>
      <c r="C77" s="26"/>
      <c r="D77" s="97"/>
      <c r="E77" s="92"/>
      <c r="F77" s="98"/>
      <c r="G77" s="26"/>
      <c r="H77" s="97"/>
      <c r="I77" s="92"/>
      <c r="J77" s="98"/>
      <c r="K77" s="26"/>
      <c r="L77" s="97"/>
      <c r="M77" s="92"/>
      <c r="N77" s="98"/>
      <c r="O77" s="26"/>
      <c r="P77" s="80"/>
      <c r="Q77" s="26"/>
    </row>
    <row r="78" spans="2:17">
      <c r="B78" s="27" t="s">
        <v>165</v>
      </c>
      <c r="C78" s="26"/>
      <c r="D78" s="97"/>
      <c r="E78" s="92"/>
      <c r="F78" s="98"/>
      <c r="G78" s="26"/>
      <c r="H78" s="97"/>
      <c r="I78" s="92"/>
      <c r="J78" s="98"/>
      <c r="K78" s="26"/>
      <c r="L78" s="97"/>
      <c r="M78" s="92"/>
      <c r="N78" s="98"/>
      <c r="O78" s="26"/>
      <c r="P78" s="80"/>
      <c r="Q78" s="26"/>
    </row>
    <row r="79" spans="2:17">
      <c r="B79" s="27" t="s">
        <v>166</v>
      </c>
      <c r="C79" s="26"/>
      <c r="D79" s="97"/>
      <c r="E79" s="92"/>
      <c r="F79" s="98"/>
      <c r="G79" s="26"/>
      <c r="H79" s="97"/>
      <c r="I79" s="92"/>
      <c r="J79" s="98"/>
      <c r="K79" s="26"/>
      <c r="L79" s="97"/>
      <c r="M79" s="92"/>
      <c r="N79" s="98"/>
      <c r="O79" s="26"/>
      <c r="P79" s="80"/>
      <c r="Q79" s="26"/>
    </row>
    <row r="80" spans="2:17">
      <c r="B80" s="27" t="s">
        <v>167</v>
      </c>
      <c r="C80" s="26"/>
      <c r="D80" s="97"/>
      <c r="E80" s="92"/>
      <c r="F80" s="98"/>
      <c r="G80" s="26"/>
      <c r="H80" s="97"/>
      <c r="I80" s="92"/>
      <c r="J80" s="98"/>
      <c r="K80" s="26"/>
      <c r="L80" s="97"/>
      <c r="M80" s="92"/>
      <c r="N80" s="98"/>
      <c r="O80" s="26"/>
      <c r="P80" s="80"/>
      <c r="Q80" s="26"/>
    </row>
    <row r="81" spans="2:17">
      <c r="B81" s="27" t="s">
        <v>168</v>
      </c>
      <c r="C81" s="26"/>
      <c r="D81" s="97"/>
      <c r="E81" s="92"/>
      <c r="F81" s="98"/>
      <c r="G81" s="26"/>
      <c r="H81" s="97"/>
      <c r="I81" s="92"/>
      <c r="J81" s="98"/>
      <c r="K81" s="26"/>
      <c r="L81" s="97"/>
      <c r="M81" s="92"/>
      <c r="N81" s="98"/>
      <c r="O81" s="26"/>
      <c r="P81" s="80"/>
      <c r="Q81" s="26"/>
    </row>
    <row r="82" spans="2:17">
      <c r="B82" s="27" t="s">
        <v>169</v>
      </c>
      <c r="C82" s="26"/>
      <c r="D82" s="97"/>
      <c r="E82" s="92"/>
      <c r="F82" s="98"/>
      <c r="G82" s="26"/>
      <c r="H82" s="97"/>
      <c r="I82" s="92"/>
      <c r="J82" s="98"/>
      <c r="K82" s="26"/>
      <c r="L82" s="97"/>
      <c r="M82" s="92"/>
      <c r="N82" s="98"/>
      <c r="O82" s="26"/>
      <c r="P82" s="80"/>
      <c r="Q82" s="26"/>
    </row>
    <row r="83" spans="2:17">
      <c r="B83" s="27" t="s">
        <v>170</v>
      </c>
      <c r="C83" s="26"/>
      <c r="D83" s="97"/>
      <c r="E83" s="92"/>
      <c r="F83" s="98"/>
      <c r="G83" s="26"/>
      <c r="H83" s="97"/>
      <c r="I83" s="92"/>
      <c r="J83" s="98"/>
      <c r="K83" s="26"/>
      <c r="L83" s="97"/>
      <c r="M83" s="92"/>
      <c r="N83" s="98"/>
      <c r="O83" s="26"/>
      <c r="P83" s="80"/>
      <c r="Q83" s="26"/>
    </row>
    <row r="84" spans="2:17">
      <c r="B84" s="27" t="s">
        <v>171</v>
      </c>
      <c r="C84" s="26"/>
      <c r="D84" s="97"/>
      <c r="E84" s="92"/>
      <c r="F84" s="98"/>
      <c r="G84" s="26"/>
      <c r="H84" s="97"/>
      <c r="I84" s="92"/>
      <c r="J84" s="98"/>
      <c r="K84" s="26"/>
      <c r="L84" s="97"/>
      <c r="M84" s="92"/>
      <c r="N84" s="98"/>
      <c r="O84" s="26"/>
      <c r="P84" s="80"/>
      <c r="Q84" s="26"/>
    </row>
    <row r="85" spans="2:17">
      <c r="B85" s="27" t="s">
        <v>172</v>
      </c>
      <c r="C85" s="26"/>
      <c r="D85" s="97"/>
      <c r="E85" s="92"/>
      <c r="F85" s="98"/>
      <c r="G85" s="26"/>
      <c r="H85" s="97"/>
      <c r="I85" s="92"/>
      <c r="J85" s="98"/>
      <c r="K85" s="26"/>
      <c r="L85" s="97"/>
      <c r="M85" s="92"/>
      <c r="N85" s="98"/>
      <c r="O85" s="26"/>
      <c r="P85" s="80"/>
      <c r="Q85" s="26"/>
    </row>
    <row r="86" spans="2:17">
      <c r="B86" s="27" t="s">
        <v>173</v>
      </c>
      <c r="C86" s="26"/>
      <c r="D86" s="97"/>
      <c r="E86" s="92"/>
      <c r="F86" s="98"/>
      <c r="G86" s="26"/>
      <c r="H86" s="97"/>
      <c r="I86" s="92"/>
      <c r="J86" s="98"/>
      <c r="K86" s="26"/>
      <c r="L86" s="97"/>
      <c r="M86" s="92"/>
      <c r="N86" s="98"/>
      <c r="O86" s="26"/>
      <c r="P86" s="80"/>
      <c r="Q86" s="26"/>
    </row>
    <row r="87" spans="2:17">
      <c r="B87" s="27" t="s">
        <v>174</v>
      </c>
      <c r="C87" s="26"/>
      <c r="D87" s="97"/>
      <c r="E87" s="92"/>
      <c r="F87" s="98"/>
      <c r="G87" s="26"/>
      <c r="H87" s="97"/>
      <c r="I87" s="92"/>
      <c r="J87" s="98"/>
      <c r="K87" s="26"/>
      <c r="L87" s="97"/>
      <c r="M87" s="92"/>
      <c r="N87" s="98"/>
      <c r="O87" s="26"/>
      <c r="P87" s="80"/>
      <c r="Q87" s="26"/>
    </row>
    <row r="88" spans="2:17">
      <c r="B88" s="27" t="s">
        <v>175</v>
      </c>
      <c r="C88" s="26"/>
      <c r="D88" s="97"/>
      <c r="E88" s="92"/>
      <c r="F88" s="98"/>
      <c r="G88" s="26"/>
      <c r="H88" s="97"/>
      <c r="I88" s="92"/>
      <c r="J88" s="98"/>
      <c r="K88" s="26"/>
      <c r="L88" s="97"/>
      <c r="M88" s="92"/>
      <c r="N88" s="98"/>
      <c r="O88" s="26"/>
      <c r="P88" s="80"/>
      <c r="Q88" s="26"/>
    </row>
    <row r="89" spans="2:17">
      <c r="B89" s="26"/>
      <c r="C89" s="26"/>
      <c r="D89" s="26"/>
      <c r="E89" s="26"/>
      <c r="F89" s="26"/>
      <c r="G89" s="26"/>
      <c r="H89" s="26"/>
      <c r="I89" s="26"/>
      <c r="J89" s="26"/>
      <c r="K89" s="26"/>
      <c r="L89" s="26"/>
      <c r="M89" s="26"/>
      <c r="N89" s="26"/>
      <c r="O89" s="26"/>
      <c r="P89" s="26"/>
      <c r="Q89" s="26"/>
    </row>
    <row r="90" spans="2:17" ht="13.9" thickBot="1">
      <c r="B90" s="74" t="s">
        <v>146</v>
      </c>
      <c r="C90" s="26"/>
      <c r="D90" s="81">
        <f>SUM(D77:D88)</f>
        <v>0</v>
      </c>
      <c r="E90" s="82">
        <f>IF(D90&lt;&gt;0,F90/D90,0)</f>
        <v>0</v>
      </c>
      <c r="F90" s="83">
        <f>SUM(F77:F88)</f>
        <v>0</v>
      </c>
      <c r="G90" s="26"/>
      <c r="H90" s="81">
        <f>SUM(H77:H88)</f>
        <v>0</v>
      </c>
      <c r="I90" s="82">
        <f>IF(H90&lt;&gt;0,J90/H90,0)</f>
        <v>0</v>
      </c>
      <c r="J90" s="83">
        <f>SUM(J77:J88)</f>
        <v>0</v>
      </c>
      <c r="K90" s="26"/>
      <c r="L90" s="81">
        <f>SUM(L77:L88)</f>
        <v>0</v>
      </c>
      <c r="M90" s="82">
        <f>IF(L90&lt;&gt;0,N90/L90,0)</f>
        <v>0</v>
      </c>
      <c r="N90" s="83">
        <f>SUM(N77:N88)</f>
        <v>0</v>
      </c>
      <c r="O90" s="26"/>
      <c r="P90" s="83">
        <f>SUM(P77:P88)</f>
        <v>0</v>
      </c>
      <c r="Q90" s="26"/>
    </row>
    <row r="91" spans="2:17">
      <c r="B91" s="26"/>
      <c r="C91" s="26"/>
      <c r="D91" s="26"/>
      <c r="E91" s="26"/>
      <c r="F91" s="26"/>
      <c r="G91" s="26"/>
      <c r="H91" s="26"/>
      <c r="I91" s="26"/>
      <c r="J91" s="26"/>
      <c r="K91" s="26"/>
      <c r="L91" s="26"/>
      <c r="M91" s="26"/>
      <c r="N91" s="26"/>
      <c r="O91" s="26"/>
      <c r="P91" s="26"/>
      <c r="Q91" s="26"/>
    </row>
    <row r="92" spans="2:17">
      <c r="B92" s="71" t="s">
        <v>146</v>
      </c>
      <c r="C92" s="72"/>
      <c r="D92" s="247" t="s">
        <v>128</v>
      </c>
      <c r="E92" s="247"/>
      <c r="F92" s="247"/>
      <c r="G92" s="72"/>
      <c r="H92" s="247" t="s">
        <v>158</v>
      </c>
      <c r="I92" s="247"/>
      <c r="J92" s="247"/>
      <c r="K92" s="72"/>
      <c r="L92" s="247" t="s">
        <v>159</v>
      </c>
      <c r="M92" s="247"/>
      <c r="N92" s="247"/>
      <c r="O92" s="72"/>
      <c r="P92" s="71" t="s">
        <v>160</v>
      </c>
      <c r="Q92" s="26"/>
    </row>
    <row r="93" spans="2:17">
      <c r="B93" s="26"/>
      <c r="C93" s="26"/>
      <c r="D93" s="248"/>
      <c r="E93" s="248"/>
      <c r="F93" s="248"/>
      <c r="G93" s="26"/>
      <c r="H93" s="248"/>
      <c r="I93" s="248"/>
      <c r="J93" s="248"/>
      <c r="K93" s="26"/>
      <c r="L93" s="248"/>
      <c r="M93" s="248"/>
      <c r="N93" s="248"/>
      <c r="O93" s="26"/>
      <c r="P93" s="90"/>
      <c r="Q93" s="26"/>
    </row>
    <row r="94" spans="2:17">
      <c r="B94" s="74" t="s">
        <v>161</v>
      </c>
      <c r="C94" s="26"/>
      <c r="D94" s="90" t="s">
        <v>162</v>
      </c>
      <c r="E94" s="90" t="s">
        <v>100</v>
      </c>
      <c r="F94" s="90" t="s">
        <v>163</v>
      </c>
      <c r="G94" s="26"/>
      <c r="H94" s="90" t="s">
        <v>162</v>
      </c>
      <c r="I94" s="90" t="s">
        <v>100</v>
      </c>
      <c r="J94" s="90" t="s">
        <v>163</v>
      </c>
      <c r="K94" s="26"/>
      <c r="L94" s="90" t="s">
        <v>162</v>
      </c>
      <c r="M94" s="90" t="s">
        <v>100</v>
      </c>
      <c r="N94" s="90" t="s">
        <v>163</v>
      </c>
      <c r="O94" s="26"/>
      <c r="P94" s="90" t="s">
        <v>163</v>
      </c>
      <c r="Q94" s="26"/>
    </row>
    <row r="95" spans="2:17">
      <c r="B95" s="26"/>
      <c r="C95" s="26"/>
      <c r="D95" s="26"/>
      <c r="E95" s="26"/>
      <c r="F95" s="26"/>
      <c r="G95" s="26"/>
      <c r="H95" s="26"/>
      <c r="I95" s="26"/>
      <c r="J95" s="26"/>
      <c r="K95" s="26"/>
      <c r="L95" s="26"/>
      <c r="M95" s="26"/>
      <c r="N95" s="26"/>
      <c r="O95" s="26"/>
      <c r="P95" s="26"/>
      <c r="Q95" s="26"/>
    </row>
    <row r="96" spans="2:17">
      <c r="B96" s="27" t="s">
        <v>164</v>
      </c>
      <c r="C96" s="26"/>
      <c r="D96" s="91">
        <f>D20+D39+D58+D77</f>
        <v>663795.93505381164</v>
      </c>
      <c r="E96" s="92">
        <f t="shared" ref="E96:E107" si="14">IF(D96&lt;&gt;0,F96/D96,0)</f>
        <v>7.4594307244035338</v>
      </c>
      <c r="F96" s="80">
        <f>F20+F39+F58+F77</f>
        <v>4951539.792674575</v>
      </c>
      <c r="G96" s="26"/>
      <c r="H96" s="91">
        <f>H20+H39+H58+H77</f>
        <v>464857.75425332162</v>
      </c>
      <c r="I96" s="92">
        <f t="shared" ref="I96:I107" si="15">IF(H96&lt;&gt;0,J96/H96,0)</f>
        <v>1.0370310580968289</v>
      </c>
      <c r="J96" s="80">
        <f>J20+J39+J58+J77</f>
        <v>482071.9287578378</v>
      </c>
      <c r="K96" s="26"/>
      <c r="L96" s="91">
        <f>L20+L39+L58+L77</f>
        <v>703735.82043059333</v>
      </c>
      <c r="M96" s="92">
        <f t="shared" ref="M96:M107" si="16">IF(L96&lt;&gt;0,N96/L96,0)</f>
        <v>4.380559181884597</v>
      </c>
      <c r="N96" s="80">
        <f>N20+N39+N58+N77</f>
        <v>3082756.4098083256</v>
      </c>
      <c r="O96" s="26"/>
      <c r="P96" s="80">
        <f t="shared" ref="P96:P107" si="17">J96+N96</f>
        <v>3564828.3385661636</v>
      </c>
      <c r="Q96" s="26"/>
    </row>
    <row r="97" spans="2:17">
      <c r="B97" s="27" t="s">
        <v>165</v>
      </c>
      <c r="C97" s="26"/>
      <c r="D97" s="91">
        <f t="shared" ref="D97:D107" si="18">D21+D40+D59+D78</f>
        <v>657267.3553377036</v>
      </c>
      <c r="E97" s="92">
        <f t="shared" si="14"/>
        <v>7.4538783614523627</v>
      </c>
      <c r="F97" s="80">
        <f t="shared" ref="F97:F107" si="19">F21+F40+F59+F78</f>
        <v>4899190.9176407298</v>
      </c>
      <c r="G97" s="26"/>
      <c r="H97" s="91">
        <f t="shared" ref="H97:H107" si="20">H21+H40+H59+H78</f>
        <v>450689.76815769589</v>
      </c>
      <c r="I97" s="92">
        <f t="shared" si="15"/>
        <v>1.050289053990181</v>
      </c>
      <c r="J97" s="80">
        <f t="shared" ref="J97:J107" si="21">J21+J40+J59+J78</f>
        <v>473354.53024140047</v>
      </c>
      <c r="K97" s="26"/>
      <c r="L97" s="91">
        <f t="shared" ref="L97:L107" si="22">L21+L40+L59+L78</f>
        <v>680652.40490148927</v>
      </c>
      <c r="M97" s="92">
        <f t="shared" si="16"/>
        <v>4.3797334980554492</v>
      </c>
      <c r="N97" s="80">
        <f t="shared" ref="N97:N107" si="23">N21+N40+N59+N78</f>
        <v>2981076.1382790534</v>
      </c>
      <c r="O97" s="26"/>
      <c r="P97" s="80">
        <f t="shared" si="17"/>
        <v>3454430.6685204539</v>
      </c>
      <c r="Q97" s="26"/>
    </row>
    <row r="98" spans="2:17">
      <c r="B98" s="27" t="s">
        <v>166</v>
      </c>
      <c r="C98" s="26"/>
      <c r="D98" s="91">
        <f t="shared" si="18"/>
        <v>602464.05239110335</v>
      </c>
      <c r="E98" s="92">
        <f t="shared" si="14"/>
        <v>7.4983620367807582</v>
      </c>
      <c r="F98" s="80">
        <f t="shared" si="19"/>
        <v>4517493.5789745431</v>
      </c>
      <c r="G98" s="26"/>
      <c r="H98" s="91">
        <f t="shared" si="20"/>
        <v>406400.90848784061</v>
      </c>
      <c r="I98" s="92">
        <f t="shared" si="15"/>
        <v>1.0607124695226664</v>
      </c>
      <c r="J98" s="80">
        <f t="shared" si="21"/>
        <v>431074.51125839259</v>
      </c>
      <c r="K98" s="26"/>
      <c r="L98" s="91">
        <f t="shared" si="22"/>
        <v>616974.56135361188</v>
      </c>
      <c r="M98" s="92">
        <f t="shared" si="16"/>
        <v>4.3761056314798568</v>
      </c>
      <c r="N98" s="80">
        <f t="shared" si="23"/>
        <v>2699945.8524193554</v>
      </c>
      <c r="O98" s="26"/>
      <c r="P98" s="80">
        <f t="shared" si="17"/>
        <v>3131020.363677748</v>
      </c>
      <c r="Q98" s="26"/>
    </row>
    <row r="99" spans="2:17">
      <c r="B99" s="27" t="s">
        <v>167</v>
      </c>
      <c r="C99" s="26"/>
      <c r="D99" s="91">
        <f t="shared" si="18"/>
        <v>561953.85789137427</v>
      </c>
      <c r="E99" s="92">
        <f t="shared" si="14"/>
        <v>7.5265370049540659</v>
      </c>
      <c r="F99" s="80">
        <f t="shared" si="19"/>
        <v>4229566.5064961268</v>
      </c>
      <c r="G99" s="26"/>
      <c r="H99" s="91">
        <f t="shared" si="20"/>
        <v>378809.31272428657</v>
      </c>
      <c r="I99" s="92">
        <f t="shared" si="15"/>
        <v>1.0653348229047981</v>
      </c>
      <c r="J99" s="80">
        <f t="shared" si="21"/>
        <v>403558.75208581612</v>
      </c>
      <c r="K99" s="26"/>
      <c r="L99" s="91">
        <f t="shared" si="22"/>
        <v>569281.04940452636</v>
      </c>
      <c r="M99" s="92">
        <f t="shared" si="16"/>
        <v>4.3735856529873489</v>
      </c>
      <c r="N99" s="80">
        <f t="shared" si="23"/>
        <v>2489799.4301932189</v>
      </c>
      <c r="O99" s="26"/>
      <c r="P99" s="80">
        <f t="shared" si="17"/>
        <v>2893358.182279035</v>
      </c>
      <c r="Q99" s="26"/>
    </row>
    <row r="100" spans="2:17">
      <c r="B100" s="27" t="s">
        <v>168</v>
      </c>
      <c r="C100" s="26"/>
      <c r="D100" s="91">
        <f t="shared" si="18"/>
        <v>676400.43686679215</v>
      </c>
      <c r="E100" s="92">
        <f t="shared" si="14"/>
        <v>7.5403286073981066</v>
      </c>
      <c r="F100" s="80">
        <f t="shared" si="19"/>
        <v>5100281.5641632499</v>
      </c>
      <c r="G100" s="26"/>
      <c r="H100" s="91">
        <f t="shared" si="20"/>
        <v>457184.12657219765</v>
      </c>
      <c r="I100" s="92">
        <f t="shared" si="15"/>
        <v>1.0849638734292897</v>
      </c>
      <c r="J100" s="80">
        <f t="shared" si="21"/>
        <v>496028.26083615818</v>
      </c>
      <c r="K100" s="26"/>
      <c r="L100" s="91">
        <f t="shared" si="22"/>
        <v>691380.41572447633</v>
      </c>
      <c r="M100" s="92">
        <f t="shared" si="16"/>
        <v>4.3709019841679941</v>
      </c>
      <c r="N100" s="80">
        <f t="shared" si="23"/>
        <v>3021956.030905006</v>
      </c>
      <c r="O100" s="26"/>
      <c r="P100" s="80">
        <f t="shared" si="17"/>
        <v>3517984.2917411644</v>
      </c>
      <c r="Q100" s="26"/>
    </row>
    <row r="101" spans="2:17">
      <c r="B101" s="27" t="s">
        <v>169</v>
      </c>
      <c r="C101" s="26"/>
      <c r="D101" s="91">
        <f t="shared" si="18"/>
        <v>811824.19173673331</v>
      </c>
      <c r="E101" s="92">
        <f t="shared" si="14"/>
        <v>7.5044906561220346</v>
      </c>
      <c r="F101" s="80">
        <f t="shared" si="19"/>
        <v>6092327.0613021385</v>
      </c>
      <c r="G101" s="26"/>
      <c r="H101" s="91">
        <f t="shared" si="20"/>
        <v>595045.00732394145</v>
      </c>
      <c r="I101" s="92">
        <f t="shared" si="15"/>
        <v>1.0763482793528099</v>
      </c>
      <c r="J101" s="80">
        <f t="shared" si="21"/>
        <v>640475.66977060447</v>
      </c>
      <c r="K101" s="26"/>
      <c r="L101" s="91">
        <f t="shared" si="22"/>
        <v>852954.51248559123</v>
      </c>
      <c r="M101" s="92">
        <f t="shared" si="16"/>
        <v>4.3735059260697691</v>
      </c>
      <c r="N101" s="80">
        <f t="shared" si="23"/>
        <v>3730401.6150236838</v>
      </c>
      <c r="O101" s="26"/>
      <c r="P101" s="80">
        <f t="shared" si="17"/>
        <v>4370877.2847942878</v>
      </c>
      <c r="Q101" s="26"/>
    </row>
    <row r="102" spans="2:17">
      <c r="B102" s="27" t="s">
        <v>170</v>
      </c>
      <c r="C102" s="26"/>
      <c r="D102" s="91">
        <f t="shared" si="18"/>
        <v>838005.5646136693</v>
      </c>
      <c r="E102" s="92">
        <f t="shared" si="14"/>
        <v>7.5438925871000517</v>
      </c>
      <c r="F102" s="80">
        <f t="shared" si="19"/>
        <v>6321823.966837653</v>
      </c>
      <c r="G102" s="26"/>
      <c r="H102" s="91">
        <f t="shared" si="20"/>
        <v>586190.56112209824</v>
      </c>
      <c r="I102" s="92">
        <f t="shared" si="15"/>
        <v>1.0888783863693727</v>
      </c>
      <c r="J102" s="80">
        <f t="shared" si="21"/>
        <v>638290.23229958746</v>
      </c>
      <c r="K102" s="26"/>
      <c r="L102" s="91">
        <f t="shared" si="22"/>
        <v>851943.60697345133</v>
      </c>
      <c r="M102" s="92">
        <f t="shared" si="16"/>
        <v>4.3704835658068992</v>
      </c>
      <c r="N102" s="80">
        <f t="shared" si="23"/>
        <v>3723405.5332717211</v>
      </c>
      <c r="O102" s="26"/>
      <c r="P102" s="80">
        <f t="shared" si="17"/>
        <v>4361695.7655713083</v>
      </c>
      <c r="Q102" s="26"/>
    </row>
    <row r="103" spans="2:17">
      <c r="B103" s="27" t="s">
        <v>171</v>
      </c>
      <c r="C103" s="26"/>
      <c r="D103" s="91">
        <f t="shared" si="18"/>
        <v>855201.21782495431</v>
      </c>
      <c r="E103" s="92">
        <f t="shared" si="14"/>
        <v>7.51096859183939</v>
      </c>
      <c r="F103" s="80">
        <f t="shared" si="19"/>
        <v>6423389.4867860284</v>
      </c>
      <c r="G103" s="26"/>
      <c r="H103" s="91">
        <f t="shared" si="20"/>
        <v>569575.69458183786</v>
      </c>
      <c r="I103" s="92">
        <f t="shared" si="15"/>
        <v>1.0884545732904767</v>
      </c>
      <c r="J103" s="80">
        <f t="shared" si="21"/>
        <v>619957.26960270118</v>
      </c>
      <c r="K103" s="26"/>
      <c r="L103" s="91">
        <f t="shared" si="22"/>
        <v>877985.26008276246</v>
      </c>
      <c r="M103" s="92">
        <f t="shared" si="16"/>
        <v>4.3741278465495519</v>
      </c>
      <c r="N103" s="80">
        <f t="shared" si="23"/>
        <v>3840419.7749880622</v>
      </c>
      <c r="O103" s="26"/>
      <c r="P103" s="80">
        <f t="shared" si="17"/>
        <v>4460377.0445907637</v>
      </c>
      <c r="Q103" s="26"/>
    </row>
    <row r="104" spans="2:17">
      <c r="B104" s="27" t="s">
        <v>172</v>
      </c>
      <c r="C104" s="26"/>
      <c r="D104" s="91">
        <f t="shared" si="18"/>
        <v>730682.55925925006</v>
      </c>
      <c r="E104" s="92">
        <f t="shared" si="14"/>
        <v>7.5225984793633502</v>
      </c>
      <c r="F104" s="80">
        <f t="shared" si="19"/>
        <v>5496631.5091809556</v>
      </c>
      <c r="G104" s="26"/>
      <c r="H104" s="91">
        <f t="shared" si="20"/>
        <v>476680.83525175526</v>
      </c>
      <c r="I104" s="92">
        <f t="shared" si="15"/>
        <v>1.0829922044925286</v>
      </c>
      <c r="J104" s="80">
        <f t="shared" si="21"/>
        <v>516241.6286086383</v>
      </c>
      <c r="K104" s="26"/>
      <c r="L104" s="91">
        <f t="shared" si="22"/>
        <v>733424.75048666028</v>
      </c>
      <c r="M104" s="92">
        <f t="shared" si="16"/>
        <v>4.373722536976576</v>
      </c>
      <c r="N104" s="80">
        <f t="shared" si="23"/>
        <v>3207796.3603799278</v>
      </c>
      <c r="O104" s="26"/>
      <c r="P104" s="80">
        <f t="shared" si="17"/>
        <v>3724037.9889885662</v>
      </c>
      <c r="Q104" s="26"/>
    </row>
    <row r="105" spans="2:17">
      <c r="B105" s="27" t="s">
        <v>173</v>
      </c>
      <c r="C105" s="26"/>
      <c r="D105" s="91">
        <f t="shared" si="18"/>
        <v>605369.53500032309</v>
      </c>
      <c r="E105" s="92">
        <f t="shared" si="14"/>
        <v>7.5148587342899154</v>
      </c>
      <c r="F105" s="80">
        <f t="shared" si="19"/>
        <v>4549266.5375702027</v>
      </c>
      <c r="G105" s="26"/>
      <c r="H105" s="91">
        <f t="shared" si="20"/>
        <v>454406.23364482203</v>
      </c>
      <c r="I105" s="92">
        <f t="shared" si="15"/>
        <v>1.1029858054770216</v>
      </c>
      <c r="J105" s="80">
        <f t="shared" si="21"/>
        <v>501203.62563051371</v>
      </c>
      <c r="K105" s="26"/>
      <c r="L105" s="91">
        <f t="shared" si="22"/>
        <v>625177.85032056388</v>
      </c>
      <c r="M105" s="92">
        <f t="shared" si="16"/>
        <v>4.3734015784022278</v>
      </c>
      <c r="N105" s="80">
        <f t="shared" si="23"/>
        <v>2734153.797374066</v>
      </c>
      <c r="O105" s="26"/>
      <c r="P105" s="80">
        <f t="shared" si="17"/>
        <v>3235357.4230045797</v>
      </c>
      <c r="Q105" s="26"/>
    </row>
    <row r="106" spans="2:17">
      <c r="B106" s="27" t="s">
        <v>174</v>
      </c>
      <c r="C106" s="26"/>
      <c r="D106" s="91">
        <f t="shared" si="18"/>
        <v>614274.8311644122</v>
      </c>
      <c r="E106" s="92">
        <f t="shared" si="14"/>
        <v>7.4804826082611147</v>
      </c>
      <c r="F106" s="80">
        <f t="shared" si="19"/>
        <v>4595072.1912179179</v>
      </c>
      <c r="G106" s="26"/>
      <c r="H106" s="91">
        <f t="shared" si="20"/>
        <v>415790.11130009696</v>
      </c>
      <c r="I106" s="92">
        <f t="shared" si="15"/>
        <v>1.0648856983413029</v>
      </c>
      <c r="J106" s="80">
        <f t="shared" si="21"/>
        <v>442768.94303521182</v>
      </c>
      <c r="K106" s="26"/>
      <c r="L106" s="91">
        <f t="shared" si="22"/>
        <v>597403.53438122966</v>
      </c>
      <c r="M106" s="92">
        <f t="shared" si="16"/>
        <v>4.3810725851390382</v>
      </c>
      <c r="N106" s="80">
        <f t="shared" si="23"/>
        <v>2617268.2467427719</v>
      </c>
      <c r="O106" s="26"/>
      <c r="P106" s="80">
        <f t="shared" si="17"/>
        <v>3060037.1897779838</v>
      </c>
      <c r="Q106" s="26"/>
    </row>
    <row r="107" spans="2:17">
      <c r="B107" s="27" t="s">
        <v>175</v>
      </c>
      <c r="C107" s="26"/>
      <c r="D107" s="91">
        <f t="shared" si="18"/>
        <v>652566.92988376692</v>
      </c>
      <c r="E107" s="92">
        <f t="shared" si="14"/>
        <v>7.4964478302957493</v>
      </c>
      <c r="F107" s="80">
        <f t="shared" si="19"/>
        <v>4891933.9456499228</v>
      </c>
      <c r="G107" s="26"/>
      <c r="H107" s="91">
        <f t="shared" si="20"/>
        <v>479698.96584775171</v>
      </c>
      <c r="I107" s="92">
        <f t="shared" si="15"/>
        <v>1.0777132487998902</v>
      </c>
      <c r="J107" s="80">
        <f t="shared" si="21"/>
        <v>516977.93092972809</v>
      </c>
      <c r="K107" s="26"/>
      <c r="L107" s="91">
        <f t="shared" si="22"/>
        <v>658289.7941858978</v>
      </c>
      <c r="M107" s="92">
        <f t="shared" si="16"/>
        <v>4.377543713873659</v>
      </c>
      <c r="N107" s="80">
        <f t="shared" si="23"/>
        <v>2881692.3504456617</v>
      </c>
      <c r="O107" s="26"/>
      <c r="P107" s="80">
        <f t="shared" si="17"/>
        <v>3398670.2813753895</v>
      </c>
      <c r="Q107" s="26"/>
    </row>
    <row r="108" spans="2:17">
      <c r="B108" s="26"/>
      <c r="C108" s="26"/>
      <c r="D108" s="26"/>
      <c r="E108" s="26"/>
      <c r="F108" s="26"/>
      <c r="G108" s="26"/>
      <c r="H108" s="26"/>
      <c r="I108" s="26"/>
      <c r="J108" s="26"/>
      <c r="K108" s="26"/>
      <c r="L108" s="26"/>
      <c r="M108" s="26"/>
      <c r="N108" s="26"/>
      <c r="O108" s="26"/>
      <c r="P108" s="80"/>
      <c r="Q108" s="26"/>
    </row>
    <row r="109" spans="2:17" ht="13.9" thickBot="1">
      <c r="B109" s="74" t="s">
        <v>146</v>
      </c>
      <c r="C109" s="26"/>
      <c r="D109" s="81">
        <f>SUM(D96:D107)</f>
        <v>8269806.4670238942</v>
      </c>
      <c r="E109" s="82">
        <f>IF(D109&lt;&gt;0,F109/D109,0)</f>
        <v>7.5054376793452366</v>
      </c>
      <c r="F109" s="83">
        <f>SUM(F96:F107)</f>
        <v>62068517.058494046</v>
      </c>
      <c r="G109" s="26"/>
      <c r="H109" s="81">
        <f>SUM(H96:H107)</f>
        <v>5735329.2792676454</v>
      </c>
      <c r="I109" s="82">
        <f>IF(H109&lt;&gt;0,J109/H109,0)</f>
        <v>1.0743939855957891</v>
      </c>
      <c r="J109" s="83">
        <f>SUM(J96:J107)</f>
        <v>6162003.2830565898</v>
      </c>
      <c r="K109" s="26"/>
      <c r="L109" s="81">
        <f>SUM(L96:L107)</f>
        <v>8459203.560730854</v>
      </c>
      <c r="M109" s="82">
        <f>IF(L109&lt;&gt;0,N109/L109,0)</f>
        <v>4.3751957585748453</v>
      </c>
      <c r="N109" s="83">
        <f>SUM(N96:N107)</f>
        <v>37010671.539830863</v>
      </c>
      <c r="O109" s="26"/>
      <c r="P109" s="83">
        <f>SUM(P96:P107)</f>
        <v>43172674.82288745</v>
      </c>
      <c r="Q109" s="26"/>
    </row>
    <row r="111" spans="2:17">
      <c r="N111" s="94" t="s">
        <v>180</v>
      </c>
      <c r="P111" s="95" t="e">
        <f>#REF!</f>
        <v>#REF!</v>
      </c>
    </row>
    <row r="113" spans="14:16" ht="13.9" thickBot="1">
      <c r="N113" s="96" t="s">
        <v>181</v>
      </c>
      <c r="P113" s="83" t="e">
        <f>P109+P111</f>
        <v>#REF!</v>
      </c>
    </row>
  </sheetData>
  <mergeCells count="22">
    <mergeCell ref="D93:F93"/>
    <mergeCell ref="H93:J93"/>
    <mergeCell ref="L93:N93"/>
    <mergeCell ref="D73:F73"/>
    <mergeCell ref="H73:J73"/>
    <mergeCell ref="L73:N73"/>
    <mergeCell ref="D92:F92"/>
    <mergeCell ref="H92:J92"/>
    <mergeCell ref="L92:N92"/>
    <mergeCell ref="D35:F35"/>
    <mergeCell ref="H35:J35"/>
    <mergeCell ref="L35:N35"/>
    <mergeCell ref="D54:F54"/>
    <mergeCell ref="H54:J54"/>
    <mergeCell ref="L54:N54"/>
    <mergeCell ref="B13:P13"/>
    <mergeCell ref="D16:F16"/>
    <mergeCell ref="H16:J16"/>
    <mergeCell ref="L16:N16"/>
    <mergeCell ref="D17:F17"/>
    <mergeCell ref="H17:J17"/>
    <mergeCell ref="L17:N1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F039-1710-4974-AC41-BE08911BD9A6}">
  <dimension ref="A3:M49"/>
  <sheetViews>
    <sheetView topLeftCell="B1" workbookViewId="0">
      <selection activeCell="F15" sqref="F15"/>
    </sheetView>
  </sheetViews>
  <sheetFormatPr defaultColWidth="9.28515625" defaultRowHeight="13.15"/>
  <cols>
    <col min="1" max="1" width="56.7109375" style="1" customWidth="1"/>
    <col min="2" max="2" width="79.7109375" style="1" customWidth="1"/>
    <col min="3" max="3" width="9.28515625" style="99"/>
    <col min="4" max="4" width="16.28515625" style="99" customWidth="1"/>
    <col min="5" max="5" width="17.42578125" style="99" customWidth="1"/>
    <col min="6" max="6" width="16.28515625" style="99" customWidth="1"/>
    <col min="7" max="7" width="14.5703125" style="99" customWidth="1"/>
    <col min="8" max="8" width="11.5703125" style="99" customWidth="1"/>
    <col min="9" max="9" width="14.28515625" style="99" customWidth="1"/>
    <col min="10" max="10" width="14.42578125" style="99" customWidth="1"/>
    <col min="11" max="11" width="9.28515625" style="1"/>
    <col min="12" max="12" width="14.28515625" style="1" customWidth="1"/>
    <col min="13" max="13" width="12.140625" style="1" customWidth="1"/>
    <col min="14" max="16384" width="9.28515625" style="1"/>
  </cols>
  <sheetData>
    <row r="3" spans="1:13">
      <c r="D3" s="100"/>
      <c r="E3" s="101"/>
      <c r="F3" s="101"/>
      <c r="G3" s="101"/>
      <c r="H3" s="102"/>
      <c r="I3" s="101"/>
      <c r="J3" s="100"/>
    </row>
    <row r="4" spans="1:13">
      <c r="D4" s="100"/>
      <c r="E4" s="101"/>
      <c r="F4" s="101"/>
      <c r="G4" s="101"/>
      <c r="H4" s="102"/>
      <c r="I4" s="101"/>
      <c r="J4" s="100"/>
    </row>
    <row r="5" spans="1:13">
      <c r="D5" s="100"/>
      <c r="E5" s="101"/>
      <c r="F5" s="101"/>
      <c r="G5" s="101"/>
      <c r="H5" s="102"/>
      <c r="I5" s="101"/>
      <c r="J5" s="100"/>
    </row>
    <row r="6" spans="1:13">
      <c r="D6" s="100"/>
      <c r="E6" s="101"/>
      <c r="F6" s="101"/>
      <c r="G6" s="101"/>
      <c r="H6" s="102"/>
      <c r="I6" s="101"/>
      <c r="J6" s="100"/>
    </row>
    <row r="7" spans="1:13">
      <c r="D7" s="100"/>
      <c r="E7" s="101"/>
      <c r="F7" s="101"/>
      <c r="G7" s="101"/>
      <c r="H7" s="102"/>
      <c r="I7" s="101"/>
      <c r="J7" s="100"/>
    </row>
    <row r="8" spans="1:13">
      <c r="D8" s="100"/>
      <c r="E8" s="101"/>
      <c r="F8" s="101"/>
      <c r="G8" s="101"/>
      <c r="H8" s="102"/>
      <c r="I8" s="101"/>
      <c r="J8" s="100"/>
    </row>
    <row r="9" spans="1:13">
      <c r="D9" s="100"/>
      <c r="E9" s="101"/>
      <c r="F9" s="101"/>
      <c r="G9" s="101"/>
      <c r="H9" s="102"/>
      <c r="I9" s="101"/>
      <c r="J9" s="100"/>
    </row>
    <row r="10" spans="1:13">
      <c r="D10" s="100"/>
      <c r="E10" s="101"/>
      <c r="F10" s="101"/>
      <c r="G10" s="101"/>
      <c r="H10" s="102"/>
      <c r="I10" s="101"/>
      <c r="J10" s="100"/>
    </row>
    <row r="11" spans="1:13">
      <c r="D11" s="100"/>
      <c r="E11" s="101"/>
      <c r="F11" s="101"/>
      <c r="G11" s="101"/>
      <c r="H11" s="102"/>
      <c r="I11" s="101"/>
      <c r="J11" s="100"/>
    </row>
    <row r="12" spans="1:13">
      <c r="D12" s="100"/>
      <c r="E12" s="101"/>
      <c r="F12" s="101"/>
      <c r="G12" s="101"/>
      <c r="H12" s="102"/>
      <c r="I12" s="101"/>
      <c r="J12" s="100"/>
    </row>
    <row r="13" spans="1:13" ht="15.6">
      <c r="A13" s="103" t="s">
        <v>183</v>
      </c>
      <c r="D13" s="100"/>
      <c r="E13" s="101"/>
      <c r="F13" s="101"/>
      <c r="G13" s="101"/>
      <c r="H13" s="102"/>
      <c r="I13" s="101"/>
      <c r="J13" s="100"/>
    </row>
    <row r="14" spans="1:13">
      <c r="D14" s="100"/>
      <c r="E14" s="101"/>
      <c r="F14" s="101"/>
      <c r="G14" s="101"/>
      <c r="H14" s="102"/>
      <c r="I14" s="101"/>
      <c r="J14" s="100"/>
    </row>
    <row r="15" spans="1:13" ht="46.9">
      <c r="A15" s="104" t="s">
        <v>97</v>
      </c>
      <c r="B15" s="104" t="s">
        <v>98</v>
      </c>
      <c r="C15" s="105" t="s">
        <v>99</v>
      </c>
      <c r="D15" s="106" t="s">
        <v>186</v>
      </c>
      <c r="E15" s="107" t="s">
        <v>104</v>
      </c>
      <c r="F15" s="108" t="s">
        <v>187</v>
      </c>
      <c r="G15" s="109" t="s">
        <v>188</v>
      </c>
      <c r="H15" s="110" t="s">
        <v>189</v>
      </c>
      <c r="I15" s="108" t="s">
        <v>190</v>
      </c>
      <c r="J15" s="111" t="s">
        <v>191</v>
      </c>
    </row>
    <row r="16" spans="1:13">
      <c r="G16" s="112"/>
      <c r="M16" s="118"/>
    </row>
    <row r="17" spans="1:13">
      <c r="A17" s="1" t="s">
        <v>106</v>
      </c>
      <c r="B17" s="1" t="s">
        <v>107</v>
      </c>
      <c r="C17" s="99" t="s">
        <v>108</v>
      </c>
      <c r="D17" s="100">
        <f>'8. RTSR Rates to Forecast 2029'!J17</f>
        <v>1.38E-2</v>
      </c>
      <c r="E17" s="112">
        <f>'3. RRR Data 2030'!H17</f>
        <v>1637272093.3240705</v>
      </c>
      <c r="F17" s="112">
        <f>'3. RRR Data 2030'!F17</f>
        <v>0</v>
      </c>
      <c r="G17" s="112">
        <f>IF(D17*E17=0,ROUND(D17*F17,2),ROUND(D17*E17,2))</f>
        <v>22594354.890000001</v>
      </c>
      <c r="H17" s="113">
        <f t="shared" ref="H17:H28" si="0">G17/$G$28</f>
        <v>0.38419589081368161</v>
      </c>
      <c r="I17" s="112">
        <f>H17*$I$28</f>
        <v>23846469.202772308</v>
      </c>
      <c r="J17" s="100">
        <f>IF(I17*E17=0,ROUND(I17/F17,4),ROUND(I17/E17,4))</f>
        <v>1.46E-2</v>
      </c>
      <c r="K17" s="120"/>
      <c r="L17" s="123"/>
      <c r="M17" s="118"/>
    </row>
    <row r="18" spans="1:13">
      <c r="A18" s="1" t="s">
        <v>110</v>
      </c>
      <c r="B18" s="1" t="s">
        <v>107</v>
      </c>
      <c r="C18" s="99" t="s">
        <v>108</v>
      </c>
      <c r="D18" s="100">
        <f>'8. RTSR Rates to Forecast 2029'!J18</f>
        <v>1.3899999999999999E-2</v>
      </c>
      <c r="E18" s="112">
        <f>'3. RRR Data 2030'!H19</f>
        <v>14965160.942525994</v>
      </c>
      <c r="F18" s="112">
        <f>'3. RRR Data 2030'!F19</f>
        <v>0</v>
      </c>
      <c r="G18" s="112">
        <f t="shared" ref="G18:G27" si="1">IF(D18*E18=0,ROUND(D18*F18,2),ROUND(D18*E18,2))</f>
        <v>208015.74</v>
      </c>
      <c r="H18" s="113">
        <f t="shared" si="0"/>
        <v>3.537113271064814E-3</v>
      </c>
      <c r="I18" s="112">
        <f t="shared" ref="I18:I27" si="2">H18*$I$28</f>
        <v>219543.37540291206</v>
      </c>
      <c r="J18" s="100">
        <f t="shared" ref="J18:J27" si="3">IF(I18*E18=0,ROUND(I18/F18,4),ROUND(I18/E18,4))</f>
        <v>1.47E-2</v>
      </c>
      <c r="K18" s="120"/>
      <c r="L18" s="123"/>
      <c r="M18" s="118"/>
    </row>
    <row r="19" spans="1:13">
      <c r="A19" s="1" t="s">
        <v>111</v>
      </c>
      <c r="B19" s="1" t="s">
        <v>107</v>
      </c>
      <c r="C19" s="99" t="s">
        <v>108</v>
      </c>
      <c r="D19" s="100">
        <f>'8. RTSR Rates to Forecast 2029'!J19</f>
        <v>1.2699999999999999E-2</v>
      </c>
      <c r="E19" s="112">
        <f>'3. RRR Data 2030'!H21</f>
        <v>372943092.94064254</v>
      </c>
      <c r="F19" s="112">
        <f>'3. RRR Data 2030'!F21</f>
        <v>0</v>
      </c>
      <c r="G19" s="112">
        <f t="shared" si="1"/>
        <v>4736377.28</v>
      </c>
      <c r="H19" s="113">
        <f t="shared" si="0"/>
        <v>8.0537669571821194E-2</v>
      </c>
      <c r="I19" s="112">
        <f t="shared" si="2"/>
        <v>4998853.7176699396</v>
      </c>
      <c r="J19" s="100">
        <f t="shared" si="3"/>
        <v>1.34E-2</v>
      </c>
      <c r="K19" s="120"/>
      <c r="L19" s="123"/>
      <c r="M19" s="118"/>
    </row>
    <row r="20" spans="1:13">
      <c r="A20" s="1" t="s">
        <v>112</v>
      </c>
      <c r="B20" s="1" t="s">
        <v>107</v>
      </c>
      <c r="C20" s="99" t="s">
        <v>113</v>
      </c>
      <c r="D20" s="100">
        <f>'8. RTSR Rates to Forecast 2029'!J20</f>
        <v>5.8174999999999999</v>
      </c>
      <c r="E20" s="112"/>
      <c r="F20" s="112">
        <f>'3. RRR Data 2030'!F23</f>
        <v>3493474.6105340621</v>
      </c>
      <c r="G20" s="112">
        <f t="shared" si="1"/>
        <v>20323288.550000001</v>
      </c>
      <c r="H20" s="113">
        <f t="shared" si="0"/>
        <v>0.34557852997991684</v>
      </c>
      <c r="I20" s="112">
        <f t="shared" si="2"/>
        <v>21449546.883107763</v>
      </c>
      <c r="J20" s="100">
        <f t="shared" si="3"/>
        <v>6.1398999999999999</v>
      </c>
      <c r="K20" s="120"/>
      <c r="L20" s="123"/>
      <c r="M20" s="118"/>
    </row>
    <row r="21" spans="1:13">
      <c r="A21" s="1" t="s">
        <v>112</v>
      </c>
      <c r="B21" s="1" t="s">
        <v>114</v>
      </c>
      <c r="C21" s="99" t="s">
        <v>113</v>
      </c>
      <c r="D21" s="100">
        <f>'8. RTSR Rates to Forecast 2029'!J21</f>
        <v>0.99250000000000005</v>
      </c>
      <c r="E21" s="112"/>
      <c r="F21" s="112">
        <f>'3. RRR Data 2030'!F25</f>
        <v>38754.167894583596</v>
      </c>
      <c r="G21" s="112">
        <f t="shared" si="1"/>
        <v>38463.51</v>
      </c>
      <c r="H21" s="113">
        <f t="shared" si="0"/>
        <v>6.5403604396827952E-4</v>
      </c>
      <c r="I21" s="112">
        <f t="shared" si="2"/>
        <v>40595.047351915113</v>
      </c>
      <c r="J21" s="100">
        <f t="shared" si="3"/>
        <v>1.0475000000000001</v>
      </c>
      <c r="K21" s="120"/>
      <c r="L21" s="123"/>
      <c r="M21" s="118"/>
    </row>
    <row r="22" spans="1:13">
      <c r="A22" s="1" t="s">
        <v>116</v>
      </c>
      <c r="B22" s="1" t="s">
        <v>107</v>
      </c>
      <c r="C22" s="99" t="s">
        <v>113</v>
      </c>
      <c r="D22" s="100">
        <f>'8. RTSR Rates to Forecast 2029'!J22</f>
        <v>6.1241000000000003</v>
      </c>
      <c r="E22" s="112"/>
      <c r="F22" s="112">
        <f>'3. RRR Data 2030'!F27</f>
        <v>705895.77289685945</v>
      </c>
      <c r="G22" s="112">
        <f t="shared" si="1"/>
        <v>4322976.3</v>
      </c>
      <c r="H22" s="113">
        <f t="shared" si="0"/>
        <v>7.3508172224028182E-2</v>
      </c>
      <c r="I22" s="112">
        <f t="shared" si="2"/>
        <v>4562543.241625811</v>
      </c>
      <c r="J22" s="100">
        <f t="shared" si="3"/>
        <v>6.4634999999999998</v>
      </c>
      <c r="K22" s="120"/>
      <c r="L22" s="123"/>
      <c r="M22" s="118"/>
    </row>
    <row r="23" spans="1:13">
      <c r="A23" s="1" t="s">
        <v>116</v>
      </c>
      <c r="B23" s="1" t="s">
        <v>114</v>
      </c>
      <c r="C23" s="99" t="s">
        <v>113</v>
      </c>
      <c r="D23" s="100" t="e">
        <f>'8. RTSR Rates to Forecast 2029'!J23</f>
        <v>#DIV/0!</v>
      </c>
      <c r="E23" s="112"/>
      <c r="F23" s="112"/>
      <c r="G23" s="112"/>
      <c r="H23" s="113">
        <f t="shared" si="0"/>
        <v>0</v>
      </c>
      <c r="I23" s="112">
        <f t="shared" si="2"/>
        <v>0</v>
      </c>
      <c r="J23" s="100" t="e">
        <f t="shared" si="3"/>
        <v>#DIV/0!</v>
      </c>
      <c r="K23" s="120"/>
      <c r="L23" s="123"/>
      <c r="M23" s="118"/>
    </row>
    <row r="24" spans="1:13">
      <c r="A24" s="1" t="s">
        <v>119</v>
      </c>
      <c r="B24" s="1" t="s">
        <v>107</v>
      </c>
      <c r="C24" s="99" t="s">
        <v>113</v>
      </c>
      <c r="D24" s="100">
        <f>'8. RTSR Rates to Forecast 2029'!J24</f>
        <v>6.5667999999999997</v>
      </c>
      <c r="E24" s="112"/>
      <c r="F24" s="112">
        <f>'3. RRR Data 2030'!F31</f>
        <v>962455.75796249323</v>
      </c>
      <c r="G24" s="112">
        <f t="shared" si="1"/>
        <v>6320254.4699999997</v>
      </c>
      <c r="H24" s="113">
        <f t="shared" si="0"/>
        <v>0.10747002107794205</v>
      </c>
      <c r="I24" s="112">
        <f t="shared" si="2"/>
        <v>6670504.8365529599</v>
      </c>
      <c r="J24" s="100">
        <f t="shared" si="3"/>
        <v>6.9306999999999999</v>
      </c>
      <c r="K24" s="120"/>
      <c r="L24" s="123"/>
      <c r="M24" s="118"/>
    </row>
    <row r="25" spans="1:13">
      <c r="A25" s="1" t="s">
        <v>120</v>
      </c>
      <c r="B25" s="1" t="s">
        <v>107</v>
      </c>
      <c r="C25" s="99" t="s">
        <v>108</v>
      </c>
      <c r="D25" s="100">
        <f>'8. RTSR Rates to Forecast 2029'!J25</f>
        <v>1.2699999999999999E-2</v>
      </c>
      <c r="E25" s="112">
        <f>'3. RRR Data 2030'!H33</f>
        <v>6658374.2100723153</v>
      </c>
      <c r="F25" s="112">
        <f>'3. RRR Data 2030'!F33</f>
        <v>0</v>
      </c>
      <c r="G25" s="112">
        <f t="shared" si="1"/>
        <v>84561.35</v>
      </c>
      <c r="H25" s="113">
        <f t="shared" si="0"/>
        <v>1.4378867354179865E-3</v>
      </c>
      <c r="I25" s="112">
        <f t="shared" si="2"/>
        <v>89247.497365473595</v>
      </c>
      <c r="J25" s="100">
        <f t="shared" si="3"/>
        <v>1.34E-2</v>
      </c>
      <c r="K25" s="120"/>
      <c r="L25" s="123"/>
      <c r="M25" s="118"/>
    </row>
    <row r="26" spans="1:13">
      <c r="A26" s="1" t="s">
        <v>121</v>
      </c>
      <c r="B26" s="1" t="s">
        <v>107</v>
      </c>
      <c r="C26" s="99" t="s">
        <v>113</v>
      </c>
      <c r="D26" s="100">
        <f>'8. RTSR Rates to Forecast 2029'!J26</f>
        <v>3.7685</v>
      </c>
      <c r="E26" s="112"/>
      <c r="F26" s="112">
        <f>'3. RRR Data 2030'!F35</f>
        <v>625.44345118936644</v>
      </c>
      <c r="G26" s="112">
        <f t="shared" si="1"/>
        <v>2356.98</v>
      </c>
      <c r="H26" s="113">
        <f t="shared" si="0"/>
        <v>4.0078242337019048E-5</v>
      </c>
      <c r="I26" s="112">
        <f t="shared" si="2"/>
        <v>2487.5970681697249</v>
      </c>
      <c r="J26" s="100">
        <f t="shared" si="3"/>
        <v>3.9773000000000001</v>
      </c>
      <c r="K26" s="120"/>
      <c r="L26" s="123"/>
      <c r="M26" s="118"/>
    </row>
    <row r="27" spans="1:13">
      <c r="A27" s="1" t="s">
        <v>122</v>
      </c>
      <c r="B27" s="1" t="s">
        <v>107</v>
      </c>
      <c r="C27" s="99" t="s">
        <v>113</v>
      </c>
      <c r="D27" s="100">
        <f>'8. RTSR Rates to Forecast 2029'!J27</f>
        <v>3.9556</v>
      </c>
      <c r="E27" s="112"/>
      <c r="F27" s="112">
        <f>'3. RRR Data 2030'!F37</f>
        <v>45205.829194696213</v>
      </c>
      <c r="G27" s="112">
        <f t="shared" si="1"/>
        <v>178816.18</v>
      </c>
      <c r="H27" s="113">
        <f t="shared" si="0"/>
        <v>3.0406020398221528E-3</v>
      </c>
      <c r="I27" s="112">
        <f t="shared" si="2"/>
        <v>188725.65957679306</v>
      </c>
      <c r="J27" s="100">
        <f t="shared" si="3"/>
        <v>4.1748000000000003</v>
      </c>
      <c r="K27" s="120"/>
      <c r="L27" s="123"/>
      <c r="M27" s="118"/>
    </row>
    <row r="28" spans="1:13">
      <c r="D28" s="100"/>
      <c r="E28" s="112"/>
      <c r="F28" s="112"/>
      <c r="G28" s="112">
        <f>SUM(G17:G27)</f>
        <v>58809465.249999993</v>
      </c>
      <c r="H28" s="113">
        <f t="shared" si="0"/>
        <v>1</v>
      </c>
      <c r="I28" s="112">
        <f>'7. Forecast Wholesale 2030'!F33+'7. Forecast Wholesale 2030'!F52</f>
        <v>62068517.058494039</v>
      </c>
      <c r="J28" s="100"/>
    </row>
    <row r="30" spans="1:13" ht="15.6">
      <c r="A30" s="103" t="s">
        <v>199</v>
      </c>
    </row>
    <row r="31" spans="1:13" ht="46.9">
      <c r="A31" s="104" t="s">
        <v>97</v>
      </c>
      <c r="B31" s="104" t="s">
        <v>98</v>
      </c>
      <c r="C31" s="105" t="s">
        <v>99</v>
      </c>
      <c r="D31" s="106" t="s">
        <v>200</v>
      </c>
      <c r="E31" s="107" t="s">
        <v>104</v>
      </c>
      <c r="F31" s="108" t="s">
        <v>187</v>
      </c>
      <c r="G31" s="109" t="s">
        <v>188</v>
      </c>
      <c r="H31" s="110" t="s">
        <v>189</v>
      </c>
      <c r="I31" s="108" t="s">
        <v>190</v>
      </c>
      <c r="J31" s="111" t="s">
        <v>201</v>
      </c>
    </row>
    <row r="33" spans="1:13">
      <c r="A33" s="1" t="s">
        <v>106</v>
      </c>
      <c r="B33" s="1" t="s">
        <v>109</v>
      </c>
      <c r="C33" s="99" t="s">
        <v>108</v>
      </c>
      <c r="D33" s="100">
        <f>'8. RTSR Rates to Forecast 2029'!J33</f>
        <v>0.01</v>
      </c>
      <c r="E33" s="112">
        <f>'3. RRR Data 2030'!H18</f>
        <v>1637272093.3240705</v>
      </c>
      <c r="F33" s="112">
        <f>'3. RRR Data 2030'!F18</f>
        <v>0</v>
      </c>
      <c r="G33" s="112">
        <f>IF(D33*E33=0,ROUND(D33*F33,2),ROUND(D33*E33,2))</f>
        <v>16372720.93</v>
      </c>
      <c r="H33" s="113">
        <f>G33/$G$44</f>
        <v>0.39997809515226801</v>
      </c>
      <c r="I33" s="112">
        <f>H33*$I$44</f>
        <v>17268124.238286801</v>
      </c>
      <c r="J33" s="100">
        <f t="shared" ref="J33:J43" si="4">IF(I33*E33=0,ROUND(I33/F33,4),ROUND(I33/E33,4))</f>
        <v>1.0500000000000001E-2</v>
      </c>
      <c r="K33" s="120"/>
      <c r="L33" s="123"/>
      <c r="M33" s="118"/>
    </row>
    <row r="34" spans="1:13">
      <c r="A34" s="1" t="s">
        <v>110</v>
      </c>
      <c r="B34" s="1" t="s">
        <v>109</v>
      </c>
      <c r="C34" s="99" t="s">
        <v>108</v>
      </c>
      <c r="D34" s="100">
        <f>'8. RTSR Rates to Forecast 2029'!J34</f>
        <v>1.21E-2</v>
      </c>
      <c r="E34" s="112">
        <f>'3. RRR Data 2030'!H20</f>
        <v>14965160.942525994</v>
      </c>
      <c r="F34" s="112">
        <f>'3. RRR Data 2030'!F20</f>
        <v>0</v>
      </c>
      <c r="G34" s="112">
        <f t="shared" ref="G34:G43" si="5">IF(D34*E34=0,ROUND(D34*F34,2),ROUND(D34*E34,2))</f>
        <v>181078.45</v>
      </c>
      <c r="H34" s="113">
        <f t="shared" ref="H34:H43" si="6">G34/$G$44</f>
        <v>4.423663837781251E-3</v>
      </c>
      <c r="I34" s="112">
        <f>H34*$I$44</f>
        <v>190981.4003942963</v>
      </c>
      <c r="J34" s="100">
        <f t="shared" si="4"/>
        <v>1.2800000000000001E-2</v>
      </c>
      <c r="K34" s="120"/>
      <c r="L34" s="123"/>
      <c r="M34" s="118"/>
    </row>
    <row r="35" spans="1:13">
      <c r="A35" s="1" t="s">
        <v>111</v>
      </c>
      <c r="B35" s="1" t="s">
        <v>109</v>
      </c>
      <c r="C35" s="99" t="s">
        <v>108</v>
      </c>
      <c r="D35" s="100">
        <f>'8. RTSR Rates to Forecast 2029'!J35</f>
        <v>9.4000000000000004E-3</v>
      </c>
      <c r="E35" s="112">
        <f>'3. RRR Data 2030'!H22</f>
        <v>372943092.94064254</v>
      </c>
      <c r="F35" s="112">
        <f>'3. RRR Data 2030'!F22</f>
        <v>0</v>
      </c>
      <c r="G35" s="112">
        <f t="shared" si="5"/>
        <v>3505665.07</v>
      </c>
      <c r="H35" s="113">
        <f t="shared" si="6"/>
        <v>8.5641796677251636E-2</v>
      </c>
      <c r="I35" s="112">
        <f>H35*$I$44</f>
        <v>3697385.4391948278</v>
      </c>
      <c r="J35" s="100">
        <f t="shared" si="4"/>
        <v>9.9000000000000008E-3</v>
      </c>
      <c r="K35" s="120"/>
      <c r="L35" s="123"/>
      <c r="M35" s="118"/>
    </row>
    <row r="36" spans="1:13">
      <c r="A36" s="1" t="s">
        <v>112</v>
      </c>
      <c r="B36" s="1" t="s">
        <v>109</v>
      </c>
      <c r="C36" s="99" t="s">
        <v>113</v>
      </c>
      <c r="D36" s="100">
        <f>'8. RTSR Rates to Forecast 2029'!J36</f>
        <v>4.1167999999999996</v>
      </c>
      <c r="E36" s="112"/>
      <c r="F36" s="112">
        <f>'3. RRR Data 2030'!F24</f>
        <v>3493474.6105340621</v>
      </c>
      <c r="G36" s="112">
        <f t="shared" si="5"/>
        <v>14381936.279999999</v>
      </c>
      <c r="H36" s="113">
        <f t="shared" si="6"/>
        <v>0.35134413531323139</v>
      </c>
      <c r="I36" s="112">
        <f t="shared" ref="I36:I43" si="7">H36*$I$44</f>
        <v>15168466.104806706</v>
      </c>
      <c r="J36" s="100">
        <f t="shared" si="4"/>
        <v>4.3418999999999999</v>
      </c>
      <c r="K36" s="120"/>
      <c r="L36" s="123"/>
      <c r="M36" s="118"/>
    </row>
    <row r="37" spans="1:13">
      <c r="A37" s="1" t="s">
        <v>112</v>
      </c>
      <c r="B37" s="1" t="s">
        <v>115</v>
      </c>
      <c r="C37" s="99" t="s">
        <v>113</v>
      </c>
      <c r="D37" s="100">
        <f>'8. RTSR Rates to Forecast 2029'!J37</f>
        <v>0.69930000000000003</v>
      </c>
      <c r="E37" s="112"/>
      <c r="F37" s="112">
        <f>'3. RRR Data 2030'!F26</f>
        <v>38754.167894583596</v>
      </c>
      <c r="G37" s="112">
        <f t="shared" si="5"/>
        <v>27100.79</v>
      </c>
      <c r="H37" s="113">
        <f t="shared" si="6"/>
        <v>6.6205992318966588E-4</v>
      </c>
      <c r="I37" s="112">
        <f t="shared" si="7"/>
        <v>28582.897777133287</v>
      </c>
      <c r="J37" s="100">
        <f t="shared" si="4"/>
        <v>0.73750000000000004</v>
      </c>
      <c r="K37" s="120"/>
      <c r="L37" s="123"/>
      <c r="M37" s="118"/>
    </row>
    <row r="38" spans="1:13">
      <c r="A38" s="1" t="s">
        <v>116</v>
      </c>
      <c r="B38" s="1" t="s">
        <v>117</v>
      </c>
      <c r="C38" s="99" t="s">
        <v>113</v>
      </c>
      <c r="D38" s="100">
        <f>'8. RTSR Rates to Forecast 2029'!J38</f>
        <v>2.7593999999999999</v>
      </c>
      <c r="E38" s="112"/>
      <c r="F38" s="112">
        <f>'3. RRR Data 2030'!F28</f>
        <v>705895.77289685945</v>
      </c>
      <c r="G38" s="112">
        <f t="shared" si="5"/>
        <v>1947848.8</v>
      </c>
      <c r="H38" s="113">
        <f t="shared" si="6"/>
        <v>4.75850566316732E-2</v>
      </c>
      <c r="I38" s="112">
        <f t="shared" si="7"/>
        <v>2054374.1763879112</v>
      </c>
      <c r="J38" s="100">
        <f t="shared" si="4"/>
        <v>2.9102999999999999</v>
      </c>
      <c r="K38" s="120"/>
      <c r="L38" s="123"/>
      <c r="M38" s="118"/>
    </row>
    <row r="39" spans="1:13">
      <c r="A39" s="1" t="s">
        <v>116</v>
      </c>
      <c r="B39" s="1" t="s">
        <v>118</v>
      </c>
      <c r="C39" s="99" t="s">
        <v>113</v>
      </c>
      <c r="D39" s="100" t="e">
        <f>'8. RTSR Rates to Forecast 2029'!J39</f>
        <v>#DIV/0!</v>
      </c>
      <c r="E39" s="112"/>
      <c r="F39" s="112"/>
      <c r="G39" s="112"/>
      <c r="H39" s="113">
        <f t="shared" si="6"/>
        <v>0</v>
      </c>
      <c r="I39" s="112">
        <f t="shared" si="7"/>
        <v>0</v>
      </c>
      <c r="J39" s="100" t="e">
        <f t="shared" si="4"/>
        <v>#DIV/0!</v>
      </c>
      <c r="K39" s="120"/>
      <c r="L39" s="123"/>
      <c r="M39" s="118"/>
    </row>
    <row r="40" spans="1:13">
      <c r="A40" s="1" t="s">
        <v>119</v>
      </c>
      <c r="B40" s="1" t="s">
        <v>117</v>
      </c>
      <c r="C40" s="99" t="s">
        <v>113</v>
      </c>
      <c r="D40" s="100">
        <f>'8. RTSR Rates to Forecast 2029'!J40</f>
        <v>4.4947999999999997</v>
      </c>
      <c r="E40" s="112"/>
      <c r="F40" s="112">
        <f>'3. RRR Data 2030'!F32</f>
        <v>962455.75796249323</v>
      </c>
      <c r="G40" s="112">
        <f t="shared" si="5"/>
        <v>4326046.1399999997</v>
      </c>
      <c r="H40" s="113">
        <f>G40/$G$44</f>
        <v>0.10568333156204487</v>
      </c>
      <c r="I40" s="112">
        <f t="shared" si="7"/>
        <v>4562632.1077275611</v>
      </c>
      <c r="J40" s="100">
        <f t="shared" si="4"/>
        <v>4.7405999999999997</v>
      </c>
      <c r="K40" s="120"/>
      <c r="L40" s="123"/>
      <c r="M40" s="118"/>
    </row>
    <row r="41" spans="1:13">
      <c r="A41" s="1" t="s">
        <v>120</v>
      </c>
      <c r="B41" s="1" t="s">
        <v>109</v>
      </c>
      <c r="C41" s="99" t="s">
        <v>108</v>
      </c>
      <c r="D41" s="100">
        <f>'8. RTSR Rates to Forecast 2029'!J41</f>
        <v>9.4000000000000004E-3</v>
      </c>
      <c r="E41" s="112">
        <f>'3. RRR Data 2030'!H34</f>
        <v>6658374.2100723153</v>
      </c>
      <c r="F41" s="112">
        <f>'3. RRR Data 2030'!F34</f>
        <v>0</v>
      </c>
      <c r="G41" s="112">
        <f t="shared" si="5"/>
        <v>62588.72</v>
      </c>
      <c r="H41" s="113">
        <f t="shared" si="6"/>
        <v>1.529013846302617E-3</v>
      </c>
      <c r="I41" s="112">
        <f t="shared" si="7"/>
        <v>66011.617586115302</v>
      </c>
      <c r="J41" s="100">
        <f t="shared" si="4"/>
        <v>9.9000000000000008E-3</v>
      </c>
      <c r="K41" s="120"/>
      <c r="L41" s="123"/>
      <c r="M41" s="118"/>
    </row>
    <row r="42" spans="1:13">
      <c r="A42" s="1" t="s">
        <v>121</v>
      </c>
      <c r="B42" s="1" t="s">
        <v>109</v>
      </c>
      <c r="C42" s="99" t="s">
        <v>113</v>
      </c>
      <c r="D42" s="100">
        <f>'8. RTSR Rates to Forecast 2029'!J42</f>
        <v>2.6680999999999999</v>
      </c>
      <c r="E42" s="112"/>
      <c r="F42" s="112">
        <f>'3. RRR Data 2030'!F36</f>
        <v>625.44345118936644</v>
      </c>
      <c r="G42" s="112">
        <f t="shared" si="5"/>
        <v>1668.75</v>
      </c>
      <c r="H42" s="113">
        <f t="shared" si="6"/>
        <v>4.0766800407765046E-5</v>
      </c>
      <c r="I42" s="112">
        <f t="shared" si="7"/>
        <v>1760.0118175739958</v>
      </c>
      <c r="J42" s="100">
        <f t="shared" si="4"/>
        <v>2.8140000000000001</v>
      </c>
      <c r="K42" s="120"/>
      <c r="L42" s="123"/>
      <c r="M42" s="118"/>
    </row>
    <row r="43" spans="1:13">
      <c r="A43" s="1" t="s">
        <v>122</v>
      </c>
      <c r="B43" s="1" t="s">
        <v>109</v>
      </c>
      <c r="C43" s="99" t="s">
        <v>113</v>
      </c>
      <c r="D43" s="100">
        <f>'8. RTSR Rates to Forecast 2029'!J43</f>
        <v>2.8180000000000001</v>
      </c>
      <c r="E43" s="112"/>
      <c r="F43" s="112">
        <f>'3. RRR Data 2030'!F38</f>
        <v>45205.829194696213</v>
      </c>
      <c r="G43" s="112">
        <f t="shared" si="5"/>
        <v>127390.03</v>
      </c>
      <c r="H43" s="113">
        <f t="shared" si="6"/>
        <v>3.1120802558497087E-3</v>
      </c>
      <c r="I43" s="112">
        <f t="shared" si="7"/>
        <v>134356.82890852785</v>
      </c>
      <c r="J43" s="100">
        <f t="shared" si="4"/>
        <v>2.9721000000000002</v>
      </c>
      <c r="K43" s="120"/>
      <c r="L43" s="123"/>
      <c r="M43" s="118"/>
    </row>
    <row r="44" spans="1:13">
      <c r="D44" s="100"/>
      <c r="E44" s="112"/>
      <c r="F44" s="112"/>
      <c r="G44" s="112">
        <f>SUM(G33:G43)</f>
        <v>40934043.959999993</v>
      </c>
      <c r="H44" s="113"/>
      <c r="I44" s="112">
        <f>'7. Forecast Wholesale 2030'!P33+'7. Forecast Wholesale 2030'!P52</f>
        <v>43172674.82288745</v>
      </c>
      <c r="J44" s="100"/>
    </row>
    <row r="46" spans="1:13">
      <c r="D46" s="100"/>
      <c r="E46" s="112"/>
      <c r="F46" s="112"/>
      <c r="G46" s="112"/>
      <c r="H46" s="113"/>
      <c r="I46" s="112"/>
      <c r="J46" s="114"/>
    </row>
    <row r="47" spans="1:13">
      <c r="D47" s="100"/>
      <c r="E47" s="112"/>
      <c r="F47" s="112"/>
      <c r="G47" s="112"/>
      <c r="H47" s="113"/>
      <c r="I47" s="112"/>
      <c r="J47" s="114"/>
    </row>
    <row r="48" spans="1:13">
      <c r="D48" s="100"/>
      <c r="E48" s="112"/>
      <c r="F48" s="112"/>
      <c r="G48" s="112"/>
      <c r="H48" s="113"/>
      <c r="I48" s="112"/>
      <c r="J48" s="114"/>
    </row>
    <row r="49" spans="4:10">
      <c r="D49" s="100"/>
      <c r="E49" s="112"/>
      <c r="F49" s="112"/>
      <c r="G49" s="112"/>
      <c r="H49" s="113"/>
      <c r="I49" s="112"/>
      <c r="J49" s="114"/>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5272-ADF7-4720-B00B-7AAF5FC4DB3B}">
  <dimension ref="A13:Q113"/>
  <sheetViews>
    <sheetView topLeftCell="B15" workbookViewId="0">
      <selection activeCell="F15" sqref="F15"/>
    </sheetView>
  </sheetViews>
  <sheetFormatPr defaultColWidth="9.28515625" defaultRowHeight="13.15"/>
  <cols>
    <col min="1" max="1" width="11.7109375" style="1" hidden="1" customWidth="1"/>
    <col min="2" max="2" width="30.28515625" style="1" customWidth="1"/>
    <col min="3" max="3" width="3.7109375" style="1" customWidth="1"/>
    <col min="4" max="4" width="13.7109375" style="1" customWidth="1"/>
    <col min="5" max="5" width="15.28515625" style="1" customWidth="1"/>
    <col min="6" max="6" width="13.7109375" style="1" customWidth="1"/>
    <col min="7" max="7" width="2.7109375" style="1" customWidth="1"/>
    <col min="8" max="8" width="13.7109375" style="1" customWidth="1"/>
    <col min="9" max="9" width="10.28515625" style="1" bestFit="1" customWidth="1"/>
    <col min="10" max="10" width="13.7109375" style="1" customWidth="1"/>
    <col min="11" max="11" width="3.28515625" style="1" customWidth="1"/>
    <col min="12" max="12" width="13.7109375" style="1" customWidth="1"/>
    <col min="13" max="13" width="9.42578125" style="1" bestFit="1" customWidth="1"/>
    <col min="14" max="14" width="13.7109375" style="1" customWidth="1"/>
    <col min="15" max="15" width="3.7109375" style="1" customWidth="1"/>
    <col min="16" max="16" width="18.28515625" style="1" customWidth="1"/>
    <col min="17" max="16384" width="9.28515625" style="1"/>
  </cols>
  <sheetData>
    <row r="13" spans="2:17" ht="18.75" customHeight="1">
      <c r="B13" s="249" t="s">
        <v>182</v>
      </c>
      <c r="C13" s="246"/>
      <c r="D13" s="246"/>
      <c r="E13" s="246"/>
      <c r="F13" s="246"/>
      <c r="G13" s="246"/>
      <c r="H13" s="246"/>
      <c r="I13" s="246"/>
      <c r="J13" s="246"/>
      <c r="K13" s="246"/>
      <c r="L13" s="246"/>
      <c r="M13" s="246"/>
      <c r="N13" s="246"/>
      <c r="O13" s="246"/>
      <c r="P13" s="246"/>
    </row>
    <row r="16" spans="2:17">
      <c r="B16" s="71" t="s">
        <v>157</v>
      </c>
      <c r="C16" s="72"/>
      <c r="D16" s="247" t="s">
        <v>128</v>
      </c>
      <c r="E16" s="247"/>
      <c r="F16" s="247"/>
      <c r="G16" s="72"/>
      <c r="H16" s="247" t="s">
        <v>158</v>
      </c>
      <c r="I16" s="247"/>
      <c r="J16" s="247"/>
      <c r="K16" s="72"/>
      <c r="L16" s="247" t="s">
        <v>159</v>
      </c>
      <c r="M16" s="247"/>
      <c r="N16" s="247"/>
      <c r="O16" s="72"/>
      <c r="P16" s="71" t="s">
        <v>160</v>
      </c>
      <c r="Q16" s="26"/>
    </row>
    <row r="17" spans="2:17" ht="15.6">
      <c r="B17" s="26"/>
      <c r="C17" s="26"/>
      <c r="D17" s="248"/>
      <c r="E17" s="248"/>
      <c r="F17" s="248"/>
      <c r="G17" s="26"/>
      <c r="H17" s="248"/>
      <c r="I17" s="248"/>
      <c r="J17" s="248"/>
      <c r="K17" s="26"/>
      <c r="L17" s="248"/>
      <c r="M17" s="248"/>
      <c r="N17" s="248"/>
      <c r="O17" s="26"/>
      <c r="P17" s="90"/>
      <c r="Q17" s="73"/>
    </row>
    <row r="18" spans="2:17">
      <c r="B18" s="74" t="s">
        <v>161</v>
      </c>
      <c r="C18" s="26"/>
      <c r="D18" s="90" t="s">
        <v>162</v>
      </c>
      <c r="E18" s="90" t="s">
        <v>100</v>
      </c>
      <c r="F18" s="90" t="s">
        <v>163</v>
      </c>
      <c r="G18" s="26"/>
      <c r="H18" s="90" t="s">
        <v>162</v>
      </c>
      <c r="I18" s="90" t="s">
        <v>100</v>
      </c>
      <c r="J18" s="90" t="s">
        <v>163</v>
      </c>
      <c r="K18" s="26"/>
      <c r="L18" s="90" t="s">
        <v>162</v>
      </c>
      <c r="M18" s="90" t="s">
        <v>100</v>
      </c>
      <c r="N18" s="90" t="s">
        <v>163</v>
      </c>
      <c r="O18" s="26"/>
      <c r="P18" s="90" t="s">
        <v>163</v>
      </c>
      <c r="Q18" s="26"/>
    </row>
    <row r="19" spans="2:17">
      <c r="B19" s="26"/>
      <c r="C19" s="26"/>
      <c r="D19" s="26"/>
      <c r="E19" s="26"/>
      <c r="F19" s="26"/>
      <c r="G19" s="26"/>
      <c r="H19" s="26"/>
      <c r="I19" s="26"/>
      <c r="J19" s="26"/>
      <c r="K19" s="26"/>
      <c r="L19" s="26"/>
      <c r="M19" s="26"/>
      <c r="N19" s="26"/>
      <c r="O19" s="26"/>
      <c r="P19" s="26"/>
      <c r="Q19" s="26"/>
    </row>
    <row r="20" spans="2:17">
      <c r="B20" s="27" t="s">
        <v>164</v>
      </c>
      <c r="C20" s="26"/>
      <c r="D20" s="97">
        <v>358979.11784411868</v>
      </c>
      <c r="E20" s="92">
        <f>'4. UTRs &amp; Sub-Transmission'!Q22</f>
        <v>8.4574670530651712</v>
      </c>
      <c r="F20" s="98">
        <f>D20*E20</f>
        <v>3036054.0619050334</v>
      </c>
      <c r="G20" s="26"/>
      <c r="H20" s="97">
        <v>185751.4180964471</v>
      </c>
      <c r="I20" s="92">
        <f>'4. UTRs &amp; Sub-Transmission'!Q24</f>
        <v>1.3538896857470948</v>
      </c>
      <c r="J20" s="98">
        <f>H20*I20</f>
        <v>251486.92907367597</v>
      </c>
      <c r="K20" s="26"/>
      <c r="L20" s="97">
        <v>382473.89280586422</v>
      </c>
      <c r="M20" s="92">
        <f>'4. UTRs &amp; Sub-Transmission'!Q26</f>
        <v>4.562030607390076</v>
      </c>
      <c r="N20" s="98">
        <f>L20*M20</f>
        <v>1744857.6055079836</v>
      </c>
      <c r="O20" s="26"/>
      <c r="P20" s="80">
        <f t="shared" ref="P20:P31" si="0">J20+N20</f>
        <v>1996344.5345816596</v>
      </c>
      <c r="Q20" s="26"/>
    </row>
    <row r="21" spans="2:17">
      <c r="B21" s="27" t="s">
        <v>165</v>
      </c>
      <c r="C21" s="26"/>
      <c r="D21" s="97">
        <v>352230.74247365404</v>
      </c>
      <c r="E21" s="92">
        <f>E20</f>
        <v>8.4574670530651712</v>
      </c>
      <c r="F21" s="98">
        <f t="shared" ref="F21:F31" si="1">D21*E21</f>
        <v>2978979.8995476123</v>
      </c>
      <c r="G21" s="26"/>
      <c r="H21" s="97">
        <v>195091.83071251796</v>
      </c>
      <c r="I21" s="92">
        <f>I20</f>
        <v>1.3538896857470948</v>
      </c>
      <c r="J21" s="98">
        <f t="shared" ref="J21:J31" si="2">H21*I21</f>
        <v>264132.81737519638</v>
      </c>
      <c r="K21" s="26"/>
      <c r="L21" s="97">
        <v>374232.2153311728</v>
      </c>
      <c r="M21" s="92">
        <f>M20</f>
        <v>4.562030607390076</v>
      </c>
      <c r="N21" s="98">
        <f t="shared" ref="N21:N31" si="3">L21*M21</f>
        <v>1707258.820612204</v>
      </c>
      <c r="O21" s="26"/>
      <c r="P21" s="80">
        <f t="shared" si="0"/>
        <v>1971391.6379874004</v>
      </c>
      <c r="Q21" s="26"/>
    </row>
    <row r="22" spans="2:17">
      <c r="B22" s="27" t="s">
        <v>166</v>
      </c>
      <c r="C22" s="26"/>
      <c r="D22" s="97">
        <v>346491.48084002844</v>
      </c>
      <c r="E22" s="92">
        <f>E21</f>
        <v>8.4574670530651712</v>
      </c>
      <c r="F22" s="98">
        <f t="shared" si="1"/>
        <v>2930440.2833723025</v>
      </c>
      <c r="G22" s="26"/>
      <c r="H22" s="97">
        <v>186555.68290862214</v>
      </c>
      <c r="I22" s="92">
        <f t="shared" ref="I22:I31" si="4">I21</f>
        <v>1.3538896857470948</v>
      </c>
      <c r="J22" s="98">
        <f t="shared" si="2"/>
        <v>252575.81490748908</v>
      </c>
      <c r="K22" s="26"/>
      <c r="L22" s="97">
        <v>356362.63839727419</v>
      </c>
      <c r="M22" s="92">
        <f t="shared" ref="M22:M31" si="5">M21</f>
        <v>4.562030607390076</v>
      </c>
      <c r="N22" s="98">
        <f t="shared" si="3"/>
        <v>1625737.2636986468</v>
      </c>
      <c r="O22" s="26"/>
      <c r="P22" s="80">
        <f t="shared" si="0"/>
        <v>1878313.0786061359</v>
      </c>
      <c r="Q22" s="26"/>
    </row>
    <row r="23" spans="2:17">
      <c r="B23" s="27" t="s">
        <v>167</v>
      </c>
      <c r="C23" s="26"/>
      <c r="D23" s="97">
        <v>337153.39605264686</v>
      </c>
      <c r="E23" s="92">
        <f t="shared" ref="E23:E31" si="6">E22</f>
        <v>8.4574670530651712</v>
      </c>
      <c r="F23" s="98">
        <f t="shared" si="1"/>
        <v>2851463.7389442939</v>
      </c>
      <c r="G23" s="26"/>
      <c r="H23" s="97">
        <v>178286.07148965844</v>
      </c>
      <c r="I23" s="92">
        <f t="shared" si="4"/>
        <v>1.3538896857470948</v>
      </c>
      <c r="J23" s="98">
        <f t="shared" si="2"/>
        <v>241379.67330221774</v>
      </c>
      <c r="K23" s="26"/>
      <c r="L23" s="97">
        <v>339801.30118679779</v>
      </c>
      <c r="M23" s="92">
        <f t="shared" si="5"/>
        <v>4.562030607390076</v>
      </c>
      <c r="N23" s="98">
        <f t="shared" si="3"/>
        <v>1550183.9364451454</v>
      </c>
      <c r="O23" s="26"/>
      <c r="P23" s="80">
        <f t="shared" si="0"/>
        <v>1791563.6097473633</v>
      </c>
      <c r="Q23" s="26"/>
    </row>
    <row r="24" spans="2:17">
      <c r="B24" s="27" t="s">
        <v>168</v>
      </c>
      <c r="C24" s="26"/>
      <c r="D24" s="97">
        <v>414042.74157666683</v>
      </c>
      <c r="E24" s="92">
        <f t="shared" si="6"/>
        <v>8.4574670530651712</v>
      </c>
      <c r="F24" s="98">
        <f t="shared" si="1"/>
        <v>3501752.8454454364</v>
      </c>
      <c r="G24" s="26"/>
      <c r="H24" s="97">
        <v>237703.89878566089</v>
      </c>
      <c r="I24" s="92">
        <f t="shared" si="4"/>
        <v>1.3538896857470948</v>
      </c>
      <c r="J24" s="98">
        <f t="shared" si="2"/>
        <v>321824.85682777764</v>
      </c>
      <c r="K24" s="26"/>
      <c r="L24" s="97">
        <v>426891.1920276084</v>
      </c>
      <c r="M24" s="92">
        <f t="shared" si="5"/>
        <v>4.562030607390076</v>
      </c>
      <c r="N24" s="98">
        <f t="shared" si="3"/>
        <v>1947490.684055184</v>
      </c>
      <c r="O24" s="26"/>
      <c r="P24" s="80">
        <f t="shared" si="0"/>
        <v>2269315.5408829618</v>
      </c>
      <c r="Q24" s="26"/>
    </row>
    <row r="25" spans="2:17">
      <c r="B25" s="27" t="s">
        <v>169</v>
      </c>
      <c r="C25" s="26"/>
      <c r="D25" s="97">
        <v>471286.37687680376</v>
      </c>
      <c r="E25" s="92">
        <f t="shared" si="6"/>
        <v>8.4574670530651712</v>
      </c>
      <c r="F25" s="98">
        <f t="shared" si="1"/>
        <v>3985889.0049940231</v>
      </c>
      <c r="G25" s="26"/>
      <c r="H25" s="97">
        <v>296510.67105070542</v>
      </c>
      <c r="I25" s="92">
        <f t="shared" si="4"/>
        <v>1.3538896857470948</v>
      </c>
      <c r="J25" s="98">
        <f t="shared" si="2"/>
        <v>401442.73924949975</v>
      </c>
      <c r="K25" s="26"/>
      <c r="L25" s="97">
        <v>509645.50193447969</v>
      </c>
      <c r="M25" s="92">
        <f t="shared" si="5"/>
        <v>4.562030607390076</v>
      </c>
      <c r="N25" s="98">
        <f t="shared" si="3"/>
        <v>2325018.3787437747</v>
      </c>
      <c r="O25" s="26"/>
      <c r="P25" s="80">
        <f t="shared" si="0"/>
        <v>2726461.1179932747</v>
      </c>
      <c r="Q25" s="26"/>
    </row>
    <row r="26" spans="2:17">
      <c r="B26" s="27" t="s">
        <v>170</v>
      </c>
      <c r="C26" s="26"/>
      <c r="D26" s="97">
        <v>515598.92380752665</v>
      </c>
      <c r="E26" s="92">
        <f t="shared" si="6"/>
        <v>8.4574670530651712</v>
      </c>
      <c r="F26" s="98">
        <f t="shared" si="1"/>
        <v>4360660.9106980162</v>
      </c>
      <c r="G26" s="26"/>
      <c r="H26" s="97">
        <v>310539.3306471543</v>
      </c>
      <c r="I26" s="92">
        <f t="shared" si="4"/>
        <v>1.3538896857470948</v>
      </c>
      <c r="J26" s="98">
        <f t="shared" si="2"/>
        <v>420435.99678198888</v>
      </c>
      <c r="K26" s="26"/>
      <c r="L26" s="97">
        <v>528760.46721718763</v>
      </c>
      <c r="M26" s="92">
        <f t="shared" si="5"/>
        <v>4.562030607390076</v>
      </c>
      <c r="N26" s="98">
        <f t="shared" si="3"/>
        <v>2412221.4354226869</v>
      </c>
      <c r="O26" s="26"/>
      <c r="P26" s="80">
        <f t="shared" si="0"/>
        <v>2832657.4322046759</v>
      </c>
      <c r="Q26" s="26"/>
    </row>
    <row r="27" spans="2:17">
      <c r="B27" s="27" t="s">
        <v>171</v>
      </c>
      <c r="C27" s="26"/>
      <c r="D27" s="97">
        <v>501352.61222862225</v>
      </c>
      <c r="E27" s="92">
        <f t="shared" si="6"/>
        <v>8.4574670530651712</v>
      </c>
      <c r="F27" s="98">
        <f t="shared" si="1"/>
        <v>4240173.1998917311</v>
      </c>
      <c r="G27" s="26"/>
      <c r="H27" s="97">
        <v>301131.41099909198</v>
      </c>
      <c r="I27" s="92">
        <f t="shared" si="4"/>
        <v>1.3538896857470948</v>
      </c>
      <c r="J27" s="98">
        <f t="shared" si="2"/>
        <v>407698.71140613989</v>
      </c>
      <c r="K27" s="26"/>
      <c r="L27" s="97">
        <v>520419.85702319851</v>
      </c>
      <c r="M27" s="92">
        <f t="shared" si="5"/>
        <v>4.562030607390076</v>
      </c>
      <c r="N27" s="98">
        <f t="shared" si="3"/>
        <v>2374171.316433399</v>
      </c>
      <c r="O27" s="26"/>
      <c r="P27" s="80">
        <f t="shared" si="0"/>
        <v>2781870.0278395386</v>
      </c>
      <c r="Q27" s="26"/>
    </row>
    <row r="28" spans="2:17">
      <c r="B28" s="27" t="s">
        <v>172</v>
      </c>
      <c r="C28" s="26"/>
      <c r="D28" s="97">
        <v>435847.51290993433</v>
      </c>
      <c r="E28" s="92">
        <f t="shared" si="6"/>
        <v>8.4574670530651712</v>
      </c>
      <c r="F28" s="98">
        <f t="shared" si="1"/>
        <v>3686165.9805961666</v>
      </c>
      <c r="G28" s="26"/>
      <c r="H28" s="97">
        <v>245481.17443682422</v>
      </c>
      <c r="I28" s="92">
        <f t="shared" si="4"/>
        <v>1.3538896857470948</v>
      </c>
      <c r="J28" s="98">
        <f t="shared" si="2"/>
        <v>332354.43011509971</v>
      </c>
      <c r="K28" s="26"/>
      <c r="L28" s="97">
        <v>437009.0994259268</v>
      </c>
      <c r="M28" s="92">
        <f t="shared" si="5"/>
        <v>4.562030607390076</v>
      </c>
      <c r="N28" s="98">
        <f t="shared" si="3"/>
        <v>1993648.887289051</v>
      </c>
      <c r="O28" s="26"/>
      <c r="P28" s="80">
        <f t="shared" si="0"/>
        <v>2326003.3174041505</v>
      </c>
      <c r="Q28" s="26"/>
    </row>
    <row r="29" spans="2:17">
      <c r="B29" s="27" t="s">
        <v>173</v>
      </c>
      <c r="C29" s="26"/>
      <c r="D29" s="97">
        <v>356967.87385650864</v>
      </c>
      <c r="E29" s="92">
        <f t="shared" si="6"/>
        <v>8.4574670530651712</v>
      </c>
      <c r="F29" s="98">
        <f t="shared" si="1"/>
        <v>3019044.032144146</v>
      </c>
      <c r="G29" s="26"/>
      <c r="H29" s="97">
        <v>256820.02798271365</v>
      </c>
      <c r="I29" s="92">
        <f t="shared" si="4"/>
        <v>1.3538896857470948</v>
      </c>
      <c r="J29" s="98">
        <f t="shared" si="2"/>
        <v>347705.98697907629</v>
      </c>
      <c r="K29" s="26"/>
      <c r="L29" s="97">
        <v>374047.15295036841</v>
      </c>
      <c r="M29" s="92">
        <f t="shared" si="5"/>
        <v>4.562030607390076</v>
      </c>
      <c r="N29" s="98">
        <f t="shared" si="3"/>
        <v>1706414.5603666978</v>
      </c>
      <c r="O29" s="26"/>
      <c r="P29" s="80">
        <f t="shared" si="0"/>
        <v>2054120.5473457742</v>
      </c>
      <c r="Q29" s="26"/>
    </row>
    <row r="30" spans="2:17">
      <c r="B30" s="27" t="s">
        <v>174</v>
      </c>
      <c r="C30" s="26"/>
      <c r="D30" s="97">
        <v>343600.31760783895</v>
      </c>
      <c r="E30" s="92">
        <f t="shared" si="6"/>
        <v>8.4574670530651712</v>
      </c>
      <c r="F30" s="98">
        <f t="shared" si="1"/>
        <v>2905988.3655910264</v>
      </c>
      <c r="G30" s="26"/>
      <c r="H30" s="97">
        <v>195222.18911912234</v>
      </c>
      <c r="I30" s="92">
        <f t="shared" si="4"/>
        <v>1.3538896857470948</v>
      </c>
      <c r="J30" s="98">
        <f t="shared" si="2"/>
        <v>264309.30827734846</v>
      </c>
      <c r="K30" s="26"/>
      <c r="L30" s="97">
        <v>322334.43861615908</v>
      </c>
      <c r="M30" s="92">
        <f t="shared" si="5"/>
        <v>4.562030607390076</v>
      </c>
      <c r="N30" s="98">
        <f t="shared" si="3"/>
        <v>1470499.5747828153</v>
      </c>
      <c r="O30" s="26"/>
      <c r="P30" s="80">
        <f t="shared" si="0"/>
        <v>1734808.8830601638</v>
      </c>
      <c r="Q30" s="26"/>
    </row>
    <row r="31" spans="2:17">
      <c r="B31" s="27" t="s">
        <v>175</v>
      </c>
      <c r="C31" s="26"/>
      <c r="D31" s="97">
        <v>374205.4453012452</v>
      </c>
      <c r="E31" s="92">
        <f t="shared" si="6"/>
        <v>8.4574670530651712</v>
      </c>
      <c r="F31" s="98">
        <f t="shared" si="1"/>
        <v>3164830.2247128622</v>
      </c>
      <c r="G31" s="26"/>
      <c r="H31" s="97">
        <v>240677.69993632275</v>
      </c>
      <c r="I31" s="92">
        <f t="shared" si="4"/>
        <v>1.3538896857470948</v>
      </c>
      <c r="J31" s="98">
        <f t="shared" si="2"/>
        <v>325851.05553312157</v>
      </c>
      <c r="K31" s="26"/>
      <c r="L31" s="97">
        <v>372976.35175326117</v>
      </c>
      <c r="M31" s="92">
        <f t="shared" si="5"/>
        <v>4.562030607390076</v>
      </c>
      <c r="N31" s="98">
        <f t="shared" si="3"/>
        <v>1701529.5325310647</v>
      </c>
      <c r="O31" s="26"/>
      <c r="P31" s="80">
        <f t="shared" si="0"/>
        <v>2027380.5880641863</v>
      </c>
      <c r="Q31" s="26"/>
    </row>
    <row r="32" spans="2:17">
      <c r="B32" s="26"/>
      <c r="C32" s="26"/>
      <c r="D32" s="26"/>
      <c r="E32" s="26"/>
      <c r="F32" s="26"/>
      <c r="G32" s="26"/>
      <c r="H32" s="26"/>
      <c r="I32" s="26"/>
      <c r="J32" s="26"/>
      <c r="K32" s="26"/>
      <c r="L32" s="26"/>
      <c r="M32" s="26"/>
      <c r="N32" s="26"/>
      <c r="O32" s="26"/>
      <c r="P32" s="26"/>
      <c r="Q32" s="26"/>
    </row>
    <row r="33" spans="2:17" ht="13.9" thickBot="1">
      <c r="B33" s="74" t="s">
        <v>146</v>
      </c>
      <c r="C33" s="26"/>
      <c r="D33" s="81">
        <f>SUM(D20:D31)</f>
        <v>4807756.5413755942</v>
      </c>
      <c r="E33" s="82">
        <f>IF(D33&lt;&gt;0,F33/D33,0)</f>
        <v>8.457467053065173</v>
      </c>
      <c r="F33" s="83">
        <f>SUM(F20:F31)</f>
        <v>40661442.547842652</v>
      </c>
      <c r="G33" s="26"/>
      <c r="H33" s="81">
        <f>SUM(H20:H31)</f>
        <v>2829771.4061648413</v>
      </c>
      <c r="I33" s="82">
        <f>IF(H33&lt;&gt;0,J33/H33,0)</f>
        <v>1.3538896857470948</v>
      </c>
      <c r="J33" s="83">
        <f>SUM(J20:J31)</f>
        <v>3831198.3198286314</v>
      </c>
      <c r="K33" s="26"/>
      <c r="L33" s="81">
        <f>SUM(L20:L31)</f>
        <v>4944954.1086692987</v>
      </c>
      <c r="M33" s="82">
        <f>IF(L33&lt;&gt;0,N33/L33,0)</f>
        <v>4.5620306073900752</v>
      </c>
      <c r="N33" s="83">
        <f>SUM(N20:N31)</f>
        <v>22559031.99588865</v>
      </c>
      <c r="O33" s="26"/>
      <c r="P33" s="83">
        <f>SUM(P20:P31)</f>
        <v>26390230.315717287</v>
      </c>
      <c r="Q33" s="26"/>
    </row>
    <row r="34" spans="2:17">
      <c r="B34" s="26"/>
      <c r="C34" s="26"/>
      <c r="D34" s="26"/>
      <c r="E34" s="26"/>
      <c r="F34" s="26"/>
      <c r="G34" s="26"/>
      <c r="H34" s="26"/>
      <c r="I34" s="26"/>
      <c r="J34" s="26"/>
      <c r="K34" s="26"/>
      <c r="L34" s="26"/>
      <c r="M34" s="26"/>
      <c r="N34" s="26"/>
      <c r="O34" s="26"/>
      <c r="P34" s="26"/>
      <c r="Q34" s="26"/>
    </row>
    <row r="35" spans="2:17">
      <c r="B35" s="71" t="s">
        <v>176</v>
      </c>
      <c r="C35" s="72"/>
      <c r="D35" s="247" t="s">
        <v>128</v>
      </c>
      <c r="E35" s="247"/>
      <c r="F35" s="247"/>
      <c r="G35" s="72"/>
      <c r="H35" s="247" t="s">
        <v>158</v>
      </c>
      <c r="I35" s="247"/>
      <c r="J35" s="247"/>
      <c r="K35" s="72"/>
      <c r="L35" s="247" t="s">
        <v>159</v>
      </c>
      <c r="M35" s="247"/>
      <c r="N35" s="247"/>
      <c r="O35" s="72"/>
      <c r="P35" s="71" t="s">
        <v>160</v>
      </c>
      <c r="Q35" s="26"/>
    </row>
    <row r="36" spans="2:17">
      <c r="B36" s="74"/>
      <c r="C36" s="26"/>
      <c r="D36" s="90"/>
      <c r="E36" s="90"/>
      <c r="F36" s="90"/>
      <c r="G36" s="26"/>
      <c r="H36" s="90"/>
      <c r="I36" s="90"/>
      <c r="J36" s="90"/>
      <c r="K36" s="26"/>
      <c r="L36" s="90"/>
      <c r="M36" s="90"/>
      <c r="N36" s="90"/>
      <c r="O36" s="26"/>
      <c r="P36" s="90"/>
      <c r="Q36" s="26"/>
    </row>
    <row r="37" spans="2:17">
      <c r="B37" s="74" t="s">
        <v>161</v>
      </c>
      <c r="C37" s="26"/>
      <c r="D37" s="90" t="s">
        <v>162</v>
      </c>
      <c r="E37" s="90" t="s">
        <v>100</v>
      </c>
      <c r="F37" s="90" t="s">
        <v>163</v>
      </c>
      <c r="G37" s="26"/>
      <c r="H37" s="90" t="s">
        <v>162</v>
      </c>
      <c r="I37" s="90" t="s">
        <v>100</v>
      </c>
      <c r="J37" s="90" t="s">
        <v>163</v>
      </c>
      <c r="K37" s="26"/>
      <c r="L37" s="90" t="s">
        <v>162</v>
      </c>
      <c r="M37" s="90" t="s">
        <v>100</v>
      </c>
      <c r="N37" s="90" t="s">
        <v>163</v>
      </c>
      <c r="O37" s="26"/>
      <c r="P37" s="90" t="s">
        <v>163</v>
      </c>
      <c r="Q37" s="26"/>
    </row>
    <row r="38" spans="2:17">
      <c r="B38" s="26"/>
      <c r="C38" s="26"/>
      <c r="D38" s="26"/>
      <c r="E38" s="26"/>
      <c r="F38" s="26"/>
      <c r="G38" s="26"/>
      <c r="H38" s="26"/>
      <c r="I38" s="26"/>
      <c r="J38" s="26"/>
      <c r="K38" s="26"/>
      <c r="L38" s="26"/>
      <c r="M38" s="26"/>
      <c r="N38" s="26"/>
      <c r="O38" s="26"/>
      <c r="P38" s="26"/>
      <c r="Q38" s="26"/>
    </row>
    <row r="39" spans="2:17">
      <c r="B39" s="27" t="s">
        <v>164</v>
      </c>
      <c r="C39" s="26"/>
      <c r="D39" s="97">
        <v>314255.94193259208</v>
      </c>
      <c r="E39" s="92">
        <f>'4. UTRs &amp; Sub-Transmission'!Q35</f>
        <v>7.2408624028026516</v>
      </c>
      <c r="F39" s="98">
        <f>D39*E39</f>
        <v>2275484.0347970393</v>
      </c>
      <c r="G39" s="26"/>
      <c r="H39" s="97">
        <v>285716.5759747008</v>
      </c>
      <c r="I39" s="92">
        <f>'4. UTRs &amp; Sub-Transmission'!Q37</f>
        <v>0.92721726633592294</v>
      </c>
      <c r="J39" s="98">
        <f>H39*I39</f>
        <v>264921.34252212208</v>
      </c>
      <c r="K39" s="26"/>
      <c r="L39" s="97">
        <v>331268.99430023937</v>
      </c>
      <c r="M39" s="92">
        <f>'4. UTRs &amp; Sub-Transmission'!Q39</f>
        <v>4.701915349933679</v>
      </c>
      <c r="N39" s="98">
        <f>L39*M39</f>
        <v>1557598.7692573878</v>
      </c>
      <c r="O39" s="26"/>
      <c r="P39" s="80">
        <f t="shared" ref="P39:P50" si="7">J39+N39</f>
        <v>1822520.11177951</v>
      </c>
      <c r="Q39" s="26"/>
    </row>
    <row r="40" spans="2:17">
      <c r="B40" s="27" t="s">
        <v>165</v>
      </c>
      <c r="C40" s="26"/>
      <c r="D40" s="97">
        <v>314382.90170930995</v>
      </c>
      <c r="E40" s="92">
        <f t="shared" ref="E40:E50" si="8">E39</f>
        <v>7.2408624028026516</v>
      </c>
      <c r="F40" s="98">
        <f t="shared" ref="F40:F50" si="9">D40*E40</f>
        <v>2276403.3330709441</v>
      </c>
      <c r="G40" s="26"/>
      <c r="H40" s="97">
        <v>262006.70964205821</v>
      </c>
      <c r="I40" s="92">
        <f t="shared" ref="I40:I50" si="10">I39</f>
        <v>0.92721726633592294</v>
      </c>
      <c r="J40" s="98">
        <f t="shared" ref="J40:J50" si="11">H40*I40</f>
        <v>242937.14507597912</v>
      </c>
      <c r="K40" s="26"/>
      <c r="L40" s="97">
        <v>316099.01193653897</v>
      </c>
      <c r="M40" s="92">
        <f t="shared" ref="M40:M50" si="12">M39</f>
        <v>4.701915349933679</v>
      </c>
      <c r="N40" s="98">
        <f t="shared" ref="N40:N50" si="13">L40*M40</f>
        <v>1486270.7963232817</v>
      </c>
      <c r="O40" s="26"/>
      <c r="P40" s="80">
        <f t="shared" si="7"/>
        <v>1729207.9413992609</v>
      </c>
      <c r="Q40" s="26"/>
    </row>
    <row r="41" spans="2:17">
      <c r="B41" s="27" t="s">
        <v>166</v>
      </c>
      <c r="C41" s="26"/>
      <c r="D41" s="97">
        <v>264539.56184323732</v>
      </c>
      <c r="E41" s="92">
        <f t="shared" si="8"/>
        <v>7.2408624028026516</v>
      </c>
      <c r="F41" s="98">
        <f t="shared" si="9"/>
        <v>1915494.567404584</v>
      </c>
      <c r="G41" s="26"/>
      <c r="H41" s="97">
        <v>225624.21375938156</v>
      </c>
      <c r="I41" s="92">
        <f t="shared" si="10"/>
        <v>0.92721726633592294</v>
      </c>
      <c r="J41" s="98">
        <f t="shared" si="11"/>
        <v>209202.6667011657</v>
      </c>
      <c r="K41" s="26"/>
      <c r="L41" s="97">
        <v>269385.25151702052</v>
      </c>
      <c r="M41" s="92">
        <f t="shared" si="12"/>
        <v>4.701915349933679</v>
      </c>
      <c r="N41" s="98">
        <f t="shared" si="13"/>
        <v>1266626.6491536237</v>
      </c>
      <c r="O41" s="26"/>
      <c r="P41" s="80">
        <f t="shared" si="7"/>
        <v>1475829.3158547895</v>
      </c>
      <c r="Q41" s="26"/>
    </row>
    <row r="42" spans="2:17">
      <c r="B42" s="27" t="s">
        <v>167</v>
      </c>
      <c r="C42" s="26"/>
      <c r="D42" s="97">
        <v>232791.40042849307</v>
      </c>
      <c r="E42" s="92">
        <f t="shared" si="8"/>
        <v>7.2408624028026516</v>
      </c>
      <c r="F42" s="98">
        <f t="shared" si="9"/>
        <v>1685610.4990584527</v>
      </c>
      <c r="G42" s="26"/>
      <c r="H42" s="97">
        <v>205909.87914573614</v>
      </c>
      <c r="I42" s="92">
        <f t="shared" si="10"/>
        <v>0.92721726633592294</v>
      </c>
      <c r="J42" s="98">
        <f t="shared" si="11"/>
        <v>190923.19525306972</v>
      </c>
      <c r="K42" s="26"/>
      <c r="L42" s="97">
        <v>237574.87888055292</v>
      </c>
      <c r="M42" s="92">
        <f t="shared" si="12"/>
        <v>4.701915349933679</v>
      </c>
      <c r="N42" s="98">
        <f t="shared" si="13"/>
        <v>1117056.9697671065</v>
      </c>
      <c r="O42" s="26"/>
      <c r="P42" s="80">
        <f t="shared" si="7"/>
        <v>1307980.1650201762</v>
      </c>
      <c r="Q42" s="26"/>
    </row>
    <row r="43" spans="2:17">
      <c r="B43" s="27" t="s">
        <v>168</v>
      </c>
      <c r="C43" s="26"/>
      <c r="D43" s="97">
        <v>271976.05501342128</v>
      </c>
      <c r="E43" s="92">
        <f t="shared" si="8"/>
        <v>7.2408624028026516</v>
      </c>
      <c r="F43" s="98">
        <f t="shared" si="9"/>
        <v>1969341.1912092678</v>
      </c>
      <c r="G43" s="26"/>
      <c r="H43" s="97">
        <v>225981.34923690371</v>
      </c>
      <c r="I43" s="92">
        <f t="shared" si="10"/>
        <v>0.92721726633592294</v>
      </c>
      <c r="J43" s="98">
        <f t="shared" si="11"/>
        <v>209533.80888234536</v>
      </c>
      <c r="K43" s="26"/>
      <c r="L43" s="97">
        <v>274320.5975127744</v>
      </c>
      <c r="M43" s="92">
        <f t="shared" si="12"/>
        <v>4.701915349933679</v>
      </c>
      <c r="N43" s="98">
        <f t="shared" si="13"/>
        <v>1289832.2282482926</v>
      </c>
      <c r="O43" s="26"/>
      <c r="P43" s="80">
        <f t="shared" si="7"/>
        <v>1499366.037130638</v>
      </c>
      <c r="Q43" s="26"/>
    </row>
    <row r="44" spans="2:17">
      <c r="B44" s="27" t="s">
        <v>169</v>
      </c>
      <c r="C44" s="26"/>
      <c r="D44" s="97">
        <v>352081.88946811267</v>
      </c>
      <c r="E44" s="92">
        <f t="shared" si="8"/>
        <v>7.2408624028026516</v>
      </c>
      <c r="F44" s="98">
        <f t="shared" si="9"/>
        <v>2549376.5161573761</v>
      </c>
      <c r="G44" s="26"/>
      <c r="H44" s="97">
        <v>306995.82834220125</v>
      </c>
      <c r="I44" s="92">
        <f t="shared" si="10"/>
        <v>0.92721726633592294</v>
      </c>
      <c r="J44" s="98">
        <f t="shared" si="11"/>
        <v>284651.83273198811</v>
      </c>
      <c r="K44" s="26"/>
      <c r="L44" s="97">
        <v>355437.95500699844</v>
      </c>
      <c r="M44" s="92">
        <f t="shared" si="12"/>
        <v>4.701915349933679</v>
      </c>
      <c r="N44" s="98">
        <f t="shared" si="13"/>
        <v>1671239.1765964422</v>
      </c>
      <c r="O44" s="26"/>
      <c r="P44" s="80">
        <f t="shared" si="7"/>
        <v>1955891.0093284303</v>
      </c>
      <c r="Q44" s="26"/>
    </row>
    <row r="45" spans="2:17">
      <c r="B45" s="27" t="s">
        <v>170</v>
      </c>
      <c r="C45" s="26"/>
      <c r="D45" s="97">
        <v>334323.01242753677</v>
      </c>
      <c r="E45" s="92">
        <f t="shared" si="8"/>
        <v>7.2408624028026516</v>
      </c>
      <c r="F45" s="98">
        <f t="shared" si="9"/>
        <v>2420786.9310782747</v>
      </c>
      <c r="G45" s="26"/>
      <c r="H45" s="97">
        <v>283986.81303220865</v>
      </c>
      <c r="I45" s="92">
        <f t="shared" si="10"/>
        <v>0.92721726633592294</v>
      </c>
      <c r="J45" s="98">
        <f t="shared" si="11"/>
        <v>263317.47645517538</v>
      </c>
      <c r="K45" s="26"/>
      <c r="L45" s="97">
        <v>335297.70921720361</v>
      </c>
      <c r="M45" s="92">
        <f t="shared" si="12"/>
        <v>4.701915349933679</v>
      </c>
      <c r="N45" s="98">
        <f t="shared" si="13"/>
        <v>1576541.4457659689</v>
      </c>
      <c r="O45" s="26"/>
      <c r="P45" s="80">
        <f t="shared" si="7"/>
        <v>1839858.9222211442</v>
      </c>
      <c r="Q45" s="26"/>
    </row>
    <row r="46" spans="2:17">
      <c r="B46" s="27" t="s">
        <v>171</v>
      </c>
      <c r="C46" s="26"/>
      <c r="D46" s="97">
        <v>366009.49802115629</v>
      </c>
      <c r="E46" s="92">
        <f t="shared" si="8"/>
        <v>7.2408624028026516</v>
      </c>
      <c r="F46" s="98">
        <f t="shared" si="9"/>
        <v>2650224.413290062</v>
      </c>
      <c r="G46" s="26"/>
      <c r="H46" s="97">
        <v>276543.60407625581</v>
      </c>
      <c r="I46" s="92">
        <f t="shared" si="10"/>
        <v>0.92721726633592294</v>
      </c>
      <c r="J46" s="98">
        <f t="shared" si="11"/>
        <v>256416.0045942697</v>
      </c>
      <c r="K46" s="26"/>
      <c r="L46" s="97">
        <v>370050.28272987483</v>
      </c>
      <c r="M46" s="92">
        <f t="shared" si="12"/>
        <v>4.701915349933679</v>
      </c>
      <c r="N46" s="98">
        <f t="shared" si="13"/>
        <v>1739945.1046148962</v>
      </c>
      <c r="O46" s="26"/>
      <c r="P46" s="80">
        <f t="shared" si="7"/>
        <v>1996361.1092091659</v>
      </c>
      <c r="Q46" s="26"/>
    </row>
    <row r="47" spans="2:17">
      <c r="B47" s="27" t="s">
        <v>172</v>
      </c>
      <c r="C47" s="26"/>
      <c r="D47" s="97">
        <v>305225.29348021472</v>
      </c>
      <c r="E47" s="92">
        <f t="shared" si="8"/>
        <v>7.2408624028026516</v>
      </c>
      <c r="F47" s="98">
        <f t="shared" si="9"/>
        <v>2210094.3519452922</v>
      </c>
      <c r="G47" s="26"/>
      <c r="H47" s="97">
        <v>237978.02389212031</v>
      </c>
      <c r="I47" s="92">
        <f t="shared" si="10"/>
        <v>0.92721726633592294</v>
      </c>
      <c r="J47" s="98">
        <f t="shared" si="11"/>
        <v>220657.33276127675</v>
      </c>
      <c r="K47" s="26"/>
      <c r="L47" s="97">
        <v>306844.89192998287</v>
      </c>
      <c r="M47" s="92">
        <f t="shared" si="12"/>
        <v>4.701915349933679</v>
      </c>
      <c r="N47" s="98">
        <f t="shared" si="13"/>
        <v>1442758.7074143274</v>
      </c>
      <c r="O47" s="26"/>
      <c r="P47" s="80">
        <f t="shared" si="7"/>
        <v>1663416.0401756042</v>
      </c>
      <c r="Q47" s="26"/>
    </row>
    <row r="48" spans="2:17">
      <c r="B48" s="27" t="s">
        <v>173</v>
      </c>
      <c r="C48" s="26"/>
      <c r="D48" s="97">
        <v>257009.9671646223</v>
      </c>
      <c r="E48" s="92">
        <f t="shared" si="8"/>
        <v>7.2408624028026516</v>
      </c>
      <c r="F48" s="98">
        <f t="shared" si="9"/>
        <v>1860973.8083878576</v>
      </c>
      <c r="G48" s="26"/>
      <c r="H48" s="97">
        <v>204047.82569882736</v>
      </c>
      <c r="I48" s="92">
        <f t="shared" si="10"/>
        <v>0.92721726633592294</v>
      </c>
      <c r="J48" s="98">
        <f t="shared" si="11"/>
        <v>189196.66714625558</v>
      </c>
      <c r="K48" s="26"/>
      <c r="L48" s="97">
        <v>260020.67603915403</v>
      </c>
      <c r="M48" s="92">
        <f t="shared" si="12"/>
        <v>4.701915349933679</v>
      </c>
      <c r="N48" s="98">
        <f t="shared" si="13"/>
        <v>1222595.2079686306</v>
      </c>
      <c r="O48" s="26"/>
      <c r="P48" s="80">
        <f t="shared" si="7"/>
        <v>1411791.8751148861</v>
      </c>
      <c r="Q48" s="26"/>
    </row>
    <row r="49" spans="2:17">
      <c r="B49" s="27" t="s">
        <v>174</v>
      </c>
      <c r="C49" s="26"/>
      <c r="D49" s="97">
        <v>279409.45217144844</v>
      </c>
      <c r="E49" s="92">
        <f t="shared" si="8"/>
        <v>7.2408624028026516</v>
      </c>
      <c r="F49" s="98">
        <f t="shared" si="9"/>
        <v>2023165.3972159268</v>
      </c>
      <c r="G49" s="26"/>
      <c r="H49" s="97">
        <v>226480.42406875978</v>
      </c>
      <c r="I49" s="92">
        <f t="shared" si="10"/>
        <v>0.92721726633592294</v>
      </c>
      <c r="J49" s="98">
        <f t="shared" si="11"/>
        <v>209996.55968363601</v>
      </c>
      <c r="K49" s="26"/>
      <c r="L49" s="97">
        <v>283564.12589879404</v>
      </c>
      <c r="M49" s="92">
        <f t="shared" si="12"/>
        <v>4.701915349933679</v>
      </c>
      <c r="N49" s="98">
        <f t="shared" si="13"/>
        <v>1333294.516254066</v>
      </c>
      <c r="O49" s="26"/>
      <c r="P49" s="80">
        <f t="shared" si="7"/>
        <v>1543291.0759377021</v>
      </c>
      <c r="Q49" s="26"/>
    </row>
    <row r="50" spans="2:17">
      <c r="B50" s="27" t="s">
        <v>175</v>
      </c>
      <c r="C50" s="26"/>
      <c r="D50" s="97">
        <v>287640.93375648046</v>
      </c>
      <c r="E50" s="92">
        <f t="shared" si="8"/>
        <v>7.2408624028026516</v>
      </c>
      <c r="F50" s="98">
        <f t="shared" si="9"/>
        <v>2082768.4227443475</v>
      </c>
      <c r="G50" s="26"/>
      <c r="H50" s="97">
        <v>245842.54656256107</v>
      </c>
      <c r="I50" s="92">
        <f t="shared" si="10"/>
        <v>0.92721726633592294</v>
      </c>
      <c r="J50" s="98">
        <f t="shared" si="11"/>
        <v>227949.45397279973</v>
      </c>
      <c r="K50" s="26"/>
      <c r="L50" s="97">
        <v>294674.27027595352</v>
      </c>
      <c r="M50" s="92">
        <f t="shared" si="12"/>
        <v>4.701915349933679</v>
      </c>
      <c r="N50" s="98">
        <f t="shared" si="13"/>
        <v>1385533.4746410116</v>
      </c>
      <c r="O50" s="26"/>
      <c r="P50" s="80">
        <f t="shared" si="7"/>
        <v>1613482.9286138113</v>
      </c>
      <c r="Q50" s="26"/>
    </row>
    <row r="51" spans="2:17">
      <c r="B51" s="26"/>
      <c r="C51" s="26"/>
      <c r="D51" s="26"/>
      <c r="E51" s="26"/>
      <c r="F51" s="26"/>
      <c r="G51" s="26"/>
      <c r="H51" s="26"/>
      <c r="I51" s="26"/>
      <c r="J51" s="26"/>
      <c r="K51" s="26"/>
      <c r="L51" s="26"/>
      <c r="M51" s="26"/>
      <c r="N51" s="26"/>
      <c r="O51" s="26"/>
      <c r="P51" s="26"/>
      <c r="Q51" s="26"/>
    </row>
    <row r="52" spans="2:17" ht="13.9" thickBot="1">
      <c r="B52" s="74" t="s">
        <v>146</v>
      </c>
      <c r="C52" s="26"/>
      <c r="D52" s="81">
        <f>SUM(D39:D50)</f>
        <v>3579645.9074166254</v>
      </c>
      <c r="E52" s="82">
        <f>IF(D52&lt;&gt;0,F52/D52,0)</f>
        <v>7.2408624028026507</v>
      </c>
      <c r="F52" s="83">
        <f>SUM(F39:F50)</f>
        <v>25919723.466359422</v>
      </c>
      <c r="G52" s="26"/>
      <c r="H52" s="81">
        <f>SUM(H39:H50)</f>
        <v>2987113.7934317142</v>
      </c>
      <c r="I52" s="82">
        <f>IF(H52&lt;&gt;0,J52/H52,0)</f>
        <v>0.92721726633592305</v>
      </c>
      <c r="J52" s="83">
        <f>SUM(J39:J50)</f>
        <v>2769703.4857800831</v>
      </c>
      <c r="K52" s="26"/>
      <c r="L52" s="81">
        <f>SUM(L39:L50)</f>
        <v>3634538.6452450878</v>
      </c>
      <c r="M52" s="82">
        <f>IF(L52&lt;&gt;0,N52/L52,0)</f>
        <v>4.7019153499336781</v>
      </c>
      <c r="N52" s="83">
        <f>SUM(N39:N50)</f>
        <v>17089293.046005033</v>
      </c>
      <c r="O52" s="26"/>
      <c r="P52" s="83">
        <f>SUM(P39:P50)</f>
        <v>19858996.531785119</v>
      </c>
      <c r="Q52" s="26"/>
    </row>
    <row r="53" spans="2:17">
      <c r="B53" s="26"/>
      <c r="C53" s="26"/>
      <c r="D53" s="26"/>
      <c r="E53" s="26"/>
      <c r="F53" s="26"/>
      <c r="G53" s="26"/>
      <c r="H53" s="26"/>
      <c r="I53" s="26"/>
      <c r="J53" s="26"/>
      <c r="K53" s="26"/>
      <c r="L53" s="26"/>
      <c r="M53" s="26"/>
      <c r="N53" s="26"/>
      <c r="O53" s="26"/>
      <c r="P53" s="26"/>
      <c r="Q53" s="26"/>
    </row>
    <row r="54" spans="2:17">
      <c r="B54" s="71" t="e">
        <f>#REF!</f>
        <v>#REF!</v>
      </c>
      <c r="C54" s="72"/>
      <c r="D54" s="247" t="s">
        <v>128</v>
      </c>
      <c r="E54" s="247"/>
      <c r="F54" s="247"/>
      <c r="G54" s="72"/>
      <c r="H54" s="247" t="s">
        <v>158</v>
      </c>
      <c r="I54" s="247"/>
      <c r="J54" s="247"/>
      <c r="K54" s="72"/>
      <c r="L54" s="247" t="s">
        <v>159</v>
      </c>
      <c r="M54" s="247"/>
      <c r="N54" s="247"/>
      <c r="O54" s="72"/>
      <c r="P54" s="71" t="s">
        <v>160</v>
      </c>
      <c r="Q54" s="26"/>
    </row>
    <row r="55" spans="2:17">
      <c r="B55" s="74"/>
      <c r="C55" s="26"/>
      <c r="D55" s="90"/>
      <c r="E55" s="90"/>
      <c r="F55" s="90"/>
      <c r="G55" s="26"/>
      <c r="H55" s="90"/>
      <c r="I55" s="90"/>
      <c r="J55" s="90"/>
      <c r="K55" s="26"/>
      <c r="L55" s="90"/>
      <c r="M55" s="90"/>
      <c r="N55" s="90"/>
      <c r="O55" s="26"/>
      <c r="P55" s="90"/>
      <c r="Q55" s="26"/>
    </row>
    <row r="56" spans="2:17">
      <c r="B56" s="74" t="s">
        <v>161</v>
      </c>
      <c r="C56" s="26"/>
      <c r="D56" s="90" t="s">
        <v>162</v>
      </c>
      <c r="E56" s="90" t="s">
        <v>100</v>
      </c>
      <c r="F56" s="90" t="s">
        <v>163</v>
      </c>
      <c r="G56" s="26"/>
      <c r="H56" s="90" t="s">
        <v>162</v>
      </c>
      <c r="I56" s="90" t="s">
        <v>100</v>
      </c>
      <c r="J56" s="90" t="s">
        <v>163</v>
      </c>
      <c r="K56" s="26"/>
      <c r="L56" s="90" t="s">
        <v>162</v>
      </c>
      <c r="M56" s="90" t="s">
        <v>100</v>
      </c>
      <c r="N56" s="90" t="s">
        <v>163</v>
      </c>
      <c r="O56" s="26"/>
      <c r="P56" s="90" t="s">
        <v>163</v>
      </c>
      <c r="Q56" s="26"/>
    </row>
    <row r="57" spans="2:17">
      <c r="B57" s="26"/>
      <c r="C57" s="26"/>
      <c r="D57" s="26"/>
      <c r="E57" s="26"/>
      <c r="F57" s="26"/>
      <c r="G57" s="26"/>
      <c r="H57" s="26"/>
      <c r="I57" s="26"/>
      <c r="J57" s="26"/>
      <c r="K57" s="26"/>
      <c r="L57" s="26"/>
      <c r="M57" s="26"/>
      <c r="N57" s="26"/>
      <c r="O57" s="26"/>
      <c r="P57" s="26"/>
      <c r="Q57" s="26"/>
    </row>
    <row r="58" spans="2:17">
      <c r="B58" s="27" t="s">
        <v>164</v>
      </c>
      <c r="C58" s="26"/>
      <c r="D58" s="97"/>
      <c r="E58" s="92"/>
      <c r="F58" s="98"/>
      <c r="G58" s="26"/>
      <c r="H58" s="97"/>
      <c r="I58" s="92"/>
      <c r="J58" s="98"/>
      <c r="K58" s="26"/>
      <c r="L58" s="97"/>
      <c r="M58" s="92"/>
      <c r="N58" s="98"/>
      <c r="O58" s="26"/>
      <c r="P58" s="80"/>
      <c r="Q58" s="26"/>
    </row>
    <row r="59" spans="2:17">
      <c r="B59" s="27" t="s">
        <v>165</v>
      </c>
      <c r="C59" s="26"/>
      <c r="D59" s="97"/>
      <c r="E59" s="92"/>
      <c r="F59" s="98"/>
      <c r="G59" s="26"/>
      <c r="H59" s="97"/>
      <c r="I59" s="92"/>
      <c r="J59" s="98"/>
      <c r="K59" s="26"/>
      <c r="L59" s="97"/>
      <c r="M59" s="92"/>
      <c r="N59" s="98"/>
      <c r="O59" s="26"/>
      <c r="P59" s="80"/>
      <c r="Q59" s="26"/>
    </row>
    <row r="60" spans="2:17">
      <c r="B60" s="27" t="s">
        <v>166</v>
      </c>
      <c r="C60" s="26"/>
      <c r="D60" s="97"/>
      <c r="E60" s="92"/>
      <c r="F60" s="98"/>
      <c r="G60" s="26"/>
      <c r="H60" s="97"/>
      <c r="I60" s="92"/>
      <c r="J60" s="98"/>
      <c r="K60" s="26"/>
      <c r="L60" s="97"/>
      <c r="M60" s="92"/>
      <c r="N60" s="98"/>
      <c r="O60" s="26"/>
      <c r="P60" s="80"/>
      <c r="Q60" s="26"/>
    </row>
    <row r="61" spans="2:17">
      <c r="B61" s="27" t="s">
        <v>167</v>
      </c>
      <c r="C61" s="26"/>
      <c r="D61" s="97"/>
      <c r="E61" s="92"/>
      <c r="F61" s="98"/>
      <c r="G61" s="26"/>
      <c r="H61" s="97"/>
      <c r="I61" s="92"/>
      <c r="J61" s="98"/>
      <c r="K61" s="26"/>
      <c r="L61" s="97"/>
      <c r="M61" s="92"/>
      <c r="N61" s="98"/>
      <c r="O61" s="26"/>
      <c r="P61" s="80"/>
      <c r="Q61" s="26"/>
    </row>
    <row r="62" spans="2:17">
      <c r="B62" s="27" t="s">
        <v>168</v>
      </c>
      <c r="C62" s="26"/>
      <c r="D62" s="97"/>
      <c r="E62" s="92"/>
      <c r="F62" s="98"/>
      <c r="G62" s="26"/>
      <c r="H62" s="97"/>
      <c r="I62" s="92"/>
      <c r="J62" s="98"/>
      <c r="K62" s="26"/>
      <c r="L62" s="97"/>
      <c r="M62" s="92"/>
      <c r="N62" s="98"/>
      <c r="O62" s="26"/>
      <c r="P62" s="80"/>
      <c r="Q62" s="26"/>
    </row>
    <row r="63" spans="2:17">
      <c r="B63" s="27" t="s">
        <v>169</v>
      </c>
      <c r="C63" s="26"/>
      <c r="D63" s="97"/>
      <c r="E63" s="92"/>
      <c r="F63" s="98"/>
      <c r="G63" s="26"/>
      <c r="H63" s="97"/>
      <c r="I63" s="92"/>
      <c r="J63" s="98"/>
      <c r="K63" s="26"/>
      <c r="L63" s="97"/>
      <c r="M63" s="92"/>
      <c r="N63" s="98"/>
      <c r="O63" s="26"/>
      <c r="P63" s="80"/>
      <c r="Q63" s="26"/>
    </row>
    <row r="64" spans="2:17">
      <c r="B64" s="27" t="s">
        <v>170</v>
      </c>
      <c r="C64" s="26"/>
      <c r="D64" s="97"/>
      <c r="E64" s="92"/>
      <c r="F64" s="98"/>
      <c r="G64" s="26"/>
      <c r="H64" s="97"/>
      <c r="I64" s="92"/>
      <c r="J64" s="98"/>
      <c r="K64" s="26"/>
      <c r="L64" s="97"/>
      <c r="M64" s="92"/>
      <c r="N64" s="98"/>
      <c r="O64" s="26"/>
      <c r="P64" s="80"/>
      <c r="Q64" s="26"/>
    </row>
    <row r="65" spans="2:17">
      <c r="B65" s="27" t="s">
        <v>171</v>
      </c>
      <c r="C65" s="26"/>
      <c r="D65" s="97"/>
      <c r="E65" s="92"/>
      <c r="F65" s="98"/>
      <c r="G65" s="26"/>
      <c r="H65" s="97"/>
      <c r="I65" s="92"/>
      <c r="J65" s="98"/>
      <c r="K65" s="26"/>
      <c r="L65" s="97"/>
      <c r="M65" s="92"/>
      <c r="N65" s="98"/>
      <c r="O65" s="26"/>
      <c r="P65" s="80"/>
      <c r="Q65" s="26"/>
    </row>
    <row r="66" spans="2:17">
      <c r="B66" s="27" t="s">
        <v>172</v>
      </c>
      <c r="C66" s="26"/>
      <c r="D66" s="97"/>
      <c r="E66" s="92"/>
      <c r="F66" s="98"/>
      <c r="G66" s="26"/>
      <c r="H66" s="97"/>
      <c r="I66" s="92"/>
      <c r="J66" s="98"/>
      <c r="K66" s="26"/>
      <c r="L66" s="97"/>
      <c r="M66" s="92"/>
      <c r="N66" s="98"/>
      <c r="O66" s="26"/>
      <c r="P66" s="80"/>
      <c r="Q66" s="26"/>
    </row>
    <row r="67" spans="2:17">
      <c r="B67" s="27" t="s">
        <v>173</v>
      </c>
      <c r="C67" s="26"/>
      <c r="D67" s="97"/>
      <c r="E67" s="92"/>
      <c r="F67" s="98"/>
      <c r="G67" s="26"/>
      <c r="H67" s="97"/>
      <c r="I67" s="92"/>
      <c r="J67" s="98"/>
      <c r="K67" s="26"/>
      <c r="L67" s="97"/>
      <c r="M67" s="92"/>
      <c r="N67" s="98"/>
      <c r="O67" s="26"/>
      <c r="P67" s="80"/>
      <c r="Q67" s="26"/>
    </row>
    <row r="68" spans="2:17">
      <c r="B68" s="27" t="s">
        <v>174</v>
      </c>
      <c r="C68" s="26"/>
      <c r="D68" s="97"/>
      <c r="E68" s="92"/>
      <c r="F68" s="98"/>
      <c r="G68" s="26"/>
      <c r="H68" s="97"/>
      <c r="I68" s="92"/>
      <c r="J68" s="98"/>
      <c r="K68" s="26"/>
      <c r="L68" s="97"/>
      <c r="M68" s="92"/>
      <c r="N68" s="98"/>
      <c r="O68" s="26"/>
      <c r="P68" s="80"/>
      <c r="Q68" s="26"/>
    </row>
    <row r="69" spans="2:17">
      <c r="B69" s="27" t="s">
        <v>175</v>
      </c>
      <c r="C69" s="26"/>
      <c r="D69" s="97"/>
      <c r="E69" s="92"/>
      <c r="F69" s="98"/>
      <c r="G69" s="26"/>
      <c r="H69" s="97"/>
      <c r="I69" s="92"/>
      <c r="J69" s="98"/>
      <c r="K69" s="26"/>
      <c r="L69" s="97"/>
      <c r="M69" s="92"/>
      <c r="N69" s="98"/>
      <c r="O69" s="26"/>
      <c r="P69" s="80"/>
      <c r="Q69" s="26"/>
    </row>
    <row r="70" spans="2:17">
      <c r="B70" s="26"/>
      <c r="C70" s="26"/>
      <c r="D70" s="26"/>
      <c r="E70" s="26"/>
      <c r="F70" s="26"/>
      <c r="G70" s="26"/>
      <c r="H70" s="26"/>
      <c r="I70" s="26"/>
      <c r="J70" s="26"/>
      <c r="K70" s="26"/>
      <c r="L70" s="26"/>
      <c r="M70" s="26"/>
      <c r="N70" s="26"/>
      <c r="O70" s="26"/>
      <c r="P70" s="26"/>
      <c r="Q70" s="26"/>
    </row>
    <row r="71" spans="2:17" ht="13.9" thickBot="1">
      <c r="B71" s="74" t="s">
        <v>146</v>
      </c>
      <c r="C71" s="26"/>
      <c r="D71" s="81">
        <f>SUM(D58:D69)</f>
        <v>0</v>
      </c>
      <c r="E71" s="82">
        <f>IF(D71&lt;&gt;0,F71/D71,0)</f>
        <v>0</v>
      </c>
      <c r="F71" s="83">
        <f>SUM(F58:F69)</f>
        <v>0</v>
      </c>
      <c r="G71" s="26"/>
      <c r="H71" s="81">
        <f>SUM(H58:H69)</f>
        <v>0</v>
      </c>
      <c r="I71" s="82">
        <f>IF(H71&lt;&gt;0,J71/H71,0)</f>
        <v>0</v>
      </c>
      <c r="J71" s="83">
        <f>SUM(J58:J69)</f>
        <v>0</v>
      </c>
      <c r="K71" s="26"/>
      <c r="L71" s="81">
        <f>SUM(L58:L69)</f>
        <v>0</v>
      </c>
      <c r="M71" s="82">
        <f>IF(L71&lt;&gt;0,N71/L71,0)</f>
        <v>0</v>
      </c>
      <c r="N71" s="83">
        <f>SUM(N58:N69)</f>
        <v>0</v>
      </c>
      <c r="O71" s="26"/>
      <c r="P71" s="83">
        <f>SUM(P58:P69)</f>
        <v>0</v>
      </c>
      <c r="Q71" s="26"/>
    </row>
    <row r="72" spans="2:17">
      <c r="B72" s="26"/>
      <c r="C72" s="26"/>
      <c r="D72" s="26"/>
      <c r="E72" s="26"/>
      <c r="F72" s="26"/>
      <c r="G72" s="26"/>
      <c r="H72" s="26"/>
      <c r="I72" s="26"/>
      <c r="J72" s="26"/>
      <c r="K72" s="26"/>
      <c r="L72" s="26"/>
      <c r="M72" s="26"/>
      <c r="N72" s="26"/>
      <c r="O72" s="26"/>
      <c r="P72" s="26"/>
      <c r="Q72" s="26"/>
    </row>
    <row r="73" spans="2:17">
      <c r="B73" s="71" t="e">
        <f>#REF!</f>
        <v>#REF!</v>
      </c>
      <c r="C73" s="72"/>
      <c r="D73" s="247" t="s">
        <v>128</v>
      </c>
      <c r="E73" s="247"/>
      <c r="F73" s="247"/>
      <c r="G73" s="72"/>
      <c r="H73" s="247" t="s">
        <v>158</v>
      </c>
      <c r="I73" s="247"/>
      <c r="J73" s="247"/>
      <c r="K73" s="72"/>
      <c r="L73" s="247" t="s">
        <v>159</v>
      </c>
      <c r="M73" s="247"/>
      <c r="N73" s="247"/>
      <c r="O73" s="72"/>
      <c r="P73" s="71" t="s">
        <v>160</v>
      </c>
      <c r="Q73" s="26"/>
    </row>
    <row r="74" spans="2:17">
      <c r="B74" s="74"/>
      <c r="C74" s="26"/>
      <c r="D74" s="90"/>
      <c r="E74" s="90"/>
      <c r="F74" s="90"/>
      <c r="G74" s="26"/>
      <c r="H74" s="90"/>
      <c r="I74" s="90"/>
      <c r="J74" s="90"/>
      <c r="K74" s="26"/>
      <c r="L74" s="90"/>
      <c r="M74" s="90"/>
      <c r="N74" s="90"/>
      <c r="O74" s="26"/>
      <c r="P74" s="90"/>
      <c r="Q74" s="26"/>
    </row>
    <row r="75" spans="2:17">
      <c r="B75" s="74" t="s">
        <v>161</v>
      </c>
      <c r="C75" s="26"/>
      <c r="D75" s="90" t="s">
        <v>162</v>
      </c>
      <c r="E75" s="90" t="s">
        <v>100</v>
      </c>
      <c r="F75" s="90" t="s">
        <v>163</v>
      </c>
      <c r="G75" s="26"/>
      <c r="H75" s="90" t="s">
        <v>162</v>
      </c>
      <c r="I75" s="90" t="s">
        <v>100</v>
      </c>
      <c r="J75" s="90" t="s">
        <v>163</v>
      </c>
      <c r="K75" s="26"/>
      <c r="L75" s="90" t="s">
        <v>162</v>
      </c>
      <c r="M75" s="90" t="s">
        <v>100</v>
      </c>
      <c r="N75" s="90" t="s">
        <v>163</v>
      </c>
      <c r="O75" s="26"/>
      <c r="P75" s="90" t="s">
        <v>163</v>
      </c>
      <c r="Q75" s="26"/>
    </row>
    <row r="76" spans="2:17">
      <c r="B76" s="26"/>
      <c r="C76" s="26"/>
      <c r="D76" s="26"/>
      <c r="E76" s="26"/>
      <c r="F76" s="26"/>
      <c r="G76" s="26"/>
      <c r="H76" s="26"/>
      <c r="I76" s="26"/>
      <c r="J76" s="26"/>
      <c r="K76" s="26"/>
      <c r="L76" s="26"/>
      <c r="M76" s="26"/>
      <c r="N76" s="26"/>
      <c r="O76" s="26"/>
      <c r="P76" s="26"/>
      <c r="Q76" s="26"/>
    </row>
    <row r="77" spans="2:17">
      <c r="B77" s="27" t="s">
        <v>164</v>
      </c>
      <c r="C77" s="26"/>
      <c r="D77" s="97"/>
      <c r="E77" s="92"/>
      <c r="F77" s="98"/>
      <c r="G77" s="26"/>
      <c r="H77" s="97"/>
      <c r="I77" s="92"/>
      <c r="J77" s="98"/>
      <c r="K77" s="26"/>
      <c r="L77" s="97"/>
      <c r="M77" s="92"/>
      <c r="N77" s="98"/>
      <c r="O77" s="26"/>
      <c r="P77" s="80"/>
      <c r="Q77" s="26"/>
    </row>
    <row r="78" spans="2:17">
      <c r="B78" s="27" t="s">
        <v>165</v>
      </c>
      <c r="C78" s="26"/>
      <c r="D78" s="97"/>
      <c r="E78" s="92"/>
      <c r="F78" s="98"/>
      <c r="G78" s="26"/>
      <c r="H78" s="97"/>
      <c r="I78" s="92"/>
      <c r="J78" s="98"/>
      <c r="K78" s="26"/>
      <c r="L78" s="97"/>
      <c r="M78" s="92"/>
      <c r="N78" s="98"/>
      <c r="O78" s="26"/>
      <c r="P78" s="80"/>
      <c r="Q78" s="26"/>
    </row>
    <row r="79" spans="2:17">
      <c r="B79" s="27" t="s">
        <v>166</v>
      </c>
      <c r="C79" s="26"/>
      <c r="D79" s="97"/>
      <c r="E79" s="92"/>
      <c r="F79" s="98"/>
      <c r="G79" s="26"/>
      <c r="H79" s="97"/>
      <c r="I79" s="92"/>
      <c r="J79" s="98"/>
      <c r="K79" s="26"/>
      <c r="L79" s="97"/>
      <c r="M79" s="92"/>
      <c r="N79" s="98"/>
      <c r="O79" s="26"/>
      <c r="P79" s="80"/>
      <c r="Q79" s="26"/>
    </row>
    <row r="80" spans="2:17">
      <c r="B80" s="27" t="s">
        <v>167</v>
      </c>
      <c r="C80" s="26"/>
      <c r="D80" s="97"/>
      <c r="E80" s="92"/>
      <c r="F80" s="98"/>
      <c r="G80" s="26"/>
      <c r="H80" s="97"/>
      <c r="I80" s="92"/>
      <c r="J80" s="98"/>
      <c r="K80" s="26"/>
      <c r="L80" s="97"/>
      <c r="M80" s="92"/>
      <c r="N80" s="98"/>
      <c r="O80" s="26"/>
      <c r="P80" s="80"/>
      <c r="Q80" s="26"/>
    </row>
    <row r="81" spans="2:17">
      <c r="B81" s="27" t="s">
        <v>168</v>
      </c>
      <c r="C81" s="26"/>
      <c r="D81" s="97"/>
      <c r="E81" s="92"/>
      <c r="F81" s="98"/>
      <c r="G81" s="26"/>
      <c r="H81" s="97"/>
      <c r="I81" s="92"/>
      <c r="J81" s="98"/>
      <c r="K81" s="26"/>
      <c r="L81" s="97"/>
      <c r="M81" s="92"/>
      <c r="N81" s="98"/>
      <c r="O81" s="26"/>
      <c r="P81" s="80"/>
      <c r="Q81" s="26"/>
    </row>
    <row r="82" spans="2:17">
      <c r="B82" s="27" t="s">
        <v>169</v>
      </c>
      <c r="C82" s="26"/>
      <c r="D82" s="97"/>
      <c r="E82" s="92"/>
      <c r="F82" s="98"/>
      <c r="G82" s="26"/>
      <c r="H82" s="97"/>
      <c r="I82" s="92"/>
      <c r="J82" s="98"/>
      <c r="K82" s="26"/>
      <c r="L82" s="97"/>
      <c r="M82" s="92"/>
      <c r="N82" s="98"/>
      <c r="O82" s="26"/>
      <c r="P82" s="80"/>
      <c r="Q82" s="26"/>
    </row>
    <row r="83" spans="2:17">
      <c r="B83" s="27" t="s">
        <v>170</v>
      </c>
      <c r="C83" s="26"/>
      <c r="D83" s="97"/>
      <c r="E83" s="92"/>
      <c r="F83" s="98"/>
      <c r="G83" s="26"/>
      <c r="H83" s="97"/>
      <c r="I83" s="92"/>
      <c r="J83" s="98"/>
      <c r="K83" s="26"/>
      <c r="L83" s="97"/>
      <c r="M83" s="92"/>
      <c r="N83" s="98"/>
      <c r="O83" s="26"/>
      <c r="P83" s="80"/>
      <c r="Q83" s="26"/>
    </row>
    <row r="84" spans="2:17">
      <c r="B84" s="27" t="s">
        <v>171</v>
      </c>
      <c r="C84" s="26"/>
      <c r="D84" s="97"/>
      <c r="E84" s="92"/>
      <c r="F84" s="98"/>
      <c r="G84" s="26"/>
      <c r="H84" s="97"/>
      <c r="I84" s="92"/>
      <c r="J84" s="98"/>
      <c r="K84" s="26"/>
      <c r="L84" s="97"/>
      <c r="M84" s="92"/>
      <c r="N84" s="98"/>
      <c r="O84" s="26"/>
      <c r="P84" s="80"/>
      <c r="Q84" s="26"/>
    </row>
    <row r="85" spans="2:17">
      <c r="B85" s="27" t="s">
        <v>172</v>
      </c>
      <c r="C85" s="26"/>
      <c r="D85" s="97"/>
      <c r="E85" s="92"/>
      <c r="F85" s="98"/>
      <c r="G85" s="26"/>
      <c r="H85" s="97"/>
      <c r="I85" s="92"/>
      <c r="J85" s="98"/>
      <c r="K85" s="26"/>
      <c r="L85" s="97"/>
      <c r="M85" s="92"/>
      <c r="N85" s="98"/>
      <c r="O85" s="26"/>
      <c r="P85" s="80"/>
      <c r="Q85" s="26"/>
    </row>
    <row r="86" spans="2:17">
      <c r="B86" s="27" t="s">
        <v>173</v>
      </c>
      <c r="C86" s="26"/>
      <c r="D86" s="97"/>
      <c r="E86" s="92"/>
      <c r="F86" s="98"/>
      <c r="G86" s="26"/>
      <c r="H86" s="97"/>
      <c r="I86" s="92"/>
      <c r="J86" s="98"/>
      <c r="K86" s="26"/>
      <c r="L86" s="97"/>
      <c r="M86" s="92"/>
      <c r="N86" s="98"/>
      <c r="O86" s="26"/>
      <c r="P86" s="80"/>
      <c r="Q86" s="26"/>
    </row>
    <row r="87" spans="2:17">
      <c r="B87" s="27" t="s">
        <v>174</v>
      </c>
      <c r="C87" s="26"/>
      <c r="D87" s="97"/>
      <c r="E87" s="92"/>
      <c r="F87" s="98"/>
      <c r="G87" s="26"/>
      <c r="H87" s="97"/>
      <c r="I87" s="92"/>
      <c r="J87" s="98"/>
      <c r="K87" s="26"/>
      <c r="L87" s="97"/>
      <c r="M87" s="92"/>
      <c r="N87" s="98"/>
      <c r="O87" s="26"/>
      <c r="P87" s="80"/>
      <c r="Q87" s="26"/>
    </row>
    <row r="88" spans="2:17">
      <c r="B88" s="27" t="s">
        <v>175</v>
      </c>
      <c r="C88" s="26"/>
      <c r="D88" s="97"/>
      <c r="E88" s="92"/>
      <c r="F88" s="98"/>
      <c r="G88" s="26"/>
      <c r="H88" s="97"/>
      <c r="I88" s="92"/>
      <c r="J88" s="98"/>
      <c r="K88" s="26"/>
      <c r="L88" s="97"/>
      <c r="M88" s="92"/>
      <c r="N88" s="98"/>
      <c r="O88" s="26"/>
      <c r="P88" s="80"/>
      <c r="Q88" s="26"/>
    </row>
    <row r="89" spans="2:17">
      <c r="B89" s="26"/>
      <c r="C89" s="26"/>
      <c r="D89" s="26"/>
      <c r="E89" s="26"/>
      <c r="F89" s="26"/>
      <c r="G89" s="26"/>
      <c r="H89" s="26"/>
      <c r="I89" s="26"/>
      <c r="J89" s="26"/>
      <c r="K89" s="26"/>
      <c r="L89" s="26"/>
      <c r="M89" s="26"/>
      <c r="N89" s="26"/>
      <c r="O89" s="26"/>
      <c r="P89" s="26"/>
      <c r="Q89" s="26"/>
    </row>
    <row r="90" spans="2:17" ht="13.9" thickBot="1">
      <c r="B90" s="74" t="s">
        <v>146</v>
      </c>
      <c r="C90" s="26"/>
      <c r="D90" s="81">
        <f>SUM(D77:D88)</f>
        <v>0</v>
      </c>
      <c r="E90" s="82">
        <f>IF(D90&lt;&gt;0,F90/D90,0)</f>
        <v>0</v>
      </c>
      <c r="F90" s="83">
        <f>SUM(F77:F88)</f>
        <v>0</v>
      </c>
      <c r="G90" s="26"/>
      <c r="H90" s="81">
        <f>SUM(H77:H88)</f>
        <v>0</v>
      </c>
      <c r="I90" s="82">
        <f>IF(H90&lt;&gt;0,J90/H90,0)</f>
        <v>0</v>
      </c>
      <c r="J90" s="83">
        <f>SUM(J77:J88)</f>
        <v>0</v>
      </c>
      <c r="K90" s="26"/>
      <c r="L90" s="81">
        <f>SUM(L77:L88)</f>
        <v>0</v>
      </c>
      <c r="M90" s="82">
        <f>IF(L90&lt;&gt;0,N90/L90,0)</f>
        <v>0</v>
      </c>
      <c r="N90" s="83">
        <f>SUM(N77:N88)</f>
        <v>0</v>
      </c>
      <c r="O90" s="26"/>
      <c r="P90" s="83">
        <f>SUM(P77:P88)</f>
        <v>0</v>
      </c>
      <c r="Q90" s="26"/>
    </row>
    <row r="91" spans="2:17">
      <c r="B91" s="26"/>
      <c r="C91" s="26"/>
      <c r="D91" s="26"/>
      <c r="E91" s="26"/>
      <c r="F91" s="26"/>
      <c r="G91" s="26"/>
      <c r="H91" s="26"/>
      <c r="I91" s="26"/>
      <c r="J91" s="26"/>
      <c r="K91" s="26"/>
      <c r="L91" s="26"/>
      <c r="M91" s="26"/>
      <c r="N91" s="26"/>
      <c r="O91" s="26"/>
      <c r="P91" s="26"/>
      <c r="Q91" s="26"/>
    </row>
    <row r="92" spans="2:17">
      <c r="B92" s="71" t="s">
        <v>146</v>
      </c>
      <c r="C92" s="72"/>
      <c r="D92" s="247" t="s">
        <v>128</v>
      </c>
      <c r="E92" s="247"/>
      <c r="F92" s="247"/>
      <c r="G92" s="72"/>
      <c r="H92" s="247" t="s">
        <v>158</v>
      </c>
      <c r="I92" s="247"/>
      <c r="J92" s="247"/>
      <c r="K92" s="72"/>
      <c r="L92" s="247" t="s">
        <v>159</v>
      </c>
      <c r="M92" s="247"/>
      <c r="N92" s="247"/>
      <c r="O92" s="72"/>
      <c r="P92" s="71" t="s">
        <v>160</v>
      </c>
      <c r="Q92" s="26"/>
    </row>
    <row r="93" spans="2:17">
      <c r="B93" s="26"/>
      <c r="C93" s="26"/>
      <c r="D93" s="248"/>
      <c r="E93" s="248"/>
      <c r="F93" s="248"/>
      <c r="G93" s="26"/>
      <c r="H93" s="248"/>
      <c r="I93" s="248"/>
      <c r="J93" s="248"/>
      <c r="K93" s="26"/>
      <c r="L93" s="248"/>
      <c r="M93" s="248"/>
      <c r="N93" s="248"/>
      <c r="O93" s="26"/>
      <c r="P93" s="90"/>
      <c r="Q93" s="26"/>
    </row>
    <row r="94" spans="2:17">
      <c r="B94" s="74" t="s">
        <v>161</v>
      </c>
      <c r="C94" s="26"/>
      <c r="D94" s="90" t="s">
        <v>162</v>
      </c>
      <c r="E94" s="90" t="s">
        <v>100</v>
      </c>
      <c r="F94" s="90" t="s">
        <v>163</v>
      </c>
      <c r="G94" s="26"/>
      <c r="H94" s="90" t="s">
        <v>162</v>
      </c>
      <c r="I94" s="90" t="s">
        <v>100</v>
      </c>
      <c r="J94" s="90" t="s">
        <v>163</v>
      </c>
      <c r="K94" s="26"/>
      <c r="L94" s="90" t="s">
        <v>162</v>
      </c>
      <c r="M94" s="90" t="s">
        <v>100</v>
      </c>
      <c r="N94" s="90" t="s">
        <v>163</v>
      </c>
      <c r="O94" s="26"/>
      <c r="P94" s="90" t="s">
        <v>163</v>
      </c>
      <c r="Q94" s="26"/>
    </row>
    <row r="95" spans="2:17">
      <c r="B95" s="26"/>
      <c r="C95" s="26"/>
      <c r="D95" s="26"/>
      <c r="E95" s="26"/>
      <c r="F95" s="26"/>
      <c r="G95" s="26"/>
      <c r="H95" s="26"/>
      <c r="I95" s="26"/>
      <c r="J95" s="26"/>
      <c r="K95" s="26"/>
      <c r="L95" s="26"/>
      <c r="M95" s="26"/>
      <c r="N95" s="26"/>
      <c r="O95" s="26"/>
      <c r="P95" s="26"/>
      <c r="Q95" s="26"/>
    </row>
    <row r="96" spans="2:17">
      <c r="B96" s="27" t="s">
        <v>164</v>
      </c>
      <c r="C96" s="26"/>
      <c r="D96" s="91">
        <f>D20+D39+D58+D77</f>
        <v>673235.05977671081</v>
      </c>
      <c r="E96" s="92">
        <f t="shared" ref="E96:E107" si="14">IF(D96&lt;&gt;0,F96/D96,0)</f>
        <v>7.8895744058007455</v>
      </c>
      <c r="F96" s="80">
        <f>F20+F39+F58+F77</f>
        <v>5311538.0967020728</v>
      </c>
      <c r="G96" s="26"/>
      <c r="H96" s="91">
        <f>H20+H39+H58+H77</f>
        <v>471467.99407114787</v>
      </c>
      <c r="I96" s="92">
        <f t="shared" ref="I96:I107" si="15">IF(H96&lt;&gt;0,J96/H96,0)</f>
        <v>1.0953198904056856</v>
      </c>
      <c r="J96" s="80">
        <f>J20+J39+J58+J77</f>
        <v>516408.27159579808</v>
      </c>
      <c r="K96" s="26"/>
      <c r="L96" s="91">
        <f>L20+L39+L58+L77</f>
        <v>713742.88710610359</v>
      </c>
      <c r="M96" s="92">
        <f t="shared" ref="M96:M107" si="16">IF(L96&lt;&gt;0,N96/L96,0)</f>
        <v>4.6269552165420524</v>
      </c>
      <c r="N96" s="80">
        <f>N20+N39+N58+N77</f>
        <v>3302456.3747653714</v>
      </c>
      <c r="O96" s="26"/>
      <c r="P96" s="80">
        <f t="shared" ref="P96:P107" si="17">J96+N96</f>
        <v>3818864.6463611694</v>
      </c>
      <c r="Q96" s="26"/>
    </row>
    <row r="97" spans="2:17">
      <c r="B97" s="27" t="s">
        <v>165</v>
      </c>
      <c r="C97" s="26"/>
      <c r="D97" s="91">
        <f t="shared" ref="D97:D107" si="18">D21+D40+D59+D78</f>
        <v>666613.644182964</v>
      </c>
      <c r="E97" s="92">
        <f t="shared" si="14"/>
        <v>7.8837018691086422</v>
      </c>
      <c r="F97" s="80">
        <f t="shared" ref="F97:F107" si="19">F21+F40+F59+F78</f>
        <v>5255383.2326185564</v>
      </c>
      <c r="G97" s="26"/>
      <c r="H97" s="91">
        <f t="shared" ref="H97:H107" si="20">H21+H40+H59+H78</f>
        <v>457098.54035457619</v>
      </c>
      <c r="I97" s="92">
        <f t="shared" si="15"/>
        <v>1.1093230839412349</v>
      </c>
      <c r="J97" s="80">
        <f t="shared" ref="J97:J107" si="21">J21+J40+J59+J78</f>
        <v>507069.9624511755</v>
      </c>
      <c r="K97" s="26"/>
      <c r="L97" s="91">
        <f t="shared" ref="L97:L107" si="22">L21+L40+L59+L78</f>
        <v>690331.22726771177</v>
      </c>
      <c r="M97" s="92">
        <f t="shared" si="16"/>
        <v>4.6260830899614351</v>
      </c>
      <c r="N97" s="80">
        <f t="shared" ref="N97:N107" si="23">N21+N40+N59+N78</f>
        <v>3193529.616935486</v>
      </c>
      <c r="O97" s="26"/>
      <c r="P97" s="80">
        <f t="shared" si="17"/>
        <v>3700599.5793866613</v>
      </c>
      <c r="Q97" s="26"/>
    </row>
    <row r="98" spans="2:17">
      <c r="B98" s="27" t="s">
        <v>166</v>
      </c>
      <c r="C98" s="26"/>
      <c r="D98" s="91">
        <f t="shared" si="18"/>
        <v>611031.04268326575</v>
      </c>
      <c r="E98" s="92">
        <f t="shared" si="14"/>
        <v>7.9307506693875567</v>
      </c>
      <c r="F98" s="80">
        <f t="shared" si="19"/>
        <v>4845934.8507768866</v>
      </c>
      <c r="G98" s="26"/>
      <c r="H98" s="91">
        <f t="shared" si="20"/>
        <v>412179.8966680037</v>
      </c>
      <c r="I98" s="92">
        <f t="shared" si="15"/>
        <v>1.1203323726887171</v>
      </c>
      <c r="J98" s="80">
        <f t="shared" si="21"/>
        <v>461778.48160865478</v>
      </c>
      <c r="K98" s="26"/>
      <c r="L98" s="91">
        <f t="shared" si="22"/>
        <v>625747.8899142947</v>
      </c>
      <c r="M98" s="92">
        <f t="shared" si="16"/>
        <v>4.6222511645199829</v>
      </c>
      <c r="N98" s="80">
        <f t="shared" si="23"/>
        <v>2892363.9128522705</v>
      </c>
      <c r="O98" s="26"/>
      <c r="P98" s="80">
        <f t="shared" si="17"/>
        <v>3354142.3944609254</v>
      </c>
      <c r="Q98" s="26"/>
    </row>
    <row r="99" spans="2:17">
      <c r="B99" s="27" t="s">
        <v>167</v>
      </c>
      <c r="C99" s="26"/>
      <c r="D99" s="91">
        <f t="shared" si="18"/>
        <v>569944.79648113996</v>
      </c>
      <c r="E99" s="92">
        <f t="shared" si="14"/>
        <v>7.9605503305141285</v>
      </c>
      <c r="F99" s="80">
        <f t="shared" si="19"/>
        <v>4537074.2380027464</v>
      </c>
      <c r="G99" s="26"/>
      <c r="H99" s="91">
        <f t="shared" si="20"/>
        <v>384195.95063539455</v>
      </c>
      <c r="I99" s="92">
        <f t="shared" si="15"/>
        <v>1.1252145365934552</v>
      </c>
      <c r="J99" s="80">
        <f t="shared" si="21"/>
        <v>432302.86855528748</v>
      </c>
      <c r="K99" s="26"/>
      <c r="L99" s="91">
        <f t="shared" si="22"/>
        <v>577376.18006735074</v>
      </c>
      <c r="M99" s="92">
        <f t="shared" si="16"/>
        <v>4.619589443231134</v>
      </c>
      <c r="N99" s="80">
        <f t="shared" si="23"/>
        <v>2667240.9062122516</v>
      </c>
      <c r="O99" s="26"/>
      <c r="P99" s="80">
        <f t="shared" si="17"/>
        <v>3099543.774767539</v>
      </c>
      <c r="Q99" s="26"/>
    </row>
    <row r="100" spans="2:17">
      <c r="B100" s="27" t="s">
        <v>168</v>
      </c>
      <c r="C100" s="26"/>
      <c r="D100" s="91">
        <f t="shared" si="18"/>
        <v>686018.79659008817</v>
      </c>
      <c r="E100" s="92">
        <f t="shared" si="14"/>
        <v>7.9751372175940647</v>
      </c>
      <c r="F100" s="80">
        <f t="shared" si="19"/>
        <v>5471094.0366547043</v>
      </c>
      <c r="G100" s="26"/>
      <c r="H100" s="91">
        <f t="shared" si="20"/>
        <v>463685.24802256457</v>
      </c>
      <c r="I100" s="92">
        <f t="shared" si="15"/>
        <v>1.1459468852549417</v>
      </c>
      <c r="J100" s="80">
        <f t="shared" si="21"/>
        <v>531358.66571012302</v>
      </c>
      <c r="K100" s="26"/>
      <c r="L100" s="91">
        <f t="shared" si="22"/>
        <v>701211.7895403828</v>
      </c>
      <c r="M100" s="92">
        <f t="shared" si="16"/>
        <v>4.6167548244238974</v>
      </c>
      <c r="N100" s="80">
        <f t="shared" si="23"/>
        <v>3237322.9123034766</v>
      </c>
      <c r="O100" s="26"/>
      <c r="P100" s="80">
        <f t="shared" si="17"/>
        <v>3768681.5780135999</v>
      </c>
      <c r="Q100" s="26"/>
    </row>
    <row r="101" spans="2:17">
      <c r="B101" s="27" t="s">
        <v>169</v>
      </c>
      <c r="C101" s="26"/>
      <c r="D101" s="91">
        <f t="shared" si="18"/>
        <v>823368.26634491642</v>
      </c>
      <c r="E101" s="92">
        <f t="shared" si="14"/>
        <v>7.9372326919552636</v>
      </c>
      <c r="F101" s="80">
        <f t="shared" si="19"/>
        <v>6535265.5211513992</v>
      </c>
      <c r="G101" s="26"/>
      <c r="H101" s="91">
        <f t="shared" si="20"/>
        <v>603506.49939290667</v>
      </c>
      <c r="I101" s="92">
        <f t="shared" si="15"/>
        <v>1.1368470309295096</v>
      </c>
      <c r="J101" s="80">
        <f t="shared" si="21"/>
        <v>686094.5719814878</v>
      </c>
      <c r="K101" s="26"/>
      <c r="L101" s="91">
        <f t="shared" si="22"/>
        <v>865083.45694147819</v>
      </c>
      <c r="M101" s="92">
        <f t="shared" si="16"/>
        <v>4.619505231864073</v>
      </c>
      <c r="N101" s="80">
        <f t="shared" si="23"/>
        <v>3996257.555340217</v>
      </c>
      <c r="O101" s="26"/>
      <c r="P101" s="80">
        <f t="shared" si="17"/>
        <v>4682352.1273217052</v>
      </c>
      <c r="Q101" s="26"/>
    </row>
    <row r="102" spans="2:17">
      <c r="B102" s="27" t="s">
        <v>170</v>
      </c>
      <c r="C102" s="26"/>
      <c r="D102" s="91">
        <f t="shared" si="18"/>
        <v>849921.93623506348</v>
      </c>
      <c r="E102" s="92">
        <f t="shared" si="14"/>
        <v>7.9789067120874275</v>
      </c>
      <c r="F102" s="80">
        <f t="shared" si="19"/>
        <v>6781447.8417762909</v>
      </c>
      <c r="G102" s="26"/>
      <c r="H102" s="91">
        <f t="shared" si="20"/>
        <v>594526.14367936295</v>
      </c>
      <c r="I102" s="92">
        <f t="shared" si="15"/>
        <v>1.1500814228380225</v>
      </c>
      <c r="J102" s="80">
        <f t="shared" si="21"/>
        <v>683753.47323716432</v>
      </c>
      <c r="K102" s="26"/>
      <c r="L102" s="91">
        <f t="shared" si="22"/>
        <v>864058.17643439118</v>
      </c>
      <c r="M102" s="92">
        <f t="shared" si="16"/>
        <v>4.6163128710252144</v>
      </c>
      <c r="N102" s="80">
        <f t="shared" si="23"/>
        <v>3988762.8811886557</v>
      </c>
      <c r="O102" s="26"/>
      <c r="P102" s="80">
        <f t="shared" si="17"/>
        <v>4672516.3544258196</v>
      </c>
      <c r="Q102" s="26"/>
    </row>
    <row r="103" spans="2:17">
      <c r="B103" s="27" t="s">
        <v>171</v>
      </c>
      <c r="C103" s="26"/>
      <c r="D103" s="91">
        <f t="shared" si="18"/>
        <v>867362.11024977849</v>
      </c>
      <c r="E103" s="92">
        <f t="shared" si="14"/>
        <v>7.9440841740222341</v>
      </c>
      <c r="F103" s="80">
        <f t="shared" si="19"/>
        <v>6890397.6131817931</v>
      </c>
      <c r="G103" s="26"/>
      <c r="H103" s="91">
        <f t="shared" si="20"/>
        <v>577675.01507534785</v>
      </c>
      <c r="I103" s="92">
        <f t="shared" si="15"/>
        <v>1.1496337883226386</v>
      </c>
      <c r="J103" s="80">
        <f t="shared" si="21"/>
        <v>664114.71600040956</v>
      </c>
      <c r="K103" s="26"/>
      <c r="L103" s="91">
        <f t="shared" si="22"/>
        <v>890470.13975307334</v>
      </c>
      <c r="M103" s="92">
        <f t="shared" si="16"/>
        <v>4.6201621338915828</v>
      </c>
      <c r="N103" s="80">
        <f t="shared" si="23"/>
        <v>4114116.4210482952</v>
      </c>
      <c r="O103" s="26"/>
      <c r="P103" s="80">
        <f t="shared" si="17"/>
        <v>4778231.1370487045</v>
      </c>
      <c r="Q103" s="26"/>
    </row>
    <row r="104" spans="2:17">
      <c r="B104" s="27" t="s">
        <v>172</v>
      </c>
      <c r="C104" s="26"/>
      <c r="D104" s="91">
        <f t="shared" si="18"/>
        <v>741072.80639014905</v>
      </c>
      <c r="E104" s="92">
        <f t="shared" si="14"/>
        <v>7.9563846921638124</v>
      </c>
      <c r="F104" s="80">
        <f t="shared" si="19"/>
        <v>5896260.3325414583</v>
      </c>
      <c r="G104" s="26"/>
      <c r="H104" s="91">
        <f t="shared" si="20"/>
        <v>483459.19832894451</v>
      </c>
      <c r="I104" s="92">
        <f t="shared" si="15"/>
        <v>1.1438643939092221</v>
      </c>
      <c r="J104" s="80">
        <f t="shared" si="21"/>
        <v>553011.76287637651</v>
      </c>
      <c r="K104" s="26"/>
      <c r="L104" s="91">
        <f t="shared" si="22"/>
        <v>743853.99135590973</v>
      </c>
      <c r="M104" s="92">
        <f t="shared" si="16"/>
        <v>4.6197340266191702</v>
      </c>
      <c r="N104" s="80">
        <f t="shared" si="23"/>
        <v>3436407.5947033782</v>
      </c>
      <c r="O104" s="26"/>
      <c r="P104" s="80">
        <f t="shared" si="17"/>
        <v>3989419.3575797547</v>
      </c>
      <c r="Q104" s="26"/>
    </row>
    <row r="105" spans="2:17">
      <c r="B105" s="27" t="s">
        <v>173</v>
      </c>
      <c r="C105" s="26"/>
      <c r="D105" s="91">
        <f t="shared" si="18"/>
        <v>613977.84102113091</v>
      </c>
      <c r="E105" s="92">
        <f t="shared" si="14"/>
        <v>7.9481986392470656</v>
      </c>
      <c r="F105" s="80">
        <f t="shared" si="19"/>
        <v>4880017.8405320039</v>
      </c>
      <c r="G105" s="26"/>
      <c r="H105" s="91">
        <f t="shared" si="20"/>
        <v>460867.85368154105</v>
      </c>
      <c r="I105" s="92">
        <f t="shared" si="15"/>
        <v>1.1649817834687397</v>
      </c>
      <c r="J105" s="80">
        <f t="shared" si="21"/>
        <v>536902.6541253319</v>
      </c>
      <c r="K105" s="26"/>
      <c r="L105" s="91">
        <f t="shared" si="22"/>
        <v>634067.82898952242</v>
      </c>
      <c r="M105" s="92">
        <f t="shared" si="16"/>
        <v>4.6193950148884282</v>
      </c>
      <c r="N105" s="80">
        <f t="shared" si="23"/>
        <v>2929009.7683353284</v>
      </c>
      <c r="O105" s="26"/>
      <c r="P105" s="80">
        <f t="shared" si="17"/>
        <v>3465912.4224606603</v>
      </c>
      <c r="Q105" s="26"/>
    </row>
    <row r="106" spans="2:17">
      <c r="B106" s="27" t="s">
        <v>174</v>
      </c>
      <c r="C106" s="26"/>
      <c r="D106" s="91">
        <f t="shared" si="18"/>
        <v>623009.7697792874</v>
      </c>
      <c r="E106" s="92">
        <f t="shared" si="14"/>
        <v>7.9118402341478458</v>
      </c>
      <c r="F106" s="80">
        <f t="shared" si="19"/>
        <v>4929153.7628069529</v>
      </c>
      <c r="G106" s="26"/>
      <c r="H106" s="91">
        <f t="shared" si="20"/>
        <v>421702.61318788212</v>
      </c>
      <c r="I106" s="92">
        <f t="shared" si="15"/>
        <v>1.1247401679004201</v>
      </c>
      <c r="J106" s="80">
        <f t="shared" si="21"/>
        <v>474305.86796098447</v>
      </c>
      <c r="K106" s="26"/>
      <c r="L106" s="91">
        <f t="shared" si="22"/>
        <v>605898.56451495318</v>
      </c>
      <c r="M106" s="92">
        <f t="shared" si="16"/>
        <v>4.627497497508406</v>
      </c>
      <c r="N106" s="80">
        <f t="shared" si="23"/>
        <v>2803794.0910368813</v>
      </c>
      <c r="O106" s="26"/>
      <c r="P106" s="80">
        <f t="shared" si="17"/>
        <v>3278099.9589978657</v>
      </c>
      <c r="Q106" s="26"/>
    </row>
    <row r="107" spans="2:17">
      <c r="B107" s="27" t="s">
        <v>175</v>
      </c>
      <c r="C107" s="26"/>
      <c r="D107" s="91">
        <f t="shared" si="18"/>
        <v>661846.37905772566</v>
      </c>
      <c r="E107" s="92">
        <f t="shared" si="14"/>
        <v>7.9287260813124707</v>
      </c>
      <c r="F107" s="80">
        <f t="shared" si="19"/>
        <v>5247598.6474572094</v>
      </c>
      <c r="G107" s="26"/>
      <c r="H107" s="91">
        <f t="shared" si="20"/>
        <v>486520.24649888382</v>
      </c>
      <c r="I107" s="92">
        <f t="shared" si="15"/>
        <v>1.138288721777156</v>
      </c>
      <c r="J107" s="80">
        <f t="shared" si="21"/>
        <v>553800.50950592128</v>
      </c>
      <c r="K107" s="26"/>
      <c r="L107" s="91">
        <f t="shared" si="22"/>
        <v>667650.62202921463</v>
      </c>
      <c r="M107" s="92">
        <f t="shared" si="16"/>
        <v>4.623770135627904</v>
      </c>
      <c r="N107" s="80">
        <f t="shared" si="23"/>
        <v>3087063.007172076</v>
      </c>
      <c r="O107" s="26"/>
      <c r="P107" s="80">
        <f t="shared" si="17"/>
        <v>3640863.5166779971</v>
      </c>
      <c r="Q107" s="26"/>
    </row>
    <row r="108" spans="2:17">
      <c r="B108" s="26"/>
      <c r="C108" s="26"/>
      <c r="D108" s="26"/>
      <c r="E108" s="26"/>
      <c r="F108" s="26"/>
      <c r="G108" s="26"/>
      <c r="H108" s="26"/>
      <c r="I108" s="26"/>
      <c r="J108" s="26"/>
      <c r="K108" s="26"/>
      <c r="L108" s="26"/>
      <c r="M108" s="26"/>
      <c r="N108" s="26"/>
      <c r="O108" s="26"/>
      <c r="P108" s="80"/>
      <c r="Q108" s="26"/>
    </row>
    <row r="109" spans="2:17" ht="13.9" thickBot="1">
      <c r="B109" s="74" t="s">
        <v>146</v>
      </c>
      <c r="C109" s="26"/>
      <c r="D109" s="81">
        <f>SUM(D96:D107)</f>
        <v>8387402.4487922201</v>
      </c>
      <c r="E109" s="82">
        <f>IF(D109&lt;&gt;0,F109/D109,0)</f>
        <v>7.9382343247151228</v>
      </c>
      <c r="F109" s="83">
        <f>SUM(F96:F107)</f>
        <v>66581166.014202073</v>
      </c>
      <c r="G109" s="26"/>
      <c r="H109" s="81">
        <f>SUM(H96:H107)</f>
        <v>5816885.1995965559</v>
      </c>
      <c r="I109" s="82">
        <f>IF(H109&lt;&gt;0,J109/H109,0)</f>
        <v>1.1347828913774225</v>
      </c>
      <c r="J109" s="83">
        <f>SUM(J96:J107)</f>
        <v>6600901.8056087149</v>
      </c>
      <c r="K109" s="26"/>
      <c r="L109" s="81">
        <f>SUM(L96:L107)</f>
        <v>8579492.753914386</v>
      </c>
      <c r="M109" s="82">
        <f>IF(L109&lt;&gt;0,N109/L109,0)</f>
        <v>4.6212901134282296</v>
      </c>
      <c r="N109" s="83">
        <f>SUM(N96:N107)</f>
        <v>39648325.041893683</v>
      </c>
      <c r="O109" s="26"/>
      <c r="P109" s="83">
        <f>SUM(P96:P107)</f>
        <v>46249226.847502403</v>
      </c>
      <c r="Q109" s="26"/>
    </row>
    <row r="111" spans="2:17">
      <c r="N111" s="94" t="s">
        <v>180</v>
      </c>
      <c r="P111" s="95"/>
    </row>
    <row r="113" spans="14:16" ht="13.9" thickBot="1">
      <c r="N113" s="96" t="s">
        <v>181</v>
      </c>
      <c r="P113" s="83">
        <f>P109+P111</f>
        <v>46249226.847502403</v>
      </c>
    </row>
  </sheetData>
  <mergeCells count="22">
    <mergeCell ref="D93:F93"/>
    <mergeCell ref="H93:J93"/>
    <mergeCell ref="L93:N93"/>
    <mergeCell ref="D73:F73"/>
    <mergeCell ref="H73:J73"/>
    <mergeCell ref="L73:N73"/>
    <mergeCell ref="D92:F92"/>
    <mergeCell ref="H92:J92"/>
    <mergeCell ref="L92:N92"/>
    <mergeCell ref="D35:F35"/>
    <mergeCell ref="H35:J35"/>
    <mergeCell ref="L35:N35"/>
    <mergeCell ref="D54:F54"/>
    <mergeCell ref="H54:J54"/>
    <mergeCell ref="L54:N54"/>
    <mergeCell ref="B13:P13"/>
    <mergeCell ref="D16:F16"/>
    <mergeCell ref="H16:J16"/>
    <mergeCell ref="L16:N16"/>
    <mergeCell ref="D17:F17"/>
    <mergeCell ref="H17:J17"/>
    <mergeCell ref="L17:N1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7763A-6430-44BC-A16A-ECD88C5AB92C}">
  <dimension ref="A3:M49"/>
  <sheetViews>
    <sheetView topLeftCell="A7" workbookViewId="0">
      <selection activeCell="F15" sqref="F15"/>
    </sheetView>
  </sheetViews>
  <sheetFormatPr defaultColWidth="9.28515625" defaultRowHeight="13.15"/>
  <cols>
    <col min="1" max="1" width="56.7109375" style="1" customWidth="1"/>
    <col min="2" max="2" width="79.7109375" style="1" customWidth="1"/>
    <col min="3" max="3" width="9.28515625" style="99"/>
    <col min="4" max="4" width="16.28515625" style="99" customWidth="1"/>
    <col min="5" max="5" width="17.42578125" style="99" customWidth="1"/>
    <col min="6" max="6" width="16.28515625" style="99" customWidth="1"/>
    <col min="7" max="7" width="14.5703125" style="99" customWidth="1"/>
    <col min="8" max="8" width="11.5703125" style="99" customWidth="1"/>
    <col min="9" max="9" width="14.28515625" style="99" customWidth="1"/>
    <col min="10" max="10" width="14.42578125" style="99" customWidth="1"/>
    <col min="11" max="11" width="9.28515625" style="1"/>
    <col min="12" max="12" width="14.28515625" style="1" customWidth="1"/>
    <col min="13" max="13" width="12.140625" style="1" customWidth="1"/>
    <col min="14" max="16384" width="9.28515625" style="1"/>
  </cols>
  <sheetData>
    <row r="3" spans="1:13">
      <c r="D3" s="100"/>
      <c r="E3" s="101"/>
      <c r="F3" s="101"/>
      <c r="G3" s="101"/>
      <c r="H3" s="102"/>
      <c r="I3" s="101"/>
      <c r="J3" s="100"/>
    </row>
    <row r="4" spans="1:13">
      <c r="D4" s="100"/>
      <c r="E4" s="101"/>
      <c r="F4" s="101"/>
      <c r="G4" s="101"/>
      <c r="H4" s="102"/>
      <c r="I4" s="101"/>
      <c r="J4" s="100"/>
    </row>
    <row r="5" spans="1:13">
      <c r="D5" s="100"/>
      <c r="E5" s="101"/>
      <c r="F5" s="101"/>
      <c r="G5" s="101"/>
      <c r="H5" s="102"/>
      <c r="I5" s="101"/>
      <c r="J5" s="100"/>
    </row>
    <row r="6" spans="1:13">
      <c r="D6" s="100"/>
      <c r="E6" s="101"/>
      <c r="F6" s="101"/>
      <c r="G6" s="101"/>
      <c r="H6" s="102"/>
      <c r="I6" s="101"/>
      <c r="J6" s="100"/>
    </row>
    <row r="7" spans="1:13">
      <c r="D7" s="100"/>
      <c r="E7" s="101"/>
      <c r="F7" s="101"/>
      <c r="G7" s="101"/>
      <c r="H7" s="102"/>
      <c r="I7" s="101"/>
      <c r="J7" s="100"/>
    </row>
    <row r="8" spans="1:13">
      <c r="D8" s="100"/>
      <c r="E8" s="101"/>
      <c r="F8" s="101"/>
      <c r="G8" s="101"/>
      <c r="H8" s="102"/>
      <c r="I8" s="101"/>
      <c r="J8" s="100"/>
    </row>
    <row r="9" spans="1:13">
      <c r="D9" s="100"/>
      <c r="E9" s="101"/>
      <c r="F9" s="101"/>
      <c r="G9" s="101"/>
      <c r="H9" s="102"/>
      <c r="I9" s="101"/>
      <c r="J9" s="100"/>
    </row>
    <row r="10" spans="1:13">
      <c r="D10" s="100"/>
      <c r="E10" s="101"/>
      <c r="F10" s="101"/>
      <c r="G10" s="101"/>
      <c r="H10" s="102"/>
      <c r="I10" s="101"/>
      <c r="J10" s="100"/>
    </row>
    <row r="11" spans="1:13">
      <c r="D11" s="100"/>
      <c r="E11" s="101"/>
      <c r="F11" s="101"/>
      <c r="G11" s="101"/>
      <c r="H11" s="102"/>
      <c r="I11" s="101"/>
      <c r="J11" s="100"/>
    </row>
    <row r="12" spans="1:13">
      <c r="D12" s="100"/>
      <c r="E12" s="101"/>
      <c r="F12" s="101"/>
      <c r="G12" s="101"/>
      <c r="H12" s="102"/>
      <c r="I12" s="101"/>
      <c r="J12" s="100"/>
    </row>
    <row r="13" spans="1:13" ht="15.6">
      <c r="A13" s="103" t="s">
        <v>183</v>
      </c>
      <c r="D13" s="100"/>
      <c r="E13" s="101"/>
      <c r="F13" s="101"/>
      <c r="G13" s="101"/>
      <c r="H13" s="102"/>
      <c r="I13" s="101"/>
      <c r="J13" s="100"/>
    </row>
    <row r="14" spans="1:13">
      <c r="D14" s="100"/>
      <c r="E14" s="101"/>
      <c r="F14" s="101"/>
      <c r="G14" s="101"/>
      <c r="H14" s="102"/>
      <c r="I14" s="101"/>
      <c r="J14" s="100"/>
    </row>
    <row r="15" spans="1:13" ht="46.9">
      <c r="A15" s="104" t="s">
        <v>97</v>
      </c>
      <c r="B15" s="104" t="s">
        <v>98</v>
      </c>
      <c r="C15" s="105" t="s">
        <v>99</v>
      </c>
      <c r="D15" s="106" t="s">
        <v>186</v>
      </c>
      <c r="E15" s="107" t="s">
        <v>104</v>
      </c>
      <c r="F15" s="108" t="s">
        <v>187</v>
      </c>
      <c r="G15" s="109" t="s">
        <v>188</v>
      </c>
      <c r="H15" s="110" t="s">
        <v>189</v>
      </c>
      <c r="I15" s="108" t="s">
        <v>190</v>
      </c>
      <c r="J15" s="111" t="s">
        <v>191</v>
      </c>
    </row>
    <row r="16" spans="1:13">
      <c r="G16" s="112"/>
      <c r="M16" s="118"/>
    </row>
    <row r="17" spans="1:13">
      <c r="A17" s="1" t="s">
        <v>106</v>
      </c>
      <c r="B17" s="1" t="s">
        <v>107</v>
      </c>
      <c r="C17" s="99" t="s">
        <v>108</v>
      </c>
      <c r="D17" s="100">
        <f>'8. RTSR Rates to Forecast 2030'!J17</f>
        <v>1.46E-2</v>
      </c>
      <c r="E17" s="112">
        <f>'3. RRR Data 2031'!H17</f>
        <v>1672338639.8769174</v>
      </c>
      <c r="F17" s="112">
        <f>'3. RRR Data 2031'!F17</f>
        <v>0</v>
      </c>
      <c r="G17" s="112">
        <f>IF(D17*E17=0,ROUND(D17*F17,2),ROUND(D17*E17,2))</f>
        <v>24416144.140000001</v>
      </c>
      <c r="H17" s="113">
        <f t="shared" ref="H17:H28" si="0">G17/$G$28</f>
        <v>0.38642349976199469</v>
      </c>
      <c r="I17" s="112">
        <f>H17*$I$28</f>
        <v>25728527.189442344</v>
      </c>
      <c r="J17" s="100">
        <f>IF(I17*E17=0,ROUND(I17/F17,4),ROUND(I17/E17,4))</f>
        <v>1.54E-2</v>
      </c>
      <c r="K17" s="120"/>
      <c r="L17" s="123"/>
      <c r="M17" s="118"/>
    </row>
    <row r="18" spans="1:13">
      <c r="A18" s="1" t="s">
        <v>110</v>
      </c>
      <c r="B18" s="1" t="s">
        <v>107</v>
      </c>
      <c r="C18" s="99" t="s">
        <v>108</v>
      </c>
      <c r="D18" s="100">
        <f>'8. RTSR Rates to Forecast 2030'!J18</f>
        <v>1.47E-2</v>
      </c>
      <c r="E18" s="112">
        <f>'3. RRR Data 2031'!H19</f>
        <v>15423930.377104074</v>
      </c>
      <c r="F18" s="112">
        <f>'3. RRR Data 2031'!F19</f>
        <v>0</v>
      </c>
      <c r="G18" s="112">
        <f t="shared" ref="G18:G27" si="1">IF(D18*E18=0,ROUND(D18*F18,2),ROUND(D18*E18,2))</f>
        <v>226731.78</v>
      </c>
      <c r="H18" s="113">
        <f t="shared" si="0"/>
        <v>3.5883834659761566E-3</v>
      </c>
      <c r="I18" s="112">
        <f t="shared" ref="I18:I27" si="2">H18*$I$28</f>
        <v>238918.75527077631</v>
      </c>
      <c r="J18" s="100">
        <f t="shared" ref="J18:J27" si="3">IF(I18*E18=0,ROUND(I18/F18,4),ROUND(I18/E18,4))</f>
        <v>1.55E-2</v>
      </c>
      <c r="K18" s="120"/>
      <c r="L18" s="123"/>
      <c r="M18" s="118"/>
    </row>
    <row r="19" spans="1:13">
      <c r="A19" s="1" t="s">
        <v>111</v>
      </c>
      <c r="B19" s="1" t="s">
        <v>107</v>
      </c>
      <c r="C19" s="99" t="s">
        <v>108</v>
      </c>
      <c r="D19" s="100">
        <f>'8. RTSR Rates to Forecast 2030'!J19</f>
        <v>1.34E-2</v>
      </c>
      <c r="E19" s="112">
        <f>'3. RRR Data 2031'!H21</f>
        <v>374955973.20585001</v>
      </c>
      <c r="F19" s="112">
        <f>'3. RRR Data 2031'!F21</f>
        <v>0</v>
      </c>
      <c r="G19" s="112">
        <f t="shared" si="1"/>
        <v>5024410.04</v>
      </c>
      <c r="H19" s="113">
        <f t="shared" si="0"/>
        <v>7.951911246769465E-2</v>
      </c>
      <c r="I19" s="112">
        <f t="shared" si="2"/>
        <v>5294475.2285135835</v>
      </c>
      <c r="J19" s="100">
        <f t="shared" si="3"/>
        <v>1.41E-2</v>
      </c>
      <c r="K19" s="120"/>
      <c r="L19" s="123"/>
      <c r="M19" s="118"/>
    </row>
    <row r="20" spans="1:13">
      <c r="A20" s="1" t="s">
        <v>112</v>
      </c>
      <c r="B20" s="1" t="s">
        <v>107</v>
      </c>
      <c r="C20" s="99" t="s">
        <v>113</v>
      </c>
      <c r="D20" s="100">
        <f>'8. RTSR Rates to Forecast 2030'!J20</f>
        <v>6.1398999999999999</v>
      </c>
      <c r="E20" s="112"/>
      <c r="F20" s="112">
        <f>'3. RRR Data 2031'!F23</f>
        <v>3533663.5562742664</v>
      </c>
      <c r="G20" s="112">
        <f t="shared" si="1"/>
        <v>21696340.870000001</v>
      </c>
      <c r="H20" s="113">
        <f t="shared" si="0"/>
        <v>0.34337837796752951</v>
      </c>
      <c r="I20" s="112">
        <f t="shared" si="2"/>
        <v>22862532.78914351</v>
      </c>
      <c r="J20" s="100">
        <f t="shared" si="3"/>
        <v>6.4699</v>
      </c>
      <c r="K20" s="120"/>
      <c r="L20" s="123"/>
      <c r="M20" s="118"/>
    </row>
    <row r="21" spans="1:13">
      <c r="A21" s="1" t="s">
        <v>112</v>
      </c>
      <c r="B21" s="1" t="s">
        <v>114</v>
      </c>
      <c r="C21" s="99" t="s">
        <v>113</v>
      </c>
      <c r="D21" s="100">
        <f>'8. RTSR Rates to Forecast 2030'!J21</f>
        <v>1.0475000000000001</v>
      </c>
      <c r="E21" s="112"/>
      <c r="F21" s="112">
        <f>'3. RRR Data 2031'!F25</f>
        <v>46135.982489404887</v>
      </c>
      <c r="G21" s="112">
        <f t="shared" si="1"/>
        <v>48327.44</v>
      </c>
      <c r="H21" s="113">
        <f t="shared" si="0"/>
        <v>7.6485698938611412E-4</v>
      </c>
      <c r="I21" s="112">
        <f t="shared" si="2"/>
        <v>50925.070187439655</v>
      </c>
      <c r="J21" s="100">
        <f t="shared" si="3"/>
        <v>1.1037999999999999</v>
      </c>
      <c r="K21" s="120"/>
      <c r="L21" s="123"/>
      <c r="M21" s="118"/>
    </row>
    <row r="22" spans="1:13">
      <c r="A22" s="1" t="s">
        <v>116</v>
      </c>
      <c r="B22" s="1" t="s">
        <v>107</v>
      </c>
      <c r="C22" s="99" t="s">
        <v>113</v>
      </c>
      <c r="D22" s="100">
        <f>'8. RTSR Rates to Forecast 2030'!J22</f>
        <v>6.4634999999999998</v>
      </c>
      <c r="E22" s="112"/>
      <c r="F22" s="112">
        <f>'3. RRR Data 2031'!F27</f>
        <v>729423.29021182051</v>
      </c>
      <c r="G22" s="112">
        <f t="shared" si="1"/>
        <v>4714627.4400000004</v>
      </c>
      <c r="H22" s="113">
        <f t="shared" si="0"/>
        <v>7.4616320455533389E-2</v>
      </c>
      <c r="I22" s="112">
        <f t="shared" si="2"/>
        <v>4968041.6196187707</v>
      </c>
      <c r="J22" s="100">
        <f t="shared" si="3"/>
        <v>6.8109000000000002</v>
      </c>
      <c r="K22" s="120"/>
      <c r="L22" s="123"/>
      <c r="M22" s="118"/>
    </row>
    <row r="23" spans="1:13">
      <c r="A23" s="1" t="s">
        <v>116</v>
      </c>
      <c r="B23" s="1" t="s">
        <v>114</v>
      </c>
      <c r="C23" s="99" t="s">
        <v>113</v>
      </c>
      <c r="D23" s="100" t="e">
        <f>'8. RTSR Rates to Forecast 2030'!J23</f>
        <v>#DIV/0!</v>
      </c>
      <c r="E23" s="112"/>
      <c r="F23" s="112"/>
      <c r="G23" s="112"/>
      <c r="H23" s="113">
        <f t="shared" si="0"/>
        <v>0</v>
      </c>
      <c r="I23" s="112">
        <f t="shared" si="2"/>
        <v>0</v>
      </c>
      <c r="J23" s="100" t="e">
        <f t="shared" si="3"/>
        <v>#DIV/0!</v>
      </c>
      <c r="K23" s="120"/>
      <c r="L23" s="123"/>
      <c r="M23" s="118"/>
    </row>
    <row r="24" spans="1:13">
      <c r="A24" s="1" t="s">
        <v>119</v>
      </c>
      <c r="B24" s="1" t="s">
        <v>107</v>
      </c>
      <c r="C24" s="99" t="s">
        <v>113</v>
      </c>
      <c r="D24" s="100">
        <f>'8. RTSR Rates to Forecast 2030'!J24</f>
        <v>6.9306999999999999</v>
      </c>
      <c r="E24" s="112"/>
      <c r="F24" s="112">
        <f>'3. RRR Data 2031'!F31</f>
        <v>977675.44389935944</v>
      </c>
      <c r="G24" s="112">
        <f t="shared" si="1"/>
        <v>6775975.2000000002</v>
      </c>
      <c r="H24" s="113">
        <f t="shared" si="0"/>
        <v>0.10724035851323746</v>
      </c>
      <c r="I24" s="112">
        <f t="shared" si="2"/>
        <v>7140188.1135924123</v>
      </c>
      <c r="J24" s="100">
        <f t="shared" si="3"/>
        <v>7.3032000000000004</v>
      </c>
      <c r="K24" s="120"/>
      <c r="L24" s="123"/>
      <c r="M24" s="118"/>
    </row>
    <row r="25" spans="1:13">
      <c r="A25" s="1" t="s">
        <v>120</v>
      </c>
      <c r="B25" s="1" t="s">
        <v>107</v>
      </c>
      <c r="C25" s="99" t="s">
        <v>108</v>
      </c>
      <c r="D25" s="100">
        <f>'8. RTSR Rates to Forecast 2030'!J25</f>
        <v>1.34E-2</v>
      </c>
      <c r="E25" s="112">
        <f>'3. RRR Data 2031'!H33</f>
        <v>6629070.2221085792</v>
      </c>
      <c r="F25" s="112">
        <f>'3. RRR Data 2031'!F33</f>
        <v>0</v>
      </c>
      <c r="G25" s="112">
        <f t="shared" si="1"/>
        <v>88829.54</v>
      </c>
      <c r="H25" s="113">
        <f t="shared" si="0"/>
        <v>1.4058657883172251E-3</v>
      </c>
      <c r="I25" s="112">
        <f t="shared" si="2"/>
        <v>93604.183445636241</v>
      </c>
      <c r="J25" s="100">
        <f t="shared" si="3"/>
        <v>1.41E-2</v>
      </c>
      <c r="K25" s="120"/>
      <c r="L25" s="123"/>
      <c r="M25" s="118"/>
    </row>
    <row r="26" spans="1:13">
      <c r="A26" s="1" t="s">
        <v>121</v>
      </c>
      <c r="B26" s="1" t="s">
        <v>107</v>
      </c>
      <c r="C26" s="99" t="s">
        <v>113</v>
      </c>
      <c r="D26" s="100">
        <f>'8. RTSR Rates to Forecast 2030'!J26</f>
        <v>3.9773000000000001</v>
      </c>
      <c r="E26" s="112"/>
      <c r="F26" s="112">
        <f>'3. RRR Data 2031'!F35</f>
        <v>616.25346374616186</v>
      </c>
      <c r="G26" s="112">
        <f t="shared" si="1"/>
        <v>2451.02</v>
      </c>
      <c r="H26" s="113">
        <f t="shared" si="0"/>
        <v>3.8791208020229367E-5</v>
      </c>
      <c r="I26" s="112">
        <f t="shared" si="2"/>
        <v>2582.7638610863382</v>
      </c>
      <c r="J26" s="100">
        <f t="shared" si="3"/>
        <v>4.1910999999999996</v>
      </c>
      <c r="K26" s="120"/>
      <c r="L26" s="123"/>
      <c r="M26" s="118"/>
    </row>
    <row r="27" spans="1:13">
      <c r="A27" s="1" t="s">
        <v>122</v>
      </c>
      <c r="B27" s="1" t="s">
        <v>107</v>
      </c>
      <c r="C27" s="99" t="s">
        <v>113</v>
      </c>
      <c r="D27" s="100">
        <f>'8. RTSR Rates to Forecast 2030'!J27</f>
        <v>4.1748000000000003</v>
      </c>
      <c r="E27" s="112"/>
      <c r="F27" s="112">
        <f>'3. RRR Data 2031'!F37</f>
        <v>45774.320408562664</v>
      </c>
      <c r="G27" s="112">
        <f t="shared" si="1"/>
        <v>191098.63</v>
      </c>
      <c r="H27" s="113">
        <f t="shared" si="0"/>
        <v>3.0244333823105664E-3</v>
      </c>
      <c r="I27" s="112">
        <f t="shared" si="2"/>
        <v>201370.3011265145</v>
      </c>
      <c r="J27" s="100">
        <f t="shared" si="3"/>
        <v>4.3992000000000004</v>
      </c>
      <c r="K27" s="120"/>
      <c r="L27" s="123"/>
      <c r="M27" s="118"/>
    </row>
    <row r="28" spans="1:13">
      <c r="D28" s="100"/>
      <c r="E28" s="112"/>
      <c r="F28" s="112"/>
      <c r="G28" s="112">
        <f>SUM(G17:G27)</f>
        <v>63184936.100000001</v>
      </c>
      <c r="H28" s="113">
        <f t="shared" si="0"/>
        <v>1</v>
      </c>
      <c r="I28" s="112">
        <f>'7. Forecast Wholesale 2031'!F33+'7. Forecast Wholesale 2031'!F52</f>
        <v>66581166.014202073</v>
      </c>
      <c r="J28" s="100"/>
    </row>
    <row r="30" spans="1:13" ht="15.6">
      <c r="A30" s="103" t="s">
        <v>199</v>
      </c>
    </row>
    <row r="31" spans="1:13" ht="46.9">
      <c r="A31" s="104" t="s">
        <v>97</v>
      </c>
      <c r="B31" s="104" t="s">
        <v>98</v>
      </c>
      <c r="C31" s="105" t="s">
        <v>99</v>
      </c>
      <c r="D31" s="106" t="s">
        <v>200</v>
      </c>
      <c r="E31" s="107" t="s">
        <v>104</v>
      </c>
      <c r="F31" s="108" t="s">
        <v>187</v>
      </c>
      <c r="G31" s="109" t="s">
        <v>188</v>
      </c>
      <c r="H31" s="110" t="s">
        <v>189</v>
      </c>
      <c r="I31" s="108" t="s">
        <v>190</v>
      </c>
      <c r="J31" s="111" t="s">
        <v>201</v>
      </c>
    </row>
    <row r="33" spans="1:13">
      <c r="A33" s="1" t="s">
        <v>106</v>
      </c>
      <c r="B33" s="1" t="s">
        <v>109</v>
      </c>
      <c r="C33" s="99" t="s">
        <v>108</v>
      </c>
      <c r="D33" s="100">
        <f>'8. RTSR Rates to Forecast 2030'!J33</f>
        <v>1.0500000000000001E-2</v>
      </c>
      <c r="E33" s="112">
        <f>'3. RRR Data 2031'!H18</f>
        <v>1672338639.8769174</v>
      </c>
      <c r="F33" s="112">
        <f>'3. RRR Data 2031'!F18</f>
        <v>0</v>
      </c>
      <c r="G33" s="112">
        <f>IF(D33*E33=0,ROUND(D33*F33,2),ROUND(D33*E33,2))</f>
        <v>17559555.719999999</v>
      </c>
      <c r="H33" s="113">
        <f>G33/$G$44</f>
        <v>0.40083993568241805</v>
      </c>
      <c r="I33" s="112">
        <f>H33*$I$44</f>
        <v>18538537.114914428</v>
      </c>
      <c r="J33" s="100">
        <f>IF(I33*E33=0,ROUND(I33/F33,4),ROUND(I33/E33,4))</f>
        <v>1.11E-2</v>
      </c>
      <c r="K33" s="120"/>
      <c r="L33" s="118"/>
      <c r="M33" s="118"/>
    </row>
    <row r="34" spans="1:13">
      <c r="A34" s="1" t="s">
        <v>110</v>
      </c>
      <c r="B34" s="1" t="s">
        <v>109</v>
      </c>
      <c r="C34" s="99" t="s">
        <v>108</v>
      </c>
      <c r="D34" s="100">
        <f>'8. RTSR Rates to Forecast 2030'!J34</f>
        <v>1.2800000000000001E-2</v>
      </c>
      <c r="E34" s="112">
        <f>'3. RRR Data 2031'!H20</f>
        <v>15423930.377104074</v>
      </c>
      <c r="F34" s="112">
        <f>'3. RRR Data 2031'!F20</f>
        <v>0</v>
      </c>
      <c r="G34" s="112">
        <f t="shared" ref="G34:G43" si="4">IF(D34*E34=0,ROUND(D34*F34,2),ROUND(D34*E34,2))</f>
        <v>197426.31</v>
      </c>
      <c r="H34" s="113">
        <f t="shared" ref="H34:H43" si="5">G34/$G$44</f>
        <v>4.5067398437810329E-3</v>
      </c>
      <c r="I34" s="112">
        <f t="shared" ref="I34:I43" si="6">H34*$I$44</f>
        <v>208433.23337770658</v>
      </c>
      <c r="J34" s="100">
        <f t="shared" ref="J34:J43" si="7">IF(I34*E34=0,ROUND(I34/F34,4),ROUND(I34/E34,4))</f>
        <v>1.35E-2</v>
      </c>
      <c r="K34" s="120"/>
      <c r="L34" s="118"/>
      <c r="M34" s="118"/>
    </row>
    <row r="35" spans="1:13">
      <c r="A35" s="1" t="s">
        <v>111</v>
      </c>
      <c r="B35" s="1" t="s">
        <v>109</v>
      </c>
      <c r="C35" s="99" t="s">
        <v>108</v>
      </c>
      <c r="D35" s="100">
        <f>'8. RTSR Rates to Forecast 2030'!J35</f>
        <v>9.9000000000000008E-3</v>
      </c>
      <c r="E35" s="112">
        <f>'3. RRR Data 2031'!H22</f>
        <v>374955973.20585001</v>
      </c>
      <c r="F35" s="112">
        <f>'3. RRR Data 2031'!F22</f>
        <v>0</v>
      </c>
      <c r="G35" s="112">
        <f t="shared" si="4"/>
        <v>3712064.13</v>
      </c>
      <c r="H35" s="113">
        <f t="shared" si="5"/>
        <v>8.4736970048933061E-2</v>
      </c>
      <c r="I35" s="112">
        <f t="shared" si="6"/>
        <v>3919019.3501631226</v>
      </c>
      <c r="J35" s="100">
        <f t="shared" si="7"/>
        <v>1.0500000000000001E-2</v>
      </c>
      <c r="K35" s="120"/>
      <c r="L35" s="118"/>
      <c r="M35" s="118"/>
    </row>
    <row r="36" spans="1:13">
      <c r="A36" s="1" t="s">
        <v>112</v>
      </c>
      <c r="B36" s="1" t="s">
        <v>109</v>
      </c>
      <c r="C36" s="99" t="s">
        <v>113</v>
      </c>
      <c r="D36" s="100">
        <f>'8. RTSR Rates to Forecast 2030'!J36</f>
        <v>4.3418999999999999</v>
      </c>
      <c r="E36" s="112"/>
      <c r="F36" s="112">
        <f>'3. RRR Data 2031'!F24</f>
        <v>3533663.5562742664</v>
      </c>
      <c r="G36" s="112">
        <f t="shared" si="4"/>
        <v>15342813.789999999</v>
      </c>
      <c r="H36" s="113">
        <f t="shared" si="5"/>
        <v>0.35023736311085424</v>
      </c>
      <c r="I36" s="112">
        <f t="shared" si="6"/>
        <v>16198207.25698497</v>
      </c>
      <c r="J36" s="100">
        <f t="shared" si="7"/>
        <v>4.5839999999999996</v>
      </c>
      <c r="K36" s="120"/>
      <c r="L36" s="118"/>
      <c r="M36" s="118"/>
    </row>
    <row r="37" spans="1:13">
      <c r="A37" s="1" t="s">
        <v>112</v>
      </c>
      <c r="B37" s="1" t="s">
        <v>115</v>
      </c>
      <c r="C37" s="99" t="s">
        <v>113</v>
      </c>
      <c r="D37" s="100">
        <f>'8. RTSR Rates to Forecast 2030'!J37</f>
        <v>0.73750000000000004</v>
      </c>
      <c r="E37" s="112"/>
      <c r="F37" s="112">
        <f>'3. RRR Data 2031'!F26</f>
        <v>46135.982489404887</v>
      </c>
      <c r="G37" s="112">
        <f t="shared" si="4"/>
        <v>34025.29</v>
      </c>
      <c r="H37" s="113">
        <f t="shared" si="5"/>
        <v>7.7671071367947024E-4</v>
      </c>
      <c r="I37" s="112">
        <f t="shared" si="6"/>
        <v>35922.269991847315</v>
      </c>
      <c r="J37" s="100">
        <f t="shared" si="7"/>
        <v>0.77859999999999996</v>
      </c>
      <c r="K37" s="120"/>
      <c r="L37" s="118"/>
      <c r="M37" s="118"/>
    </row>
    <row r="38" spans="1:13">
      <c r="A38" s="1" t="s">
        <v>116</v>
      </c>
      <c r="B38" s="1" t="s">
        <v>117</v>
      </c>
      <c r="C38" s="99" t="s">
        <v>113</v>
      </c>
      <c r="D38" s="100">
        <f>'8. RTSR Rates to Forecast 2030'!J38</f>
        <v>2.9102999999999999</v>
      </c>
      <c r="E38" s="112"/>
      <c r="F38" s="112">
        <f>'3. RRR Data 2031'!F28</f>
        <v>729423.29021182051</v>
      </c>
      <c r="G38" s="112">
        <f t="shared" si="4"/>
        <v>2122840.6</v>
      </c>
      <c r="H38" s="113">
        <f t="shared" si="5"/>
        <v>4.8459044359467761E-2</v>
      </c>
      <c r="I38" s="112">
        <f t="shared" si="6"/>
        <v>2241193.3353942065</v>
      </c>
      <c r="J38" s="100">
        <f t="shared" si="7"/>
        <v>3.0726</v>
      </c>
      <c r="K38" s="120"/>
      <c r="L38" s="118"/>
      <c r="M38" s="118"/>
    </row>
    <row r="39" spans="1:13">
      <c r="A39" s="1" t="s">
        <v>116</v>
      </c>
      <c r="B39" s="1" t="s">
        <v>118</v>
      </c>
      <c r="C39" s="99" t="s">
        <v>113</v>
      </c>
      <c r="D39" s="100" t="e">
        <f>'8. RTSR Rates to Forecast 2030'!J39</f>
        <v>#DIV/0!</v>
      </c>
      <c r="E39" s="112"/>
      <c r="F39" s="112"/>
      <c r="G39" s="112"/>
      <c r="H39" s="113">
        <f t="shared" si="5"/>
        <v>0</v>
      </c>
      <c r="I39" s="112">
        <f t="shared" si="6"/>
        <v>0</v>
      </c>
      <c r="J39" s="100" t="e">
        <f t="shared" si="7"/>
        <v>#DIV/0!</v>
      </c>
      <c r="K39" s="120"/>
      <c r="L39" s="118"/>
      <c r="M39" s="118"/>
    </row>
    <row r="40" spans="1:13">
      <c r="A40" s="1" t="s">
        <v>119</v>
      </c>
      <c r="B40" s="1" t="s">
        <v>117</v>
      </c>
      <c r="C40" s="99" t="s">
        <v>113</v>
      </c>
      <c r="D40" s="100">
        <f>'8. RTSR Rates to Forecast 2030'!J40</f>
        <v>4.7405999999999997</v>
      </c>
      <c r="E40" s="112"/>
      <c r="F40" s="112">
        <f>'3. RRR Data 2031'!F32</f>
        <v>977675.44389935944</v>
      </c>
      <c r="G40" s="112">
        <f t="shared" si="4"/>
        <v>4634768.21</v>
      </c>
      <c r="H40" s="113">
        <f>G40/$G$44</f>
        <v>0.10579995421429239</v>
      </c>
      <c r="I40" s="112">
        <f t="shared" si="6"/>
        <v>4893166.0829121778</v>
      </c>
      <c r="J40" s="100">
        <f t="shared" si="7"/>
        <v>5.0049000000000001</v>
      </c>
      <c r="K40" s="120"/>
      <c r="L40" s="118"/>
      <c r="M40" s="118"/>
    </row>
    <row r="41" spans="1:13">
      <c r="A41" s="1" t="s">
        <v>120</v>
      </c>
      <c r="B41" s="1" t="s">
        <v>109</v>
      </c>
      <c r="C41" s="99" t="s">
        <v>108</v>
      </c>
      <c r="D41" s="100">
        <f>'8. RTSR Rates to Forecast 2030'!J41</f>
        <v>9.9000000000000008E-3</v>
      </c>
      <c r="E41" s="112">
        <f>'3. RRR Data 2031'!H34</f>
        <v>6629070.2221085792</v>
      </c>
      <c r="F41" s="112">
        <f>'3. RRR Data 2031'!F34</f>
        <v>0</v>
      </c>
      <c r="G41" s="112">
        <f t="shared" si="4"/>
        <v>65627.8</v>
      </c>
      <c r="H41" s="113">
        <f t="shared" si="5"/>
        <v>1.4981155303955833E-3</v>
      </c>
      <c r="I41" s="112">
        <f t="shared" si="6"/>
        <v>69286.685009031731</v>
      </c>
      <c r="J41" s="100">
        <f t="shared" si="7"/>
        <v>1.0500000000000001E-2</v>
      </c>
      <c r="K41" s="120"/>
      <c r="L41" s="118"/>
      <c r="M41" s="118"/>
    </row>
    <row r="42" spans="1:13">
      <c r="A42" s="1" t="s">
        <v>121</v>
      </c>
      <c r="B42" s="1" t="s">
        <v>109</v>
      </c>
      <c r="C42" s="99" t="s">
        <v>113</v>
      </c>
      <c r="D42" s="100">
        <f>'8. RTSR Rates to Forecast 2030'!J42</f>
        <v>2.8140000000000001</v>
      </c>
      <c r="E42" s="112"/>
      <c r="F42" s="112">
        <f>'3. RRR Data 2031'!F36</f>
        <v>616.25346374616186</v>
      </c>
      <c r="G42" s="112">
        <f t="shared" si="4"/>
        <v>1734.14</v>
      </c>
      <c r="H42" s="113">
        <f t="shared" si="5"/>
        <v>3.9585999620285867E-5</v>
      </c>
      <c r="I42" s="112">
        <f t="shared" si="6"/>
        <v>1830.8218764237454</v>
      </c>
      <c r="J42" s="100">
        <f t="shared" si="7"/>
        <v>2.9708999999999999</v>
      </c>
      <c r="K42" s="120"/>
      <c r="L42" s="118"/>
      <c r="M42" s="118"/>
    </row>
    <row r="43" spans="1:13">
      <c r="A43" s="1" t="s">
        <v>122</v>
      </c>
      <c r="B43" s="1" t="s">
        <v>109</v>
      </c>
      <c r="C43" s="99" t="s">
        <v>113</v>
      </c>
      <c r="D43" s="100">
        <f>'8. RTSR Rates to Forecast 2030'!J43</f>
        <v>2.9721000000000002</v>
      </c>
      <c r="E43" s="112"/>
      <c r="F43" s="112">
        <f>'3. RRR Data 2031'!F38</f>
        <v>45774.320408562664</v>
      </c>
      <c r="G43" s="112">
        <f t="shared" si="4"/>
        <v>136045.85999999999</v>
      </c>
      <c r="H43" s="113">
        <f t="shared" si="5"/>
        <v>3.1055804965582153E-3</v>
      </c>
      <c r="I43" s="112">
        <f t="shared" si="6"/>
        <v>143630.69687850008</v>
      </c>
      <c r="J43" s="100">
        <f t="shared" si="7"/>
        <v>3.1377999999999999</v>
      </c>
      <c r="K43" s="120"/>
      <c r="L43" s="118"/>
      <c r="M43" s="118"/>
    </row>
    <row r="44" spans="1:13">
      <c r="D44" s="100"/>
      <c r="E44" s="112"/>
      <c r="F44" s="112"/>
      <c r="G44" s="112">
        <f>SUM(G33:G43)</f>
        <v>43806901.849999994</v>
      </c>
      <c r="H44" s="113"/>
      <c r="I44" s="112">
        <f>'7. Forecast Wholesale 2031'!P33+'7. Forecast Wholesale 2031'!P52</f>
        <v>46249226.84750241</v>
      </c>
      <c r="J44" s="100"/>
    </row>
    <row r="46" spans="1:13">
      <c r="D46" s="100"/>
      <c r="E46" s="112"/>
      <c r="F46" s="112"/>
      <c r="G46" s="112"/>
      <c r="H46" s="113"/>
      <c r="I46" s="112"/>
      <c r="J46" s="114"/>
    </row>
    <row r="47" spans="1:13">
      <c r="D47" s="100"/>
      <c r="E47" s="112"/>
      <c r="F47" s="112"/>
      <c r="G47" s="112"/>
      <c r="H47" s="113"/>
      <c r="I47" s="112"/>
      <c r="J47" s="114"/>
    </row>
    <row r="48" spans="1:13">
      <c r="D48" s="100"/>
      <c r="E48" s="112"/>
      <c r="F48" s="112"/>
      <c r="G48" s="112"/>
      <c r="H48" s="113"/>
      <c r="I48" s="112"/>
      <c r="J48" s="114"/>
    </row>
    <row r="49" spans="4:10">
      <c r="D49" s="100"/>
      <c r="E49" s="112"/>
      <c r="F49" s="112"/>
      <c r="G49" s="112"/>
      <c r="H49" s="113"/>
      <c r="I49" s="112"/>
      <c r="J49" s="1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0C5A-A76B-40D1-8990-DFBBD869B238}">
  <dimension ref="C17:M121"/>
  <sheetViews>
    <sheetView workbookViewId="0">
      <selection activeCell="F15" sqref="F15"/>
    </sheetView>
  </sheetViews>
  <sheetFormatPr defaultColWidth="8.85546875" defaultRowHeight="14.45"/>
  <cols>
    <col min="1" max="16384" width="8.85546875" style="116"/>
  </cols>
  <sheetData>
    <row r="17" spans="3:13" s="130" customFormat="1" ht="3" customHeight="1"/>
    <row r="18" spans="3:13" s="130" customFormat="1" ht="3" customHeight="1">
      <c r="C18" s="131"/>
      <c r="D18" s="131"/>
      <c r="E18" s="131"/>
      <c r="F18" s="131"/>
      <c r="G18" s="131"/>
      <c r="H18" s="131"/>
      <c r="I18" s="131"/>
      <c r="J18" s="131"/>
      <c r="K18" s="131"/>
      <c r="L18" s="131"/>
      <c r="M18" s="131"/>
    </row>
    <row r="19" spans="3:13" s="130" customFormat="1" ht="13.15">
      <c r="C19" s="131"/>
      <c r="D19" s="131"/>
      <c r="E19" s="131"/>
      <c r="F19" s="131"/>
      <c r="G19" s="131"/>
      <c r="H19" s="131"/>
      <c r="J19" s="131"/>
      <c r="K19" s="131"/>
      <c r="L19" s="131"/>
      <c r="M19" s="131"/>
    </row>
    <row r="20" spans="3:13" s="130" customFormat="1" ht="15.6">
      <c r="C20" s="131"/>
      <c r="D20" s="132" t="s">
        <v>86</v>
      </c>
      <c r="E20" s="131"/>
      <c r="F20" s="131"/>
      <c r="G20" s="131"/>
      <c r="H20" s="131"/>
      <c r="I20" s="132" t="s">
        <v>87</v>
      </c>
      <c r="J20" s="131"/>
      <c r="K20" s="131"/>
      <c r="L20" s="131"/>
      <c r="M20" s="131"/>
    </row>
    <row r="21" spans="3:13" s="130" customFormat="1" ht="15.6">
      <c r="C21" s="131"/>
      <c r="D21" s="133"/>
      <c r="E21" s="131"/>
      <c r="F21" s="131"/>
      <c r="G21" s="131"/>
      <c r="H21" s="131"/>
      <c r="J21" s="131"/>
      <c r="K21" s="131"/>
      <c r="L21" s="131"/>
      <c r="M21" s="131"/>
    </row>
    <row r="22" spans="3:13" s="130" customFormat="1" ht="15.6">
      <c r="C22" s="131"/>
      <c r="D22" s="132" t="s">
        <v>88</v>
      </c>
      <c r="E22" s="131"/>
      <c r="F22" s="131"/>
      <c r="G22" s="131"/>
      <c r="H22" s="131"/>
      <c r="I22" s="132" t="s">
        <v>89</v>
      </c>
      <c r="J22" s="131"/>
      <c r="K22" s="131"/>
      <c r="L22" s="131"/>
      <c r="M22" s="131"/>
    </row>
    <row r="23" spans="3:13" s="130" customFormat="1" ht="15.6">
      <c r="C23" s="131"/>
      <c r="D23" s="133"/>
      <c r="E23" s="131"/>
      <c r="F23" s="131"/>
      <c r="G23" s="131"/>
      <c r="H23" s="131"/>
      <c r="I23" s="133"/>
      <c r="J23" s="131"/>
      <c r="K23" s="131"/>
      <c r="L23" s="131"/>
      <c r="M23" s="131"/>
    </row>
    <row r="24" spans="3:13" s="130" customFormat="1" ht="15.6">
      <c r="C24" s="131"/>
      <c r="D24" s="132" t="s">
        <v>90</v>
      </c>
      <c r="E24" s="131"/>
      <c r="F24" s="131"/>
      <c r="G24" s="131"/>
      <c r="H24" s="131"/>
      <c r="I24" s="132" t="s">
        <v>91</v>
      </c>
      <c r="J24" s="131"/>
      <c r="K24" s="131"/>
      <c r="L24" s="131"/>
      <c r="M24" s="131"/>
    </row>
    <row r="25" spans="3:13" s="130" customFormat="1" ht="15.6">
      <c r="C25" s="131"/>
      <c r="D25" s="133"/>
      <c r="E25" s="131"/>
      <c r="F25" s="131"/>
      <c r="G25" s="131"/>
      <c r="H25" s="131"/>
      <c r="I25" s="133"/>
      <c r="J25" s="131"/>
      <c r="K25" s="131"/>
      <c r="L25" s="131"/>
      <c r="M25" s="131"/>
    </row>
    <row r="26" spans="3:13" s="130" customFormat="1" ht="15.6">
      <c r="C26" s="131"/>
      <c r="D26" s="132" t="s">
        <v>92</v>
      </c>
      <c r="E26" s="131"/>
      <c r="F26" s="131"/>
      <c r="G26" s="131"/>
      <c r="H26" s="131"/>
      <c r="I26" s="132" t="s">
        <v>93</v>
      </c>
      <c r="J26" s="131"/>
      <c r="K26" s="131"/>
      <c r="L26" s="131"/>
      <c r="M26" s="131"/>
    </row>
    <row r="27" spans="3:13" s="130" customFormat="1" ht="15.6">
      <c r="C27" s="131"/>
      <c r="D27" s="133"/>
      <c r="E27" s="131"/>
      <c r="F27" s="131"/>
      <c r="G27" s="131"/>
      <c r="H27" s="131"/>
      <c r="I27" s="133"/>
      <c r="J27" s="131"/>
      <c r="K27" s="131"/>
      <c r="L27" s="131"/>
      <c r="M27" s="131"/>
    </row>
    <row r="28" spans="3:13" s="130" customFormat="1" ht="15.6">
      <c r="C28" s="131"/>
      <c r="D28" s="132"/>
      <c r="E28" s="131"/>
      <c r="F28" s="131"/>
      <c r="G28" s="131"/>
      <c r="H28" s="131"/>
      <c r="I28" s="132" t="s">
        <v>94</v>
      </c>
      <c r="J28" s="131"/>
      <c r="K28" s="131"/>
      <c r="L28" s="131"/>
      <c r="M28" s="131"/>
    </row>
    <row r="29" spans="3:13" s="130" customFormat="1" ht="15.6">
      <c r="C29" s="131"/>
      <c r="D29" s="133"/>
      <c r="E29" s="131"/>
      <c r="F29" s="131"/>
      <c r="G29" s="131"/>
      <c r="H29" s="131"/>
      <c r="I29" s="132"/>
      <c r="J29" s="131"/>
      <c r="K29" s="131"/>
      <c r="L29" s="131"/>
      <c r="M29" s="131"/>
    </row>
    <row r="30" spans="3:13" s="130" customFormat="1" ht="13.15">
      <c r="C30" s="131"/>
      <c r="E30" s="131"/>
      <c r="F30" s="131"/>
      <c r="G30" s="131"/>
      <c r="H30" s="131"/>
      <c r="I30" s="131"/>
      <c r="J30" s="131"/>
      <c r="K30" s="131"/>
      <c r="L30" s="131"/>
      <c r="M30" s="131"/>
    </row>
    <row r="31" spans="3:13" s="130" customFormat="1" ht="15.6">
      <c r="C31" s="131"/>
      <c r="D31" s="131"/>
      <c r="E31" s="131"/>
      <c r="F31" s="131"/>
      <c r="G31" s="131"/>
      <c r="H31" s="131"/>
      <c r="I31" s="132"/>
      <c r="J31" s="131"/>
      <c r="K31" s="131"/>
      <c r="L31" s="131"/>
      <c r="M31" s="131"/>
    </row>
    <row r="32" spans="3:13" s="130" customFormat="1" ht="13.15">
      <c r="C32" s="131"/>
      <c r="D32" s="131"/>
      <c r="E32" s="131"/>
      <c r="F32" s="131"/>
      <c r="G32" s="131"/>
      <c r="H32" s="131"/>
      <c r="I32" s="131"/>
      <c r="J32" s="131"/>
      <c r="K32" s="131"/>
      <c r="L32" s="131"/>
      <c r="M32" s="131"/>
    </row>
    <row r="33" spans="3:13" s="130" customFormat="1" ht="13.15">
      <c r="C33" s="131"/>
      <c r="D33" s="131"/>
      <c r="E33" s="131"/>
      <c r="F33" s="131"/>
      <c r="G33" s="131"/>
      <c r="H33" s="131"/>
      <c r="I33" s="131"/>
      <c r="J33" s="131"/>
      <c r="K33" s="131"/>
      <c r="L33" s="131"/>
      <c r="M33" s="131"/>
    </row>
    <row r="34" spans="3:13" s="130" customFormat="1" ht="13.15">
      <c r="C34" s="131"/>
      <c r="D34" s="131"/>
      <c r="E34" s="131"/>
      <c r="F34" s="131"/>
      <c r="G34" s="131"/>
      <c r="H34" s="131"/>
      <c r="I34" s="131"/>
      <c r="J34" s="131"/>
      <c r="K34" s="131"/>
      <c r="L34" s="131"/>
      <c r="M34" s="131"/>
    </row>
    <row r="35" spans="3:13" s="130" customFormat="1" ht="13.15">
      <c r="C35" s="131"/>
      <c r="D35" s="131"/>
      <c r="E35" s="131"/>
      <c r="F35" s="131"/>
      <c r="G35" s="131"/>
      <c r="H35" s="131"/>
      <c r="J35" s="131"/>
      <c r="K35" s="131"/>
      <c r="L35" s="131"/>
      <c r="M35" s="131"/>
    </row>
    <row r="36" spans="3:13" s="130" customFormat="1" ht="13.15"/>
    <row r="37" spans="3:13" s="130" customFormat="1" ht="13.15"/>
    <row r="38" spans="3:13" s="130" customFormat="1" ht="13.15"/>
    <row r="39" spans="3:13" s="130" customFormat="1" ht="13.15"/>
    <row r="40" spans="3:13" s="130" customFormat="1" ht="13.15"/>
    <row r="41" spans="3:13" s="130" customFormat="1" ht="13.15"/>
    <row r="42" spans="3:13" s="130" customFormat="1" ht="13.15"/>
    <row r="43" spans="3:13" s="130" customFormat="1" ht="13.15"/>
    <row r="44" spans="3:13" s="130" customFormat="1" ht="13.15"/>
    <row r="45" spans="3:13" s="130" customFormat="1" ht="13.15"/>
    <row r="46" spans="3:13" s="130" customFormat="1" ht="13.15"/>
    <row r="47" spans="3:13" s="130" customFormat="1" ht="13.15"/>
    <row r="48" spans="3:13" s="130" customFormat="1" ht="13.15"/>
    <row r="49" s="130" customFormat="1" ht="13.15"/>
    <row r="50" s="130" customFormat="1" ht="13.15"/>
    <row r="51" s="130" customFormat="1" ht="13.15"/>
    <row r="52" s="130" customFormat="1" ht="13.15"/>
    <row r="53" s="130" customFormat="1" ht="13.15"/>
    <row r="54" s="130" customFormat="1" ht="13.15"/>
    <row r="55" s="130" customFormat="1" ht="13.15"/>
    <row r="56" s="130" customFormat="1" ht="13.15"/>
    <row r="57" s="130" customFormat="1" ht="13.15"/>
    <row r="58" s="130" customFormat="1" ht="13.15"/>
    <row r="59" s="130" customFormat="1" ht="13.15"/>
    <row r="60" s="130" customFormat="1" ht="13.15"/>
    <row r="61" s="130" customFormat="1" ht="13.15"/>
    <row r="62" s="130" customFormat="1" ht="13.15"/>
    <row r="63" s="130" customFormat="1" ht="13.15"/>
    <row r="64" s="130" customFormat="1" ht="13.15"/>
    <row r="65" s="130" customFormat="1" ht="13.15"/>
    <row r="66" s="130" customFormat="1" ht="13.15"/>
    <row r="67" s="130" customFormat="1" ht="13.15"/>
    <row r="68" s="130" customFormat="1" ht="13.15"/>
    <row r="69" s="130" customFormat="1" ht="13.15"/>
    <row r="70" s="130" customFormat="1" ht="13.15"/>
    <row r="71" s="130" customFormat="1" ht="13.15"/>
    <row r="72" s="130" customFormat="1" ht="13.15"/>
    <row r="73" s="130" customFormat="1" ht="13.15"/>
    <row r="74" s="130" customFormat="1" ht="13.15"/>
    <row r="75" s="130" customFormat="1" ht="13.15"/>
    <row r="76" s="130" customFormat="1" ht="13.15"/>
    <row r="77" s="130" customFormat="1" ht="13.15"/>
    <row r="78" s="130" customFormat="1" ht="13.15"/>
    <row r="79" s="130" customFormat="1" ht="13.15"/>
    <row r="80" s="130" customFormat="1" ht="13.15"/>
    <row r="81" s="130" customFormat="1" ht="13.15"/>
    <row r="82" s="130" customFormat="1" ht="13.15"/>
    <row r="83" s="130" customFormat="1" ht="13.15"/>
    <row r="84" s="130" customFormat="1" ht="13.15"/>
    <row r="85" s="130" customFormat="1" ht="13.15"/>
    <row r="86" s="130" customFormat="1" ht="13.15"/>
    <row r="87" s="130" customFormat="1" ht="13.15"/>
    <row r="88" s="130" customFormat="1" ht="13.15"/>
    <row r="89" s="130" customFormat="1" ht="13.15"/>
    <row r="90" s="130" customFormat="1" ht="13.15"/>
    <row r="91" s="130" customFormat="1" ht="13.15"/>
    <row r="92" s="130" customFormat="1" ht="13.15"/>
    <row r="93" s="130" customFormat="1" ht="13.15"/>
    <row r="94" s="130" customFormat="1" ht="13.15"/>
    <row r="95" s="130" customFormat="1" ht="13.15"/>
    <row r="96" s="130" customFormat="1" ht="13.15"/>
    <row r="97" spans="3:9" s="130" customFormat="1" ht="13.15"/>
    <row r="98" spans="3:9" s="130" customFormat="1" ht="13.15"/>
    <row r="99" spans="3:9" s="130" customFormat="1" ht="13.15"/>
    <row r="100" spans="3:9" s="130" customFormat="1" ht="13.15"/>
    <row r="101" spans="3:9" s="130" customFormat="1" ht="13.15"/>
    <row r="102" spans="3:9" s="130" customFormat="1" ht="13.15"/>
    <row r="103" spans="3:9" s="130" customFormat="1" ht="13.15"/>
    <row r="104" spans="3:9" s="130" customFormat="1" ht="13.15"/>
    <row r="105" spans="3:9" s="130" customFormat="1" ht="13.15"/>
    <row r="106" spans="3:9" s="130" customFormat="1" ht="13.15"/>
    <row r="107" spans="3:9" s="130" customFormat="1" ht="13.15"/>
    <row r="108" spans="3:9" s="130" customFormat="1" ht="13.15"/>
    <row r="109" spans="3:9" s="130" customFormat="1" ht="13.15"/>
    <row r="110" spans="3:9" s="130" customFormat="1" ht="13.15"/>
    <row r="111" spans="3:9" s="130" customFormat="1">
      <c r="I111" s="116"/>
    </row>
    <row r="112" spans="3:9">
      <c r="C112" s="130"/>
    </row>
    <row r="113" spans="3:3">
      <c r="C113" s="130"/>
    </row>
    <row r="114" spans="3:3">
      <c r="C114" s="130"/>
    </row>
    <row r="115" spans="3:3">
      <c r="C115" s="130"/>
    </row>
    <row r="116" spans="3:3">
      <c r="C116" s="130"/>
    </row>
    <row r="117" spans="3:3">
      <c r="C117" s="130"/>
    </row>
    <row r="118" spans="3:3">
      <c r="C118" s="130"/>
    </row>
    <row r="119" spans="3:3">
      <c r="C119" s="130"/>
    </row>
    <row r="120" spans="3:3">
      <c r="C120" s="130"/>
    </row>
    <row r="121" spans="3:3">
      <c r="C121" s="130"/>
    </row>
  </sheetData>
  <hyperlinks>
    <hyperlink ref="D20" location="'1. Info'!A1" display="1. Info" xr:uid="{B7CF0CDD-543F-41C5-B519-8338792B2273}"/>
    <hyperlink ref="D22" location="'2. Table of Contents'!A1" display="2. Table of Contents" xr:uid="{A23C3E4F-67EB-4CC1-A8C2-BD529DDDA1D2}"/>
    <hyperlink ref="D24" location="'3. RRR Data'!A1" display="3. RRR Data" xr:uid="{E4EAD1C6-EA8E-4311-9DD9-556AF98374AC}"/>
    <hyperlink ref="D26" location="'4. UTRs and Sub-Transmission'!A1" display="4. UTRs and Sub-Transmission" xr:uid="{14075FF9-75B6-4C24-A0EB-CBBC380B6E7E}"/>
    <hyperlink ref="I20" location="'5. Historical Wholesale'!A1" display="5. Historical Wholesale" xr:uid="{84780C9A-E000-4C40-A418-867333D0C294}"/>
    <hyperlink ref="I22" location="'6. Current Wholesale'!A1" display="6. Current Wholesale" xr:uid="{9BC16717-1CDA-4C6F-B7C2-AE3245C3D361}"/>
    <hyperlink ref="I24" location="'7. Forecast Wholesale'!A1" display="7. Forecast Wholesale" xr:uid="{E4CD1583-276B-45A9-B9CC-B9D8965819D7}"/>
    <hyperlink ref="I26" location="'8. RTSR Rates to Forecast'!A1" display="8. RTSR Rates to Forecast" xr:uid="{E364F9E4-471D-4238-B2A3-6A8C1592EE61}"/>
    <hyperlink ref="I28" location="'9. LV Rates'!A1" display="9. LV Rates" xr:uid="{1DB87824-1D7D-4F07-9EDF-371A40CFF947}"/>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2FD9F-2E61-488D-A3A9-F5981961391C}">
  <dimension ref="B4:K46"/>
  <sheetViews>
    <sheetView topLeftCell="B1" workbookViewId="0">
      <selection activeCell="F15" sqref="F15"/>
    </sheetView>
  </sheetViews>
  <sheetFormatPr defaultColWidth="8.85546875" defaultRowHeight="14.45"/>
  <cols>
    <col min="1" max="1" width="8.85546875" style="116"/>
    <col min="2" max="2" width="55.28515625" style="116" customWidth="1"/>
    <col min="3" max="3" width="81.42578125" style="116" bestFit="1" customWidth="1"/>
    <col min="4" max="5" width="10" style="116" customWidth="1"/>
    <col min="6" max="9" width="14.140625" style="116" bestFit="1" customWidth="1"/>
    <col min="10" max="10" width="12.85546875" style="116" customWidth="1"/>
    <col min="11" max="16384" width="8.85546875" style="116"/>
  </cols>
  <sheetData>
    <row r="4" spans="2:11">
      <c r="B4" s="117" t="s">
        <v>128</v>
      </c>
      <c r="D4" s="124" t="s">
        <v>202</v>
      </c>
      <c r="E4" s="124" t="s">
        <v>203</v>
      </c>
      <c r="F4" s="117"/>
      <c r="G4" s="117"/>
      <c r="H4" s="117"/>
      <c r="I4" s="117"/>
      <c r="J4" s="117"/>
      <c r="K4" s="117"/>
    </row>
    <row r="5" spans="2:11">
      <c r="D5" s="117">
        <v>2026</v>
      </c>
      <c r="E5" s="117">
        <v>2026</v>
      </c>
      <c r="F5" s="117">
        <v>2027</v>
      </c>
      <c r="G5" s="117">
        <f>F5+1</f>
        <v>2028</v>
      </c>
      <c r="H5" s="117">
        <f t="shared" ref="H5:J5" si="0">G5+1</f>
        <v>2029</v>
      </c>
      <c r="I5" s="117">
        <f t="shared" si="0"/>
        <v>2030</v>
      </c>
      <c r="J5" s="117">
        <f t="shared" si="0"/>
        <v>2031</v>
      </c>
      <c r="K5" s="117"/>
    </row>
    <row r="6" spans="2:11">
      <c r="B6" s="116" t="str">
        <f>'8. RTSR Rates to Forecast 2031'!A17</f>
        <v>Residential Service Classification</v>
      </c>
      <c r="C6" s="116" t="str">
        <f>'8. RTSR Rates to Forecast 2031'!B17</f>
        <v>Retail Transmission Rate - Network Service Rate</v>
      </c>
      <c r="D6" s="185">
        <f>'8. RTSR Rates to Forecast 2027'!D29</f>
        <v>1.3100000000000001E-2</v>
      </c>
      <c r="E6" s="185">
        <f>'8. RTSR Rates to Forecast 2027'!D17</f>
        <v>1.17E-2</v>
      </c>
      <c r="F6" s="185">
        <f>'8. RTSR Rates to Forecast 2027'!J17</f>
        <v>1.24E-2</v>
      </c>
      <c r="G6" s="185">
        <f>'8. RTSR Rates to Forecast 2028'!J17</f>
        <v>1.3100000000000001E-2</v>
      </c>
      <c r="H6" s="185">
        <f>'8. RTSR Rates to Forecast 2029'!J17</f>
        <v>1.38E-2</v>
      </c>
      <c r="I6" s="185">
        <f>'8. RTSR Rates to Forecast 2030'!J17</f>
        <v>1.46E-2</v>
      </c>
      <c r="J6" s="185">
        <f>'8. RTSR Rates to Forecast 2031'!J17</f>
        <v>1.54E-2</v>
      </c>
    </row>
    <row r="7" spans="2:11">
      <c r="B7" s="116" t="str">
        <f>'8. RTSR Rates to Forecast 2031'!A18</f>
        <v>Seasonal Residential Service Classification</v>
      </c>
      <c r="C7" s="116" t="str">
        <f>'8. RTSR Rates to Forecast 2031'!B18</f>
        <v>Retail Transmission Rate - Network Service Rate</v>
      </c>
      <c r="D7" s="185"/>
      <c r="E7" s="185">
        <f>'8. RTSR Rates to Forecast 2027'!D18</f>
        <v>1.2200000000000001E-2</v>
      </c>
      <c r="F7" s="185">
        <f>'8. RTSR Rates to Forecast 2027'!J18</f>
        <v>1.2500000000000001E-2</v>
      </c>
      <c r="G7" s="185">
        <f>'8. RTSR Rates to Forecast 2028'!J18</f>
        <v>1.32E-2</v>
      </c>
      <c r="H7" s="185">
        <f>'8. RTSR Rates to Forecast 2029'!J18</f>
        <v>1.3899999999999999E-2</v>
      </c>
      <c r="I7" s="185">
        <f>'8. RTSR Rates to Forecast 2030'!J18</f>
        <v>1.47E-2</v>
      </c>
      <c r="J7" s="185">
        <f>'8. RTSR Rates to Forecast 2031'!J18</f>
        <v>1.55E-2</v>
      </c>
    </row>
    <row r="8" spans="2:11">
      <c r="B8" s="116" t="str">
        <f>'8. RTSR Rates to Forecast 2031'!A19</f>
        <v>General Service Less Than 50 kW Service Classification</v>
      </c>
      <c r="C8" s="116" t="str">
        <f>'8. RTSR Rates to Forecast 2031'!B19</f>
        <v>Retail Transmission Rate - Network Service Rate</v>
      </c>
      <c r="D8" s="185">
        <f>'8. RTSR Rates to Forecast 2027'!D30</f>
        <v>1.2E-2</v>
      </c>
      <c r="E8" s="185">
        <f>'8. RTSR Rates to Forecast 2027'!D19</f>
        <v>1.0699999999999999E-2</v>
      </c>
      <c r="F8" s="185">
        <f>'8. RTSR Rates to Forecast 2027'!J19</f>
        <v>1.1299999999999999E-2</v>
      </c>
      <c r="G8" s="185">
        <f>'8. RTSR Rates to Forecast 2028'!J19</f>
        <v>1.2E-2</v>
      </c>
      <c r="H8" s="185">
        <f>'8. RTSR Rates to Forecast 2029'!J19</f>
        <v>1.2699999999999999E-2</v>
      </c>
      <c r="I8" s="185">
        <f>'8. RTSR Rates to Forecast 2030'!J19</f>
        <v>1.34E-2</v>
      </c>
      <c r="J8" s="185">
        <f>'8. RTSR Rates to Forecast 2031'!J19</f>
        <v>1.41E-2</v>
      </c>
    </row>
    <row r="9" spans="2:11">
      <c r="B9" s="116" t="str">
        <f>'8. RTSR Rates to Forecast 2031'!A20</f>
        <v>General Service 50 To 2,999 kW Service Classification</v>
      </c>
      <c r="C9" s="116" t="str">
        <f>'8. RTSR Rates to Forecast 2031'!B20</f>
        <v>Retail Transmission Rate - Network Service Rate</v>
      </c>
      <c r="D9" s="185">
        <f>'8. RTSR Rates to Forecast 2027'!D31</f>
        <v>4.7407000000000004</v>
      </c>
      <c r="E9" s="185">
        <f>'8. RTSR Rates to Forecast 2027'!D20</f>
        <v>5.2130999999999998</v>
      </c>
      <c r="F9" s="185">
        <f>'8. RTSR Rates to Forecast 2027'!J20</f>
        <v>5.2011000000000003</v>
      </c>
      <c r="G9" s="185">
        <f>'8. RTSR Rates to Forecast 2028'!J20</f>
        <v>5.5117000000000003</v>
      </c>
      <c r="H9" s="185">
        <f>'8. RTSR Rates to Forecast 2029'!J20</f>
        <v>5.8174999999999999</v>
      </c>
      <c r="I9" s="185">
        <f>'8. RTSR Rates to Forecast 2030'!J20</f>
        <v>6.1398999999999999</v>
      </c>
      <c r="J9" s="185">
        <f>'8. RTSR Rates to Forecast 2031'!J20</f>
        <v>6.4699</v>
      </c>
    </row>
    <row r="10" spans="2:11">
      <c r="B10" s="116" t="str">
        <f>'8. RTSR Rates to Forecast 2031'!A21</f>
        <v>General Service 50 To 2,999 kW Service Classification</v>
      </c>
      <c r="C10" s="116" t="str">
        <f>'8. RTSR Rates to Forecast 2031'!B21</f>
        <v>Retail Transmission Rate - Network Service Rate - EV CHARGING</v>
      </c>
      <c r="D10" s="185">
        <f>'8. RTSR Rates to Forecast 2027'!D32</f>
        <v>0.80589999999999995</v>
      </c>
      <c r="E10" s="185">
        <f>'8. RTSR Rates to Forecast 2027'!D21</f>
        <v>0.88622699999999999</v>
      </c>
      <c r="F10" s="185">
        <f>'8. RTSR Rates to Forecast 2027'!J21</f>
        <v>0.88729999999999998</v>
      </c>
      <c r="G10" s="185">
        <f>'8. RTSR Rates to Forecast 2028'!J21</f>
        <v>0.94030000000000002</v>
      </c>
      <c r="H10" s="185">
        <f>'8. RTSR Rates to Forecast 2029'!J21</f>
        <v>0.99250000000000005</v>
      </c>
      <c r="I10" s="185">
        <f>'8. RTSR Rates to Forecast 2030'!J21</f>
        <v>1.0475000000000001</v>
      </c>
      <c r="J10" s="185">
        <f>'8. RTSR Rates to Forecast 2031'!J21</f>
        <v>1.1037999999999999</v>
      </c>
    </row>
    <row r="11" spans="2:11">
      <c r="B11" s="116" t="str">
        <f>'8. RTSR Rates to Forecast 2031'!A22</f>
        <v>General Service 3,000 To 4,999 kW Service Classification</v>
      </c>
      <c r="C11" s="116" t="str">
        <f>'8. RTSR Rates to Forecast 2031'!B22</f>
        <v>Retail Transmission Rate - Network Service Rate</v>
      </c>
      <c r="D11" s="185">
        <f>'8. RTSR Rates to Forecast 2027'!D33</f>
        <v>4.7407000000000004</v>
      </c>
      <c r="E11" s="185">
        <f>'8. RTSR Rates to Forecast 2027'!D22</f>
        <v>5.7435</v>
      </c>
      <c r="F11" s="185">
        <f>'8. RTSR Rates to Forecast 2027'!J22</f>
        <v>5.4752000000000001</v>
      </c>
      <c r="G11" s="185">
        <f>'8. RTSR Rates to Forecast 2028'!J22</f>
        <v>5.8022</v>
      </c>
      <c r="H11" s="185">
        <f>'8. RTSR Rates to Forecast 2029'!J22</f>
        <v>6.1241000000000003</v>
      </c>
      <c r="I11" s="185">
        <f>'8. RTSR Rates to Forecast 2030'!J22</f>
        <v>6.4634999999999998</v>
      </c>
      <c r="J11" s="185">
        <f>'8. RTSR Rates to Forecast 2031'!J22</f>
        <v>6.8109000000000002</v>
      </c>
    </row>
    <row r="12" spans="2:11">
      <c r="B12" s="116" t="str">
        <f>'8. RTSR Rates to Forecast 2031'!A23</f>
        <v>General Service 3,000 To 4,999 kW Service Classification</v>
      </c>
      <c r="C12" s="116" t="str">
        <f>'8. RTSR Rates to Forecast 2031'!B23</f>
        <v>Retail Transmission Rate - Network Service Rate - EV CHARGING</v>
      </c>
      <c r="D12" s="185">
        <f>'8. RTSR Rates to Forecast 2027'!D34</f>
        <v>0.80589999999999995</v>
      </c>
      <c r="E12" s="185">
        <f>'8. RTSR Rates to Forecast 2027'!D23</f>
        <v>0.97639500000000012</v>
      </c>
      <c r="F12" s="185">
        <f>F11*0.17</f>
        <v>0.93078400000000006</v>
      </c>
      <c r="G12" s="185">
        <f t="shared" ref="G12:J12" si="1">G11*0.17</f>
        <v>0.98637400000000008</v>
      </c>
      <c r="H12" s="185">
        <f t="shared" si="1"/>
        <v>1.0410970000000002</v>
      </c>
      <c r="I12" s="185">
        <f t="shared" si="1"/>
        <v>1.098795</v>
      </c>
      <c r="J12" s="185">
        <f t="shared" si="1"/>
        <v>1.157853</v>
      </c>
    </row>
    <row r="13" spans="2:11">
      <c r="B13" s="116" t="str">
        <f>'8. RTSR Rates to Forecast 2031'!A24</f>
        <v>Large Use Service Classification</v>
      </c>
      <c r="C13" s="116" t="str">
        <f>'8. RTSR Rates to Forecast 2031'!B24</f>
        <v>Retail Transmission Rate - Network Service Rate</v>
      </c>
      <c r="D13" s="185"/>
      <c r="E13" s="185">
        <f>'8. RTSR Rates to Forecast 2027'!D24</f>
        <v>5.7435</v>
      </c>
      <c r="F13" s="185">
        <f>'8. RTSR Rates to Forecast 2027'!J24</f>
        <v>5.8710000000000004</v>
      </c>
      <c r="G13" s="185">
        <f>'8. RTSR Rates to Forecast 2028'!J24</f>
        <v>6.2215999999999996</v>
      </c>
      <c r="H13" s="185">
        <f>'8. RTSR Rates to Forecast 2029'!J24</f>
        <v>6.5667999999999997</v>
      </c>
      <c r="I13" s="185">
        <f>'8. RTSR Rates to Forecast 2030'!J24</f>
        <v>6.9306999999999999</v>
      </c>
      <c r="J13" s="185">
        <f>'8. RTSR Rates to Forecast 2031'!J24</f>
        <v>7.3032000000000004</v>
      </c>
    </row>
    <row r="14" spans="2:11">
      <c r="B14" s="116" t="str">
        <f>'8. RTSR Rates to Forecast 2031'!A25</f>
        <v>Unmetered Scattered Load Service Classification</v>
      </c>
      <c r="C14" s="116" t="str">
        <f>'8. RTSR Rates to Forecast 2031'!B25</f>
        <v>Retail Transmission Rate - Network Service Rate</v>
      </c>
      <c r="D14" s="185">
        <f>'8. RTSR Rates to Forecast 2027'!D35</f>
        <v>1.2E-2</v>
      </c>
      <c r="E14" s="185">
        <f>'8. RTSR Rates to Forecast 2027'!D25</f>
        <v>1.0699999999999999E-2</v>
      </c>
      <c r="F14" s="185">
        <f>'8. RTSR Rates to Forecast 2027'!J25</f>
        <v>1.1299999999999999E-2</v>
      </c>
      <c r="G14" s="185">
        <f>'8. RTSR Rates to Forecast 2028'!J25</f>
        <v>1.2E-2</v>
      </c>
      <c r="H14" s="185">
        <f>'8. RTSR Rates to Forecast 2029'!J25</f>
        <v>1.2699999999999999E-2</v>
      </c>
      <c r="I14" s="185">
        <f>'8. RTSR Rates to Forecast 2030'!J25</f>
        <v>1.34E-2</v>
      </c>
      <c r="J14" s="185">
        <f>'8. RTSR Rates to Forecast 2031'!J25</f>
        <v>1.41E-2</v>
      </c>
    </row>
    <row r="15" spans="2:11">
      <c r="B15" s="116" t="str">
        <f>'8. RTSR Rates to Forecast 2031'!A26</f>
        <v>Sentinel Lighting Service Classification</v>
      </c>
      <c r="C15" s="116" t="str">
        <f>'8. RTSR Rates to Forecast 2031'!B26</f>
        <v>Retail Transmission Rate - Network Service Rate</v>
      </c>
      <c r="D15" s="185">
        <f>'8. RTSR Rates to Forecast 2027'!D36</f>
        <v>3.5928</v>
      </c>
      <c r="E15" s="185">
        <f>'8. RTSR Rates to Forecast 2027'!D26</f>
        <v>3.2515999999999998</v>
      </c>
      <c r="F15" s="185">
        <f>'8. RTSR Rates to Forecast 2027'!J26</f>
        <v>3.3692000000000002</v>
      </c>
      <c r="G15" s="185">
        <f>'8. RTSR Rates to Forecast 2028'!J26</f>
        <v>3.5703999999999998</v>
      </c>
      <c r="H15" s="185">
        <f>'8. RTSR Rates to Forecast 2029'!J26</f>
        <v>3.7685</v>
      </c>
      <c r="I15" s="185">
        <f>'8. RTSR Rates to Forecast 2030'!J26</f>
        <v>3.9773000000000001</v>
      </c>
      <c r="J15" s="185">
        <f>'8. RTSR Rates to Forecast 2031'!J26</f>
        <v>4.1910999999999996</v>
      </c>
    </row>
    <row r="16" spans="2:11">
      <c r="B16" s="116" t="str">
        <f>'8. RTSR Rates to Forecast 2031'!A27</f>
        <v>Street Lighting Service Classification</v>
      </c>
      <c r="C16" s="116" t="str">
        <f>'8. RTSR Rates to Forecast 2031'!B27</f>
        <v>Retail Transmission Rate - Network Service Rate</v>
      </c>
      <c r="D16" s="185">
        <f>'8. RTSR Rates to Forecast 2027'!D37</f>
        <v>3.5754999999999999</v>
      </c>
      <c r="E16" s="185">
        <f>'8. RTSR Rates to Forecast 2027'!D27</f>
        <v>3.4237000000000002</v>
      </c>
      <c r="F16" s="185">
        <f>'8. RTSR Rates to Forecast 2027'!J27</f>
        <v>3.5365000000000002</v>
      </c>
      <c r="G16" s="185">
        <f>'8. RTSR Rates to Forecast 2028'!J27</f>
        <v>3.7477</v>
      </c>
      <c r="H16" s="185">
        <f>'8. RTSR Rates to Forecast 2029'!J27</f>
        <v>3.9556</v>
      </c>
      <c r="I16" s="185">
        <f>'8. RTSR Rates to Forecast 2030'!J27</f>
        <v>4.1748000000000003</v>
      </c>
      <c r="J16" s="185">
        <f>'8. RTSR Rates to Forecast 2031'!J27</f>
        <v>4.3992000000000004</v>
      </c>
    </row>
    <row r="17" spans="2:11">
      <c r="F17" s="184">
        <f>'8. RTSR Rates to Forecast 2027'!I38</f>
        <v>48396579.278790765</v>
      </c>
      <c r="G17" s="184">
        <f>'8. RTSR Rates to Forecast 2028'!I28</f>
        <v>53452410.758624837</v>
      </c>
      <c r="H17" s="184">
        <f>'8. RTSR Rates to Forecast 2029'!I28</f>
        <v>57938780.173668914</v>
      </c>
      <c r="I17" s="184">
        <f>'8. RTSR Rates to Forecast 2030'!I28</f>
        <v>62068517.058494039</v>
      </c>
      <c r="J17" s="184">
        <f>'8. RTSR Rates to Forecast 2031'!I28</f>
        <v>66581166.014202073</v>
      </c>
    </row>
    <row r="19" spans="2:11">
      <c r="B19" s="117" t="s">
        <v>204</v>
      </c>
      <c r="D19" s="124" t="s">
        <v>202</v>
      </c>
      <c r="E19" s="124" t="s">
        <v>203</v>
      </c>
    </row>
    <row r="20" spans="2:11">
      <c r="D20" s="117">
        <v>2026</v>
      </c>
      <c r="E20" s="117">
        <v>2026</v>
      </c>
      <c r="F20" s="117">
        <v>2027</v>
      </c>
      <c r="G20" s="117">
        <f>F20+1</f>
        <v>2028</v>
      </c>
      <c r="H20" s="117">
        <f t="shared" ref="H20" si="2">G20+1</f>
        <v>2029</v>
      </c>
      <c r="I20" s="117">
        <f t="shared" ref="I20" si="3">H20+1</f>
        <v>2030</v>
      </c>
      <c r="J20" s="117">
        <f t="shared" ref="J20" si="4">I20+1</f>
        <v>2031</v>
      </c>
    </row>
    <row r="21" spans="2:11">
      <c r="B21" s="116" t="str">
        <f>'8. RTSR Rates to Forecast 2031'!A33</f>
        <v>Residential Service Classification</v>
      </c>
      <c r="C21" s="116" t="str">
        <f>'8. RTSR Rates to Forecast 2031'!B33</f>
        <v>Retail Transmission Rate - Line and Transformation Connection Service Rate</v>
      </c>
      <c r="D21" s="185">
        <f>'8. RTSR Rates to Forecast 2027'!D55</f>
        <v>9.9000000000000008E-3</v>
      </c>
      <c r="E21" s="185">
        <f>'8. RTSR Rates to Forecast 2027'!D43</f>
        <v>8.0000000000000002E-3</v>
      </c>
      <c r="F21" s="185">
        <f>'8. RTSR Rates to Forecast 2027'!J43</f>
        <v>8.8999999999999999E-3</v>
      </c>
      <c r="G21" s="185">
        <f>'8. RTSR Rates to Forecast 2028'!J33</f>
        <v>9.4999999999999998E-3</v>
      </c>
      <c r="H21" s="185">
        <f>'8. RTSR Rates to Forecast 2029'!J33</f>
        <v>0.01</v>
      </c>
      <c r="I21" s="185">
        <f>'8. RTSR Rates to Forecast 2030'!J33</f>
        <v>1.0500000000000001E-2</v>
      </c>
      <c r="J21" s="185">
        <f>'8. RTSR Rates to Forecast 2031'!J33</f>
        <v>1.11E-2</v>
      </c>
    </row>
    <row r="22" spans="2:11">
      <c r="B22" s="116" t="str">
        <f>'8. RTSR Rates to Forecast 2031'!A34</f>
        <v>Seasonal Residential Service Classification</v>
      </c>
      <c r="C22" s="116" t="str">
        <f>'8. RTSR Rates to Forecast 2031'!B34</f>
        <v>Retail Transmission Rate - Line and Transformation Connection Service Rate</v>
      </c>
      <c r="D22" s="185"/>
      <c r="E22" s="185">
        <f>'8. RTSR Rates to Forecast 2027'!D44</f>
        <v>1.03E-2</v>
      </c>
      <c r="F22" s="185">
        <f>'8. RTSR Rates to Forecast 2027'!J44</f>
        <v>1.0800000000000001E-2</v>
      </c>
      <c r="G22" s="185">
        <f>'8. RTSR Rates to Forecast 2028'!J34</f>
        <v>1.15E-2</v>
      </c>
      <c r="H22" s="185">
        <f>'8. RTSR Rates to Forecast 2029'!J34</f>
        <v>1.21E-2</v>
      </c>
      <c r="I22" s="185">
        <f>'8. RTSR Rates to Forecast 2030'!J34</f>
        <v>1.2800000000000001E-2</v>
      </c>
      <c r="J22" s="185">
        <f>'8. RTSR Rates to Forecast 2031'!J34</f>
        <v>1.35E-2</v>
      </c>
    </row>
    <row r="23" spans="2:11">
      <c r="B23" s="116" t="str">
        <f>'8. RTSR Rates to Forecast 2031'!A35</f>
        <v>General Service Less Than 50 kW Service Classification</v>
      </c>
      <c r="C23" s="116" t="str">
        <f>'8. RTSR Rates to Forecast 2031'!B35</f>
        <v>Retail Transmission Rate - Line and Transformation Connection Service Rate</v>
      </c>
      <c r="D23" s="185">
        <f>'8. RTSR Rates to Forecast 2027'!D56</f>
        <v>9.4000000000000004E-3</v>
      </c>
      <c r="E23" s="185">
        <f>'8. RTSR Rates to Forecast 2027'!D45</f>
        <v>7.4999999999999997E-3</v>
      </c>
      <c r="F23" s="185">
        <f>'8. RTSR Rates to Forecast 2027'!J45</f>
        <v>8.3999999999999995E-3</v>
      </c>
      <c r="G23" s="185">
        <f>'8. RTSR Rates to Forecast 2028'!J35</f>
        <v>8.8999999999999999E-3</v>
      </c>
      <c r="H23" s="185">
        <f>'8. RTSR Rates to Forecast 2029'!J35</f>
        <v>9.4000000000000004E-3</v>
      </c>
      <c r="I23" s="185">
        <f>'8. RTSR Rates to Forecast 2030'!J35</f>
        <v>9.9000000000000008E-3</v>
      </c>
      <c r="J23" s="185">
        <f>'8. RTSR Rates to Forecast 2031'!J35</f>
        <v>1.0500000000000001E-2</v>
      </c>
    </row>
    <row r="24" spans="2:11">
      <c r="B24" s="116" t="str">
        <f>'8. RTSR Rates to Forecast 2031'!A36</f>
        <v>General Service 50 To 2,999 kW Service Classification</v>
      </c>
      <c r="C24" s="116" t="str">
        <f>'8. RTSR Rates to Forecast 2031'!B36</f>
        <v>Retail Transmission Rate - Line and Transformation Connection Service Rate</v>
      </c>
      <c r="D24" s="185">
        <f>'8. RTSR Rates to Forecast 2027'!D57</f>
        <v>3.5516999999999999</v>
      </c>
      <c r="E24" s="185">
        <f>'8. RTSR Rates to Forecast 2027'!D46</f>
        <v>3.4744999999999999</v>
      </c>
      <c r="F24" s="185">
        <f>'8. RTSR Rates to Forecast 2027'!J46</f>
        <v>3.6648999999999998</v>
      </c>
      <c r="G24" s="185">
        <f>'8. RTSR Rates to Forecast 2028'!J36</f>
        <v>3.9043000000000001</v>
      </c>
      <c r="H24" s="185">
        <f>'8. RTSR Rates to Forecast 2029'!J36</f>
        <v>4.1167999999999996</v>
      </c>
      <c r="I24" s="185">
        <f>'8. RTSR Rates to Forecast 2030'!J36</f>
        <v>4.3418999999999999</v>
      </c>
      <c r="J24" s="185">
        <f>'8. RTSR Rates to Forecast 2031'!J36</f>
        <v>4.5839999999999996</v>
      </c>
    </row>
    <row r="25" spans="2:11">
      <c r="B25" s="116" t="str">
        <f>'8. RTSR Rates to Forecast 2031'!A37</f>
        <v>General Service 50 To 2,999 kW Service Classification</v>
      </c>
      <c r="C25" s="116" t="str">
        <f>'8. RTSR Rates to Forecast 2031'!B37</f>
        <v>Retail Transmission Rate - Line and Transformation Connection Service Rate - EV CHARGING</v>
      </c>
      <c r="D25" s="185">
        <f>'8. RTSR Rates to Forecast 2027'!D58</f>
        <v>0.6038</v>
      </c>
      <c r="E25" s="185">
        <f>'8. RTSR Rates to Forecast 2027'!D47</f>
        <v>0.590665</v>
      </c>
      <c r="F25" s="185">
        <f>'8. RTSR Rates to Forecast 2027'!J47</f>
        <v>0.62250000000000005</v>
      </c>
      <c r="G25" s="185">
        <f>'8. RTSR Rates to Forecast 2028'!J37</f>
        <v>0.66320000000000001</v>
      </c>
      <c r="H25" s="185">
        <f>'8. RTSR Rates to Forecast 2029'!J37</f>
        <v>0.69930000000000003</v>
      </c>
      <c r="I25" s="185">
        <f>'8. RTSR Rates to Forecast 2030'!J37</f>
        <v>0.73750000000000004</v>
      </c>
      <c r="J25" s="185">
        <f>'8. RTSR Rates to Forecast 2031'!J37</f>
        <v>0.77859999999999996</v>
      </c>
    </row>
    <row r="26" spans="2:11">
      <c r="B26" s="116" t="str">
        <f>'8. RTSR Rates to Forecast 2031'!A38</f>
        <v>General Service 3,000 To 4,999 kW Service Classification</v>
      </c>
      <c r="C26" s="116" t="str">
        <f>'8. RTSR Rates to Forecast 2031'!B38</f>
        <v xml:space="preserve">Retail Transmission Rate - Line and Transformation Connection Service Rate </v>
      </c>
      <c r="D26" s="185">
        <f>'8. RTSR Rates to Forecast 2027'!D59</f>
        <v>0</v>
      </c>
      <c r="E26" s="185">
        <f>'8. RTSR Rates to Forecast 2027'!D48</f>
        <v>3.8157999999999999</v>
      </c>
      <c r="F26" s="185">
        <f>'8. RTSR Rates to Forecast 2027'!J48</f>
        <v>2.4565000000000001</v>
      </c>
      <c r="G26" s="185">
        <f>'8. RTSR Rates to Forecast 2028'!J38</f>
        <v>2.617</v>
      </c>
      <c r="H26" s="185">
        <f>'8. RTSR Rates to Forecast 2029'!J38</f>
        <v>2.7593999999999999</v>
      </c>
      <c r="I26" s="185">
        <f>'8. RTSR Rates to Forecast 2030'!J38</f>
        <v>2.9102999999999999</v>
      </c>
      <c r="J26" s="185">
        <f>'8. RTSR Rates to Forecast 2031'!J38</f>
        <v>3.0726</v>
      </c>
    </row>
    <row r="27" spans="2:11">
      <c r="B27" s="116" t="str">
        <f>'8. RTSR Rates to Forecast 2031'!A39</f>
        <v>General Service 3,000 To 4,999 kW Service Classification</v>
      </c>
      <c r="C27" s="116" t="str">
        <f>'8. RTSR Rates to Forecast 2031'!B39</f>
        <v>Retail Transmission Rate - Line and Transformation Connection Service Rate  - EV CHARGING</v>
      </c>
      <c r="D27" s="185">
        <f>'8. RTSR Rates to Forecast 2027'!D60</f>
        <v>0</v>
      </c>
      <c r="E27" s="185">
        <f>'8. RTSR Rates to Forecast 2027'!D49</f>
        <v>0.64868599999999998</v>
      </c>
      <c r="F27" s="185">
        <f>F26*0.17</f>
        <v>0.41760500000000006</v>
      </c>
      <c r="G27" s="185">
        <f t="shared" ref="G27" si="5">G26*0.17</f>
        <v>0.44489000000000001</v>
      </c>
      <c r="H27" s="185">
        <f t="shared" ref="H27" si="6">H26*0.17</f>
        <v>0.46909800000000001</v>
      </c>
      <c r="I27" s="185">
        <f t="shared" ref="I27" si="7">I26*0.17</f>
        <v>0.494751</v>
      </c>
      <c r="J27" s="185">
        <f t="shared" ref="J27" si="8">J26*0.17</f>
        <v>0.52234200000000008</v>
      </c>
    </row>
    <row r="28" spans="2:11">
      <c r="B28" s="116" t="str">
        <f>'8. RTSR Rates to Forecast 2031'!A40</f>
        <v>Large Use Service Classification</v>
      </c>
      <c r="C28" s="116" t="str">
        <f>'8. RTSR Rates to Forecast 2031'!B40</f>
        <v xml:space="preserve">Retail Transmission Rate - Line and Transformation Connection Service Rate </v>
      </c>
      <c r="D28" s="185"/>
      <c r="E28" s="185">
        <f>'8. RTSR Rates to Forecast 2027'!D50</f>
        <v>3.8157999999999999</v>
      </c>
      <c r="F28" s="185">
        <f>'8. RTSR Rates to Forecast 2027'!J50</f>
        <v>4.0014000000000003</v>
      </c>
      <c r="G28" s="185">
        <f>'8. RTSR Rates to Forecast 2028'!J40</f>
        <v>4.2628000000000004</v>
      </c>
      <c r="H28" s="185">
        <f>'8. RTSR Rates to Forecast 2029'!J40</f>
        <v>4.4947999999999997</v>
      </c>
      <c r="I28" s="185">
        <f>'8. RTSR Rates to Forecast 2030'!J40</f>
        <v>4.7405999999999997</v>
      </c>
      <c r="J28" s="185">
        <f>'8. RTSR Rates to Forecast 2031'!J40</f>
        <v>5.0049000000000001</v>
      </c>
    </row>
    <row r="29" spans="2:11">
      <c r="B29" s="116" t="str">
        <f>'8. RTSR Rates to Forecast 2031'!A41</f>
        <v>Unmetered Scattered Load Service Classification</v>
      </c>
      <c r="C29" s="116" t="str">
        <f>'8. RTSR Rates to Forecast 2031'!B41</f>
        <v>Retail Transmission Rate - Line and Transformation Connection Service Rate</v>
      </c>
      <c r="D29" s="185">
        <f>'8. RTSR Rates to Forecast 2027'!D61</f>
        <v>9.4000000000000004E-3</v>
      </c>
      <c r="E29" s="185">
        <f>'8. RTSR Rates to Forecast 2027'!D51</f>
        <v>7.4999999999999997E-3</v>
      </c>
      <c r="F29" s="185">
        <f>'8. RTSR Rates to Forecast 2027'!J51</f>
        <v>8.3999999999999995E-3</v>
      </c>
      <c r="G29" s="185">
        <f>'8. RTSR Rates to Forecast 2028'!J41</f>
        <v>8.8999999999999999E-3</v>
      </c>
      <c r="H29" s="185">
        <f>'8. RTSR Rates to Forecast 2029'!J41</f>
        <v>9.4000000000000004E-3</v>
      </c>
      <c r="I29" s="185">
        <f>'8. RTSR Rates to Forecast 2030'!J41</f>
        <v>9.9000000000000008E-3</v>
      </c>
      <c r="J29" s="185">
        <f>'8. RTSR Rates to Forecast 2031'!J41</f>
        <v>1.0500000000000001E-2</v>
      </c>
    </row>
    <row r="30" spans="2:11">
      <c r="B30" s="116" t="str">
        <f>'8. RTSR Rates to Forecast 2031'!A42</f>
        <v>Sentinel Lighting Service Classification</v>
      </c>
      <c r="C30" s="116" t="str">
        <f>'8. RTSR Rates to Forecast 2031'!B42</f>
        <v>Retail Transmission Rate - Line and Transformation Connection Service Rate</v>
      </c>
      <c r="D30" s="185">
        <f>'8. RTSR Rates to Forecast 2027'!D62</f>
        <v>2.8033000000000001</v>
      </c>
      <c r="E30" s="185">
        <f>'8. RTSR Rates to Forecast 2027'!D52</f>
        <v>2.1844000000000001</v>
      </c>
      <c r="F30" s="185">
        <f>'8. RTSR Rates to Forecast 2027'!J52</f>
        <v>2.3752</v>
      </c>
      <c r="G30" s="185">
        <f>'8. RTSR Rates to Forecast 2028'!J42</f>
        <v>2.5304000000000002</v>
      </c>
      <c r="H30" s="185">
        <f>'8. RTSR Rates to Forecast 2029'!J42</f>
        <v>2.6680999999999999</v>
      </c>
      <c r="I30" s="185">
        <f>'8. RTSR Rates to Forecast 2030'!J42</f>
        <v>2.8140000000000001</v>
      </c>
      <c r="J30" s="185">
        <f>'8. RTSR Rates to Forecast 2031'!J42</f>
        <v>2.9708999999999999</v>
      </c>
    </row>
    <row r="31" spans="2:11">
      <c r="B31" s="116" t="str">
        <f>'8. RTSR Rates to Forecast 2031'!A43</f>
        <v>Street Lighting Service Classification</v>
      </c>
      <c r="C31" s="116" t="str">
        <f>'8. RTSR Rates to Forecast 2031'!B43</f>
        <v>Retail Transmission Rate - Line and Transformation Connection Service Rate</v>
      </c>
      <c r="D31" s="185">
        <f>'8. RTSR Rates to Forecast 2027'!D63</f>
        <v>2.7458999999999998</v>
      </c>
      <c r="E31" s="185">
        <f>'8. RTSR Rates to Forecast 2027'!D53</f>
        <v>2.2826</v>
      </c>
      <c r="F31" s="185">
        <f>'8. RTSR Rates to Forecast 2027'!J53</f>
        <v>2.5087000000000002</v>
      </c>
      <c r="G31" s="185">
        <f>'8. RTSR Rates to Forecast 2028'!J43</f>
        <v>2.6726000000000001</v>
      </c>
      <c r="H31" s="185">
        <f>'8. RTSR Rates to Forecast 2029'!J43</f>
        <v>2.8180000000000001</v>
      </c>
      <c r="I31" s="185">
        <f>'8. RTSR Rates to Forecast 2030'!J43</f>
        <v>2.9721000000000002</v>
      </c>
      <c r="J31" s="185">
        <f>'8. RTSR Rates to Forecast 2031'!J43</f>
        <v>3.1377999999999999</v>
      </c>
    </row>
    <row r="32" spans="2:11">
      <c r="F32" s="184">
        <f>'8. RTSR Rates to Forecast 2027'!I64</f>
        <v>33799149.748566806</v>
      </c>
      <c r="G32" s="184">
        <f>'8. RTSR Rates to Forecast 2028'!I44</f>
        <v>37279827.90357174</v>
      </c>
      <c r="H32" s="184">
        <f>'8. RTSR Rates to Forecast 2029'!I44</f>
        <v>40354450.875376403</v>
      </c>
      <c r="I32" s="184">
        <f>'8. RTSR Rates to Forecast 2030'!I44</f>
        <v>43172674.82288745</v>
      </c>
      <c r="J32" s="184">
        <f>'8. RTSR Rates to Forecast 2031'!I44</f>
        <v>46249226.84750241</v>
      </c>
      <c r="K32" s="183"/>
    </row>
    <row r="35" spans="7:10">
      <c r="G35" s="213"/>
      <c r="H35" s="213"/>
      <c r="I35" s="213"/>
      <c r="J35" s="213"/>
    </row>
    <row r="36" spans="7:10">
      <c r="G36" s="213"/>
      <c r="H36" s="213"/>
      <c r="I36" s="213"/>
      <c r="J36" s="213"/>
    </row>
    <row r="37" spans="7:10">
      <c r="G37" s="213"/>
      <c r="H37" s="213"/>
      <c r="I37" s="213"/>
      <c r="J37" s="213"/>
    </row>
    <row r="38" spans="7:10">
      <c r="G38" s="213"/>
      <c r="H38" s="213"/>
      <c r="I38" s="213"/>
      <c r="J38" s="213"/>
    </row>
    <row r="39" spans="7:10">
      <c r="G39" s="213"/>
      <c r="H39" s="213"/>
      <c r="I39" s="213"/>
      <c r="J39" s="213"/>
    </row>
    <row r="40" spans="7:10">
      <c r="G40" s="213"/>
      <c r="H40" s="213"/>
      <c r="I40" s="213"/>
      <c r="J40" s="213"/>
    </row>
    <row r="41" spans="7:10">
      <c r="G41" s="213"/>
      <c r="H41" s="213"/>
      <c r="I41" s="213"/>
      <c r="J41" s="213"/>
    </row>
    <row r="42" spans="7:10">
      <c r="G42" s="213"/>
      <c r="H42" s="213"/>
      <c r="I42" s="213"/>
      <c r="J42" s="213"/>
    </row>
    <row r="43" spans="7:10">
      <c r="G43" s="213"/>
      <c r="H43" s="213"/>
      <c r="I43" s="213"/>
      <c r="J43" s="213"/>
    </row>
    <row r="44" spans="7:10">
      <c r="G44" s="213"/>
      <c r="H44" s="213"/>
      <c r="I44" s="213"/>
      <c r="J44" s="213"/>
    </row>
    <row r="45" spans="7:10">
      <c r="G45" s="213"/>
      <c r="H45" s="213"/>
      <c r="I45" s="213"/>
      <c r="J45" s="213"/>
    </row>
    <row r="46" spans="7:10">
      <c r="G46" s="213"/>
      <c r="H46" s="213"/>
      <c r="I46" s="213"/>
      <c r="J46" s="21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C0FA-34B0-4B88-AEE9-5D94352B20CA}">
  <dimension ref="B5:L62"/>
  <sheetViews>
    <sheetView workbookViewId="0">
      <selection activeCell="F15" sqref="F15"/>
    </sheetView>
  </sheetViews>
  <sheetFormatPr defaultColWidth="8.85546875" defaultRowHeight="14.45"/>
  <cols>
    <col min="1" max="1" width="8.85546875" style="116"/>
    <col min="2" max="2" width="25.28515625" style="116" bestFit="1" customWidth="1"/>
    <col min="3" max="3" width="25.28515625" style="116" customWidth="1"/>
    <col min="4" max="4" width="15.28515625" style="116" customWidth="1"/>
    <col min="5" max="5" width="15.140625" style="116" customWidth="1"/>
    <col min="6" max="6" width="15.7109375" style="116" customWidth="1"/>
    <col min="7" max="7" width="13.85546875" style="116" customWidth="1"/>
    <col min="8" max="8" width="16.7109375" style="116" customWidth="1"/>
    <col min="9" max="10" width="12.28515625" style="116" bestFit="1" customWidth="1"/>
    <col min="11" max="11" width="11.85546875" style="116" bestFit="1" customWidth="1"/>
    <col min="12" max="16384" width="8.85546875" style="116"/>
  </cols>
  <sheetData>
    <row r="5" spans="2:10">
      <c r="D5" s="251" t="s">
        <v>196</v>
      </c>
      <c r="E5" s="251"/>
      <c r="F5" s="251"/>
      <c r="G5" s="251" t="s">
        <v>197</v>
      </c>
      <c r="H5" s="251"/>
      <c r="I5" s="251"/>
      <c r="J5" s="191" t="s">
        <v>185</v>
      </c>
    </row>
    <row r="6" spans="2:10" ht="28.9">
      <c r="D6" s="192" t="s">
        <v>205</v>
      </c>
      <c r="E6" s="192" t="s">
        <v>206</v>
      </c>
      <c r="F6" s="192" t="s">
        <v>188</v>
      </c>
      <c r="G6" s="192" t="s">
        <v>205</v>
      </c>
      <c r="H6" s="192" t="s">
        <v>206</v>
      </c>
      <c r="I6" s="192" t="s">
        <v>188</v>
      </c>
      <c r="J6" s="192" t="s">
        <v>207</v>
      </c>
    </row>
    <row r="7" spans="2:10">
      <c r="B7" s="136" t="s">
        <v>208</v>
      </c>
      <c r="C7" s="136" t="s">
        <v>209</v>
      </c>
      <c r="D7" s="193">
        <v>1.4E-3</v>
      </c>
      <c r="E7" s="194">
        <f>'3. RRR Data 2027'!E17</f>
        <v>1069640326.8111155</v>
      </c>
      <c r="F7" s="195">
        <f t="shared" ref="F7:F15" si="0">D7*E7</f>
        <v>1497496.4575355616</v>
      </c>
      <c r="G7" s="193">
        <v>1.1000000000000001E-3</v>
      </c>
      <c r="H7" s="194">
        <f>'3. RRR Data 2027'!E40</f>
        <v>418598267.47919571</v>
      </c>
      <c r="I7" s="195">
        <f>G7*H7</f>
        <v>460458.09422711533</v>
      </c>
      <c r="J7" s="196">
        <f>I7+F7</f>
        <v>1957954.551762677</v>
      </c>
    </row>
    <row r="8" spans="2:10">
      <c r="B8" s="136" t="s">
        <v>210</v>
      </c>
      <c r="C8" s="136" t="s">
        <v>209</v>
      </c>
      <c r="D8" s="193">
        <v>1.9E-3</v>
      </c>
      <c r="E8" s="194">
        <f>'3. RRR Data 2027'!E19</f>
        <v>13098093.680488765</v>
      </c>
      <c r="F8" s="195">
        <f t="shared" si="0"/>
        <v>24886.377992928654</v>
      </c>
      <c r="G8" s="193"/>
      <c r="H8" s="194"/>
      <c r="I8" s="195">
        <f>G8*H8</f>
        <v>0</v>
      </c>
      <c r="J8" s="196">
        <f>I8+F8</f>
        <v>24886.377992928654</v>
      </c>
    </row>
    <row r="9" spans="2:10">
      <c r="B9" s="136" t="s">
        <v>211</v>
      </c>
      <c r="C9" s="136" t="s">
        <v>209</v>
      </c>
      <c r="D9" s="193">
        <v>1.4E-3</v>
      </c>
      <c r="E9" s="194">
        <f>'3. RRR Data 2027'!E21</f>
        <v>265162520.32773042</v>
      </c>
      <c r="F9" s="195">
        <f t="shared" si="0"/>
        <v>371227.52845882258</v>
      </c>
      <c r="G9" s="193">
        <v>1.1000000000000001E-3</v>
      </c>
      <c r="H9" s="194">
        <f>'3. RRR Data 2027'!E42</f>
        <v>94275360.494321525</v>
      </c>
      <c r="I9" s="195">
        <f t="shared" ref="I9:I15" si="1">G9*H9</f>
        <v>103702.89654375368</v>
      </c>
      <c r="J9" s="196">
        <f t="shared" ref="J9:J15" si="2">I9+F9</f>
        <v>474930.42500257626</v>
      </c>
    </row>
    <row r="10" spans="2:10">
      <c r="B10" s="136" t="s">
        <v>212</v>
      </c>
      <c r="C10" s="136" t="s">
        <v>209</v>
      </c>
      <c r="D10" s="193">
        <v>0.59770000000000001</v>
      </c>
      <c r="E10" s="194">
        <f>'3. RRR Data 2027'!F23+'3. RRR Data 2027'!F25</f>
        <v>2485305.7723291707</v>
      </c>
      <c r="F10" s="195">
        <f t="shared" si="0"/>
        <v>1485467.2601211453</v>
      </c>
      <c r="G10" s="193">
        <v>0.3886</v>
      </c>
      <c r="H10" s="194">
        <f>'3. RRR Data 2027'!F44+'3. RRR Data 2027'!F46</f>
        <v>892877.55545320234</v>
      </c>
      <c r="I10" s="195">
        <f t="shared" si="1"/>
        <v>346972.21804911445</v>
      </c>
      <c r="J10" s="196">
        <f t="shared" si="2"/>
        <v>1832439.4781702599</v>
      </c>
    </row>
    <row r="11" spans="2:10">
      <c r="B11" s="136" t="s">
        <v>213</v>
      </c>
      <c r="C11" s="136" t="s">
        <v>209</v>
      </c>
      <c r="D11" s="193">
        <v>0.65639999999999998</v>
      </c>
      <c r="E11" s="194">
        <f>'3. RRR Data 2027'!F27+'3. RRR Data 2027'!F29</f>
        <v>338325.47549037944</v>
      </c>
      <c r="F11" s="195">
        <f t="shared" si="0"/>
        <v>222076.84211188505</v>
      </c>
      <c r="G11" s="193">
        <f>G10</f>
        <v>0.3886</v>
      </c>
      <c r="H11" s="194">
        <f>'3. RRR Data 2027'!F48+'3. RRR Data 2027'!F50</f>
        <v>212773.91901088986</v>
      </c>
      <c r="I11" s="195">
        <f t="shared" si="1"/>
        <v>82683.944927631805</v>
      </c>
      <c r="J11" s="196">
        <f t="shared" si="2"/>
        <v>304760.78703951684</v>
      </c>
    </row>
    <row r="12" spans="2:10">
      <c r="B12" s="136" t="s">
        <v>214</v>
      </c>
      <c r="C12" s="136" t="s">
        <v>209</v>
      </c>
      <c r="D12" s="193">
        <v>0.65839999999999999</v>
      </c>
      <c r="E12" s="194">
        <f>'3. RRR Data 2027'!F31</f>
        <v>699952.55015067151</v>
      </c>
      <c r="F12" s="195">
        <f t="shared" si="0"/>
        <v>460848.75901920209</v>
      </c>
      <c r="G12" s="193"/>
      <c r="H12" s="194"/>
      <c r="I12" s="195">
        <f t="shared" si="1"/>
        <v>0</v>
      </c>
      <c r="J12" s="196">
        <f t="shared" si="2"/>
        <v>460848.75901920209</v>
      </c>
    </row>
    <row r="13" spans="2:10">
      <c r="B13" s="136" t="s">
        <v>215</v>
      </c>
      <c r="C13" s="136" t="s">
        <v>209</v>
      </c>
      <c r="D13" s="193">
        <v>1.4E-3</v>
      </c>
      <c r="E13" s="194">
        <f>'3. RRR Data 2027'!E33</f>
        <v>4588884.6673883721</v>
      </c>
      <c r="F13" s="195">
        <f t="shared" si="0"/>
        <v>6424.4385343437207</v>
      </c>
      <c r="G13" s="193">
        <v>1.1000000000000001E-3</v>
      </c>
      <c r="H13" s="194">
        <f>'3. RRR Data 2027'!E52</f>
        <v>1890889.2596984764</v>
      </c>
      <c r="I13" s="195">
        <f>G13*H13</f>
        <v>2079.9781856683244</v>
      </c>
      <c r="J13" s="196">
        <f>I13+F13</f>
        <v>8504.4167200120446</v>
      </c>
    </row>
    <row r="14" spans="2:10">
      <c r="B14" s="136" t="s">
        <v>216</v>
      </c>
      <c r="C14" s="136" t="s">
        <v>209</v>
      </c>
      <c r="D14" s="193">
        <v>0.37569999999999998</v>
      </c>
      <c r="E14" s="194">
        <f>'3. RRR Data 2027'!F35</f>
        <v>569.18081677203395</v>
      </c>
      <c r="F14" s="195">
        <f t="shared" si="0"/>
        <v>213.84123286125313</v>
      </c>
      <c r="G14" s="193">
        <v>0.30669999999999997</v>
      </c>
      <c r="H14" s="194">
        <f>'3. RRR Data 2027'!F54</f>
        <v>85.218072750022259</v>
      </c>
      <c r="I14" s="195">
        <f>G14*H14</f>
        <v>26.136382912431824</v>
      </c>
      <c r="J14" s="196">
        <f>I14+F14</f>
        <v>239.97761577368496</v>
      </c>
    </row>
    <row r="15" spans="2:10">
      <c r="B15" s="136" t="s">
        <v>217</v>
      </c>
      <c r="C15" s="136" t="s">
        <v>209</v>
      </c>
      <c r="D15" s="193">
        <v>0.3926</v>
      </c>
      <c r="E15" s="194">
        <f>'3. RRR Data 2027'!F37</f>
        <v>33229.794206584047</v>
      </c>
      <c r="F15" s="195">
        <f t="shared" si="0"/>
        <v>13046.017205504897</v>
      </c>
      <c r="G15" s="193">
        <v>0.3004</v>
      </c>
      <c r="H15" s="194">
        <f>'3. RRR Data 2027'!F56</f>
        <v>10314.47561207424</v>
      </c>
      <c r="I15" s="195">
        <f t="shared" si="1"/>
        <v>3098.4684738671017</v>
      </c>
      <c r="J15" s="196">
        <f t="shared" si="2"/>
        <v>16144.485679371999</v>
      </c>
    </row>
    <row r="16" spans="2:10">
      <c r="B16" s="197" t="s">
        <v>146</v>
      </c>
      <c r="C16" s="197"/>
      <c r="D16" s="197"/>
      <c r="E16" s="197"/>
      <c r="F16" s="198">
        <f>SUM(F7:F15)</f>
        <v>4081687.5222122548</v>
      </c>
      <c r="G16" s="197"/>
      <c r="H16" s="197"/>
      <c r="I16" s="198">
        <f>SUM(I7:I15)</f>
        <v>999021.73679006298</v>
      </c>
      <c r="J16" s="198">
        <f>SUM(J7:J15)</f>
        <v>5080709.2590023177</v>
      </c>
    </row>
    <row r="17" spans="2:12">
      <c r="E17" s="199"/>
    </row>
    <row r="18" spans="2:12" ht="43.9" customHeight="1">
      <c r="D18" s="192" t="s">
        <v>218</v>
      </c>
      <c r="E18" s="192" t="s">
        <v>219</v>
      </c>
      <c r="F18" s="192" t="str">
        <f>H6</f>
        <v>2027 Billed kWh/kW</v>
      </c>
      <c r="G18" s="192" t="s">
        <v>220</v>
      </c>
      <c r="H18" s="192" t="s">
        <v>221</v>
      </c>
    </row>
    <row r="19" spans="2:12">
      <c r="B19" s="136" t="str">
        <f t="shared" ref="B19:C28" si="3">B7</f>
        <v>Residential</v>
      </c>
      <c r="C19" s="136" t="str">
        <f t="shared" si="3"/>
        <v>Low Voltage Charge</v>
      </c>
      <c r="D19" s="200">
        <f>'8. RTSR Rates to Forecast 2027'!K43</f>
        <v>0.41042140922795284</v>
      </c>
      <c r="E19" s="188">
        <f t="shared" ref="E19:E27" si="4">$E$28*D19</f>
        <v>2180557.4678786327</v>
      </c>
      <c r="F19" s="201">
        <f t="shared" ref="F19:F27" si="5">E7+H7</f>
        <v>1488238594.2903113</v>
      </c>
      <c r="G19" s="190">
        <f t="shared" ref="G19:G27" si="6">E19/F19</f>
        <v>1.4651934684696603E-3</v>
      </c>
      <c r="H19" s="206" t="s">
        <v>222</v>
      </c>
      <c r="K19" s="202"/>
      <c r="L19" s="202"/>
    </row>
    <row r="20" spans="2:12">
      <c r="B20" s="136" t="str">
        <f t="shared" si="3"/>
        <v>Seasonal Residential</v>
      </c>
      <c r="C20" s="136" t="str">
        <f t="shared" si="3"/>
        <v>Low Voltage Charge</v>
      </c>
      <c r="D20" s="200">
        <f>'8. RTSR Rates to Forecast 2027'!K44</f>
        <v>4.3594231916133088E-3</v>
      </c>
      <c r="E20" s="188">
        <f t="shared" si="4"/>
        <v>23161.493485433595</v>
      </c>
      <c r="F20" s="201">
        <f t="shared" si="5"/>
        <v>13098093.680488765</v>
      </c>
      <c r="G20" s="190">
        <f t="shared" si="6"/>
        <v>1.768310263342788E-3</v>
      </c>
      <c r="H20" s="206" t="s">
        <v>222</v>
      </c>
      <c r="K20" s="202"/>
      <c r="L20" s="202"/>
    </row>
    <row r="21" spans="2:12">
      <c r="B21" s="136" t="str">
        <f t="shared" si="3"/>
        <v>GS &lt;50</v>
      </c>
      <c r="C21" s="136" t="str">
        <f t="shared" si="3"/>
        <v>Low Voltage Charge</v>
      </c>
      <c r="D21" s="200">
        <f>'8. RTSR Rates to Forecast 2027'!K45</f>
        <v>9.2898252200148357E-2</v>
      </c>
      <c r="E21" s="188">
        <f t="shared" si="4"/>
        <v>493565.81560635986</v>
      </c>
      <c r="F21" s="201">
        <f t="shared" si="5"/>
        <v>359437880.82205194</v>
      </c>
      <c r="G21" s="190">
        <f t="shared" si="6"/>
        <v>1.3731602647933233E-3</v>
      </c>
      <c r="H21" s="206" t="s">
        <v>222</v>
      </c>
      <c r="K21" s="202"/>
      <c r="L21" s="202"/>
    </row>
    <row r="22" spans="2:12">
      <c r="B22" s="136" t="str">
        <f t="shared" si="3"/>
        <v>GS 50 - 2,999 kW</v>
      </c>
      <c r="C22" s="136" t="str">
        <f t="shared" si="3"/>
        <v>Low Voltage Charge</v>
      </c>
      <c r="D22" s="200">
        <f>'8. RTSR Rates to Forecast 2027'!K46+'8. RTSR Rates to Forecast 2027'!K47</f>
        <v>0.36443607708947667</v>
      </c>
      <c r="E22" s="188">
        <f t="shared" si="4"/>
        <v>1936238.6844212613</v>
      </c>
      <c r="F22" s="201">
        <f t="shared" si="5"/>
        <v>3378183.3277823729</v>
      </c>
      <c r="G22" s="190">
        <f t="shared" si="6"/>
        <v>0.57315974195287855</v>
      </c>
      <c r="H22" s="206" t="s">
        <v>141</v>
      </c>
      <c r="K22" s="202"/>
      <c r="L22" s="202"/>
    </row>
    <row r="23" spans="2:12">
      <c r="B23" s="136" t="str">
        <f t="shared" si="3"/>
        <v>GS 3,000 - 4,999 kW</v>
      </c>
      <c r="C23" s="136" t="str">
        <f t="shared" si="3"/>
        <v>Low Voltage Charge</v>
      </c>
      <c r="D23" s="200">
        <f>'8. RTSR Rates to Forecast 2027'!K48+'8. RTSR Rates to Forecast 2027'!K49</f>
        <v>4.005389255115023E-2</v>
      </c>
      <c r="E23" s="188">
        <f t="shared" si="4"/>
        <v>212805.21083028938</v>
      </c>
      <c r="F23" s="201">
        <f t="shared" si="5"/>
        <v>551099.39450126933</v>
      </c>
      <c r="G23" s="190">
        <f t="shared" si="6"/>
        <v>0.38614669686377096</v>
      </c>
      <c r="H23" s="206" t="s">
        <v>141</v>
      </c>
      <c r="K23" s="202"/>
      <c r="L23" s="202"/>
    </row>
    <row r="24" spans="2:12">
      <c r="B24" s="136" t="str">
        <f t="shared" si="3"/>
        <v>Large Use &gt;5MW</v>
      </c>
      <c r="C24" s="136" t="str">
        <f t="shared" si="3"/>
        <v>Low Voltage Charge</v>
      </c>
      <c r="D24" s="200">
        <f>'8. RTSR Rates to Forecast 2027'!K50</f>
        <v>8.2866429645525375E-2</v>
      </c>
      <c r="E24" s="188">
        <f t="shared" si="4"/>
        <v>440267.02296036796</v>
      </c>
      <c r="F24" s="201">
        <f t="shared" si="5"/>
        <v>699952.55015067151</v>
      </c>
      <c r="G24" s="190">
        <f t="shared" si="6"/>
        <v>0.62899552671905579</v>
      </c>
      <c r="H24" s="206" t="s">
        <v>141</v>
      </c>
      <c r="K24" s="202"/>
      <c r="L24" s="202"/>
    </row>
    <row r="25" spans="2:12">
      <c r="B25" s="136" t="str">
        <f t="shared" si="3"/>
        <v>Unmetered Scattered Load</v>
      </c>
      <c r="C25" s="136" t="str">
        <f t="shared" si="3"/>
        <v>Low Voltage Charge</v>
      </c>
      <c r="D25" s="200">
        <f>'8. RTSR Rates to Forecast 2027'!K51</f>
        <v>1.6864725014183724E-3</v>
      </c>
      <c r="E25" s="188">
        <f t="shared" si="4"/>
        <v>8960.181229964277</v>
      </c>
      <c r="F25" s="201">
        <f t="shared" si="5"/>
        <v>6479773.9270868488</v>
      </c>
      <c r="G25" s="190">
        <f t="shared" si="6"/>
        <v>1.3827922595430055E-3</v>
      </c>
      <c r="H25" s="206" t="s">
        <v>222</v>
      </c>
      <c r="J25" s="212"/>
      <c r="K25" s="202"/>
      <c r="L25" s="202"/>
    </row>
    <row r="26" spans="2:12">
      <c r="B26" s="136" t="str">
        <f t="shared" si="3"/>
        <v>Sentinel</v>
      </c>
      <c r="C26" s="136" t="str">
        <f t="shared" si="3"/>
        <v>Low Voltage Charge</v>
      </c>
      <c r="D26" s="200">
        <f>'8. RTSR Rates to Forecast 2027'!K52</f>
        <v>4.5986902979920969E-5</v>
      </c>
      <c r="E26" s="188">
        <f t="shared" si="4"/>
        <v>244.32712929403192</v>
      </c>
      <c r="F26" s="201">
        <f t="shared" si="5"/>
        <v>654.39888952205615</v>
      </c>
      <c r="G26" s="190">
        <f t="shared" si="6"/>
        <v>0.37336116122152591</v>
      </c>
      <c r="H26" s="206" t="s">
        <v>141</v>
      </c>
      <c r="K26" s="202"/>
      <c r="L26" s="202"/>
    </row>
    <row r="27" spans="2:12">
      <c r="B27" s="136" t="str">
        <f t="shared" si="3"/>
        <v>Street Light</v>
      </c>
      <c r="C27" s="136" t="str">
        <f t="shared" si="3"/>
        <v>Low Voltage Charge</v>
      </c>
      <c r="D27" s="200">
        <f>'8. RTSR Rates to Forecast 2027'!K53</f>
        <v>3.2320566897348288E-3</v>
      </c>
      <c r="E27" s="188">
        <f t="shared" si="4"/>
        <v>17171.826793017048</v>
      </c>
      <c r="F27" s="201">
        <f t="shared" si="5"/>
        <v>43544.269818658286</v>
      </c>
      <c r="G27" s="190">
        <f t="shared" si="6"/>
        <v>0.39435330675034286</v>
      </c>
      <c r="H27" s="206" t="s">
        <v>141</v>
      </c>
      <c r="K27" s="202"/>
      <c r="L27" s="202"/>
    </row>
    <row r="28" spans="2:12">
      <c r="B28" s="136" t="str">
        <f t="shared" si="3"/>
        <v>Total</v>
      </c>
      <c r="C28" s="136"/>
      <c r="D28" s="203">
        <v>0.99999999999999967</v>
      </c>
      <c r="E28" s="208">
        <f>J16*'4. UTRs &amp; Sub-Transmission'!$AA$43</f>
        <v>5312972.0303346207</v>
      </c>
      <c r="F28" s="136"/>
      <c r="G28" s="136"/>
      <c r="H28" s="205"/>
      <c r="K28" s="202"/>
      <c r="L28" s="202"/>
    </row>
    <row r="29" spans="2:12">
      <c r="K29" s="202"/>
    </row>
    <row r="30" spans="2:12">
      <c r="D30" s="191">
        <v>2027</v>
      </c>
      <c r="E30" s="191">
        <v>2028</v>
      </c>
      <c r="F30" s="191">
        <v>2029</v>
      </c>
      <c r="G30" s="191">
        <v>2030</v>
      </c>
      <c r="H30" s="191">
        <v>2031</v>
      </c>
      <c r="K30" s="202"/>
    </row>
    <row r="31" spans="2:12">
      <c r="B31" s="136" t="str">
        <f t="shared" ref="B31:C39" si="7">B19</f>
        <v>Residential</v>
      </c>
      <c r="C31" s="136" t="str">
        <f t="shared" si="7"/>
        <v>Low Voltage Charge</v>
      </c>
      <c r="D31" s="207">
        <f t="shared" ref="D31:D39" si="8">G19</f>
        <v>1.4651934684696603E-3</v>
      </c>
      <c r="E31" s="207">
        <f>D31*'4. UTRs &amp; Sub-Transmission'!$AA$43</f>
        <v>1.532174253666485E-3</v>
      </c>
      <c r="F31" s="207">
        <f>E31*'4. UTRs &amp; Sub-Transmission'!$AA$43</f>
        <v>1.6022170410371721E-3</v>
      </c>
      <c r="G31" s="207">
        <f>F31*'4. UTRs &amp; Sub-Transmission'!$AA$43</f>
        <v>1.6754618088946839E-3</v>
      </c>
      <c r="H31" s="207">
        <f>G31*'4. UTRs &amp; Sub-Transmission'!$AA$43</f>
        <v>1.7520549346095233E-3</v>
      </c>
      <c r="J31" s="209"/>
      <c r="K31" s="210"/>
    </row>
    <row r="32" spans="2:12">
      <c r="B32" s="136" t="str">
        <f t="shared" si="7"/>
        <v>Seasonal Residential</v>
      </c>
      <c r="C32" s="136" t="str">
        <f t="shared" si="7"/>
        <v>Low Voltage Charge</v>
      </c>
      <c r="D32" s="207">
        <f t="shared" si="8"/>
        <v>1.768310263342788E-3</v>
      </c>
      <c r="E32" s="207">
        <f>D32*'4. UTRs &amp; Sub-Transmission'!$AA$43</f>
        <v>1.8491479222998764E-3</v>
      </c>
      <c r="F32" s="207">
        <f>E32*'4. UTRs &amp; Sub-Transmission'!$AA$43</f>
        <v>1.9336810453625169E-3</v>
      </c>
      <c r="G32" s="207">
        <f>F32*'4. UTRs &amp; Sub-Transmission'!$AA$43</f>
        <v>2.0220785693249167E-3</v>
      </c>
      <c r="H32" s="207">
        <f>G32*'4. UTRs &amp; Sub-Transmission'!$AA$43</f>
        <v>2.114517153865235E-3</v>
      </c>
      <c r="K32" s="210"/>
    </row>
    <row r="33" spans="2:11">
      <c r="B33" s="136" t="str">
        <f t="shared" si="7"/>
        <v>GS &lt;50</v>
      </c>
      <c r="C33" s="136" t="str">
        <f t="shared" si="7"/>
        <v>Low Voltage Charge</v>
      </c>
      <c r="D33" s="207">
        <f t="shared" si="8"/>
        <v>1.3731602647933233E-3</v>
      </c>
      <c r="E33" s="207">
        <f>D33*'4. UTRs &amp; Sub-Transmission'!$AA$43</f>
        <v>1.4359337856396873E-3</v>
      </c>
      <c r="F33" s="207">
        <f>E33*'4. UTRs &amp; Sub-Transmission'!$AA$43</f>
        <v>1.5015769751041145E-3</v>
      </c>
      <c r="G33" s="207">
        <f>F33*'4. UTRs &amp; Sub-Transmission'!$AA$43</f>
        <v>1.5702210190411895E-3</v>
      </c>
      <c r="H33" s="207">
        <f>G33*'4. UTRs &amp; Sub-Transmission'!$AA$43</f>
        <v>1.6420031004190079E-3</v>
      </c>
      <c r="K33" s="210"/>
    </row>
    <row r="34" spans="2:11">
      <c r="B34" s="136" t="str">
        <f t="shared" si="7"/>
        <v>GS 50 - 2,999 kW</v>
      </c>
      <c r="C34" s="136" t="str">
        <f t="shared" si="7"/>
        <v>Low Voltage Charge</v>
      </c>
      <c r="D34" s="207">
        <f t="shared" si="8"/>
        <v>0.57315974195287855</v>
      </c>
      <c r="E34" s="207">
        <f>D34*'4. UTRs &amp; Sub-Transmission'!$AA$43</f>
        <v>0.59936153058036323</v>
      </c>
      <c r="F34" s="207">
        <f>E34*'4. UTRs &amp; Sub-Transmission'!$AA$43</f>
        <v>0.62676112442169674</v>
      </c>
      <c r="G34" s="207">
        <f>F34*'4. UTRs &amp; Sub-Transmission'!$AA$43</f>
        <v>0.65541328070550653</v>
      </c>
      <c r="H34" s="207">
        <f>G34*'4. UTRs &amp; Sub-Transmission'!$AA$43</f>
        <v>0.68537525986716208</v>
      </c>
      <c r="K34" s="210"/>
    </row>
    <row r="35" spans="2:11">
      <c r="B35" s="136" t="str">
        <f t="shared" si="7"/>
        <v>GS 3,000 - 4,999 kW</v>
      </c>
      <c r="C35" s="136" t="str">
        <f t="shared" si="7"/>
        <v>Low Voltage Charge</v>
      </c>
      <c r="D35" s="207">
        <f t="shared" si="8"/>
        <v>0.38614669686377096</v>
      </c>
      <c r="E35" s="207">
        <f>D35*'4. UTRs &amp; Sub-Transmission'!$AA$43</f>
        <v>0.40379925232056674</v>
      </c>
      <c r="F35" s="207">
        <f>E35*'4. UTRs &amp; Sub-Transmission'!$AA$43</f>
        <v>0.42225878791389126</v>
      </c>
      <c r="G35" s="207">
        <f>F35*'4. UTRs &amp; Sub-Transmission'!$AA$43</f>
        <v>0.44156219444645839</v>
      </c>
      <c r="H35" s="207">
        <f>G35*'4. UTRs &amp; Sub-Transmission'!$AA$43</f>
        <v>0.46174804917057749</v>
      </c>
      <c r="K35" s="210"/>
    </row>
    <row r="36" spans="2:11">
      <c r="B36" s="136" t="str">
        <f t="shared" si="7"/>
        <v>Large Use &gt;5MW</v>
      </c>
      <c r="C36" s="136" t="str">
        <f t="shared" si="7"/>
        <v>Low Voltage Charge</v>
      </c>
      <c r="D36" s="207">
        <f t="shared" si="8"/>
        <v>0.62899552671905579</v>
      </c>
      <c r="E36" s="207">
        <f>D36*'4. UTRs &amp; Sub-Transmission'!$AA$43</f>
        <v>0.65774982788921899</v>
      </c>
      <c r="F36" s="207">
        <f>E36*'4. UTRs &amp; Sub-Transmission'!$AA$43</f>
        <v>0.68781862145346528</v>
      </c>
      <c r="G36" s="207">
        <f>F36*'4. UTRs &amp; Sub-Transmission'!$AA$43</f>
        <v>0.7192619989523219</v>
      </c>
      <c r="H36" s="207">
        <f>G36*'4. UTRs &amp; Sub-Transmission'!$AA$43</f>
        <v>0.7521427989891819</v>
      </c>
      <c r="K36" s="210"/>
    </row>
    <row r="37" spans="2:11">
      <c r="B37" s="136" t="str">
        <f t="shared" si="7"/>
        <v>Unmetered Scattered Load</v>
      </c>
      <c r="C37" s="136" t="str">
        <f t="shared" si="7"/>
        <v>Low Voltage Charge</v>
      </c>
      <c r="D37" s="207">
        <f t="shared" si="8"/>
        <v>1.3827922595430055E-3</v>
      </c>
      <c r="E37" s="207">
        <f>D37*'4. UTRs &amp; Sub-Transmission'!$AA$43</f>
        <v>1.4460061035174948E-3</v>
      </c>
      <c r="F37" s="207">
        <f>E37*'4. UTRs &amp; Sub-Transmission'!$AA$43</f>
        <v>1.5121097453213064E-3</v>
      </c>
      <c r="G37" s="207">
        <f>F37*'4. UTRs &amp; Sub-Transmission'!$AA$43</f>
        <v>1.5812352910085782E-3</v>
      </c>
      <c r="H37" s="207">
        <f>G37*'4. UTRs &amp; Sub-Transmission'!$AA$43</f>
        <v>1.6535208858135468E-3</v>
      </c>
      <c r="K37" s="210"/>
    </row>
    <row r="38" spans="2:11">
      <c r="B38" s="136" t="str">
        <f t="shared" si="7"/>
        <v>Sentinel</v>
      </c>
      <c r="C38" s="136" t="str">
        <f t="shared" si="7"/>
        <v>Low Voltage Charge</v>
      </c>
      <c r="D38" s="207">
        <f t="shared" si="8"/>
        <v>0.37336116122152591</v>
      </c>
      <c r="E38" s="207">
        <f>D38*'4. UTRs &amp; Sub-Transmission'!$AA$43</f>
        <v>0.39042923057808399</v>
      </c>
      <c r="F38" s="207">
        <f>E38*'4. UTRs &amp; Sub-Transmission'!$AA$43</f>
        <v>0.40827756050220398</v>
      </c>
      <c r="G38" s="207">
        <f>F38*'4. UTRs &amp; Sub-Transmission'!$AA$43</f>
        <v>0.42694182032124645</v>
      </c>
      <c r="H38" s="207">
        <f>G38*'4. UTRs &amp; Sub-Transmission'!$AA$43</f>
        <v>0.44645930997286709</v>
      </c>
      <c r="K38" s="210"/>
    </row>
    <row r="39" spans="2:11">
      <c r="B39" s="136" t="str">
        <f t="shared" si="7"/>
        <v>Street Light</v>
      </c>
      <c r="C39" s="136" t="str">
        <f t="shared" si="7"/>
        <v>Low Voltage Charge</v>
      </c>
      <c r="D39" s="207">
        <f t="shared" si="8"/>
        <v>0.39435330675034286</v>
      </c>
      <c r="E39" s="207">
        <f>D39*'4. UTRs &amp; Sub-Transmission'!$AA$43</f>
        <v>0.41238102438594681</v>
      </c>
      <c r="F39" s="207">
        <f>E39*'4. UTRs &amp; Sub-Transmission'!$AA$43</f>
        <v>0.43123287256029841</v>
      </c>
      <c r="G39" s="207">
        <f>F39*'4. UTRs &amp; Sub-Transmission'!$AA$43</f>
        <v>0.45094652610049579</v>
      </c>
      <c r="H39" s="207">
        <f>G39*'4. UTRs &amp; Sub-Transmission'!$AA$43</f>
        <v>0.47156138212462162</v>
      </c>
      <c r="K39" s="210"/>
    </row>
    <row r="40" spans="2:11">
      <c r="F40" s="204"/>
      <c r="G40" s="189"/>
    </row>
    <row r="41" spans="2:11">
      <c r="D41" s="191">
        <v>2027</v>
      </c>
      <c r="E41" s="191">
        <v>2028</v>
      </c>
      <c r="F41" s="191">
        <v>2029</v>
      </c>
      <c r="G41" s="191">
        <v>2030</v>
      </c>
      <c r="H41" s="191">
        <v>2031</v>
      </c>
    </row>
    <row r="42" spans="2:11">
      <c r="B42" s="136" t="str">
        <f>B31</f>
        <v>Residential</v>
      </c>
      <c r="C42" s="206" t="str">
        <f>H19</f>
        <v>kWh</v>
      </c>
      <c r="D42" s="211">
        <f>'3. RRR Data 2027'!$E$17+'3. RRR Data 2027'!$E$40</f>
        <v>1488238594.2903113</v>
      </c>
      <c r="E42" s="211">
        <f>'3. RRR Data 2028'!$E$17+'3. RRR Data 2028'!$E$40</f>
        <v>1513735022.8510861</v>
      </c>
      <c r="F42" s="211">
        <f>'3. RRR Data 2029'!$E$17+'3. RRR Data 2029'!$E$40</f>
        <v>1538539852.4418883</v>
      </c>
      <c r="G42" s="211">
        <f>'3. RRR Data 2030'!$E$17+'3. RRR Data 2030'!$E$40</f>
        <v>1572032734.82868</v>
      </c>
      <c r="H42" s="211">
        <f>'3. RRR Data 2031'!$E$17+'3. RRR Data 2031'!$E$40</f>
        <v>1605702006.6028969</v>
      </c>
    </row>
    <row r="43" spans="2:11">
      <c r="B43" s="136" t="str">
        <f t="shared" ref="B43:B50" si="9">B32</f>
        <v>Seasonal Residential</v>
      </c>
      <c r="C43" s="206" t="str">
        <f t="shared" ref="C43:C50" si="10">H20</f>
        <v>kWh</v>
      </c>
      <c r="D43" s="211">
        <f>'3. RRR Data 2027'!$E$19</f>
        <v>13098093.680488765</v>
      </c>
      <c r="E43" s="211">
        <f>'3. RRR Data 2028'!$E$19</f>
        <v>13453586.472312599</v>
      </c>
      <c r="F43" s="211">
        <f>'3. RRR Data 2029'!$E$19</f>
        <v>13869843.856722418</v>
      </c>
      <c r="G43" s="211">
        <f>'3. RRR Data 2030'!$E$19</f>
        <v>14368853.521388374</v>
      </c>
      <c r="H43" s="211">
        <f>'3. RRR Data 2031'!$E$19</f>
        <v>14809342.656845005</v>
      </c>
    </row>
    <row r="44" spans="2:11">
      <c r="B44" s="136" t="str">
        <f t="shared" si="9"/>
        <v>GS &lt;50</v>
      </c>
      <c r="C44" s="206" t="str">
        <f t="shared" si="10"/>
        <v>kWh</v>
      </c>
      <c r="D44" s="211">
        <f>'3. RRR Data 2027'!$E$21+'3. RRR Data 2027'!$E$42</f>
        <v>359437880.82205194</v>
      </c>
      <c r="E44" s="211">
        <f>'3. RRR Data 2028'!$E$21+'3. RRR Data 2028'!$E$42</f>
        <v>358097513.91528559</v>
      </c>
      <c r="F44" s="211">
        <f>'3. RRR Data 2029'!$E$21+'3. RRR Data 2029'!$E$42</f>
        <v>357895100.39429229</v>
      </c>
      <c r="G44" s="211">
        <f>'3. RRR Data 2030'!$E$21+'3. RRR Data 2030'!$E$42</f>
        <v>358082662.44900864</v>
      </c>
      <c r="H44" s="211">
        <f>'3. RRR Data 2031'!$E$21+'3. RRR Data 2031'!$E$42</f>
        <v>360015336.731493</v>
      </c>
    </row>
    <row r="45" spans="2:11">
      <c r="B45" s="136" t="str">
        <f t="shared" si="9"/>
        <v>GS 50 - 2,999 kW</v>
      </c>
      <c r="C45" s="206" t="str">
        <f t="shared" si="10"/>
        <v>kW</v>
      </c>
      <c r="D45" s="211">
        <f>'3. RRR Data 2027'!$F$23+'3. RRR Data 2027'!$F$25+'3. RRR Data 2027'!$F$44+'3. RRR Data 2027'!$F$46</f>
        <v>3378183.3277823729</v>
      </c>
      <c r="E45" s="211">
        <f>'3. RRR Data 2028'!$F$23+'3. RRR Data 2028'!$F$25+'3. RRR Data 2028'!$F$44+'3. RRR Data 2028'!$F$46</f>
        <v>3458748.7548119472</v>
      </c>
      <c r="F45" s="211">
        <f>'3. RRR Data 2029'!$F$23+'3. RRR Data 2029'!$F$25+'3. RRR Data 2029'!$F$44+'3. RRR Data 2029'!$F$46</f>
        <v>3507687.9638242777</v>
      </c>
      <c r="G45" s="211">
        <f>'3. RRR Data 2030'!$F$23+'3. RRR Data 2030'!$F$25+'3. RRR Data 2030'!$F$44+'3. RRR Data 2030'!$F$46</f>
        <v>3532228.7784286458</v>
      </c>
      <c r="H45" s="211">
        <f>'3. RRR Data 2031'!$F$23+'3. RRR Data 2031'!$F$25+'3. RRR Data 2031'!$F$44+'3. RRR Data 2031'!$F$46</f>
        <v>3579799.5387636712</v>
      </c>
    </row>
    <row r="46" spans="2:11">
      <c r="B46" s="136" t="str">
        <f t="shared" si="9"/>
        <v>GS 3,000 - 4,999 kW</v>
      </c>
      <c r="C46" s="206" t="str">
        <f t="shared" si="10"/>
        <v>kW</v>
      </c>
      <c r="D46" s="211">
        <f>'3. RRR Data 2027'!$F$27+'3. RRR Data 2027'!$F$29+'3. RRR Data 2027'!$F$48+'3. RRR Data 2027'!$F$50</f>
        <v>551099.39450126933</v>
      </c>
      <c r="E46" s="211">
        <f>'3. RRR Data 2028'!$F$27+'3. RRR Data 2028'!$F$29+'3. RRR Data 2028'!$F$48+'3. RRR Data 2028'!$F$50</f>
        <v>629794.28788087575</v>
      </c>
      <c r="F46" s="211">
        <f>'3. RRR Data 2029'!$F$27+'3. RRR Data 2029'!$F$29+'3. RRR Data 2029'!$F$48+'3. RRR Data 2029'!$F$50</f>
        <v>678659.53619359934</v>
      </c>
      <c r="G46" s="211">
        <f>'3. RRR Data 2030'!$F$27+'3. RRR Data 2030'!$F$29+'3. RRR Data 2030'!$F$48+'3. RRR Data 2030'!$F$50</f>
        <v>705895.77289685945</v>
      </c>
      <c r="H46" s="211">
        <f>'3. RRR Data 2031'!$F$27+'3. RRR Data 2031'!$F$29+'3. RRR Data 2031'!$F$48+'3. RRR Data 2031'!$F$50</f>
        <v>729423.29021182051</v>
      </c>
    </row>
    <row r="47" spans="2:11">
      <c r="B47" s="136" t="str">
        <f t="shared" si="9"/>
        <v>Large Use &gt;5MW</v>
      </c>
      <c r="C47" s="206" t="str">
        <f t="shared" si="10"/>
        <v>kW</v>
      </c>
      <c r="D47" s="211">
        <f>'3. RRR Data 2027'!$F$31</f>
        <v>699952.55015067151</v>
      </c>
      <c r="E47" s="211">
        <f>'3. RRR Data 2028'!$F$31</f>
        <v>859120.04118846369</v>
      </c>
      <c r="F47" s="211">
        <f>'3. RRR Data 2029'!$F$31</f>
        <v>942415.91802328057</v>
      </c>
      <c r="G47" s="211">
        <f>'3. RRR Data 2030'!$F$31</f>
        <v>962455.75796249323</v>
      </c>
      <c r="H47" s="211">
        <f>'3. RRR Data 2031'!$F$31</f>
        <v>977675.44389935944</v>
      </c>
    </row>
    <row r="48" spans="2:11">
      <c r="B48" s="136" t="str">
        <f t="shared" si="9"/>
        <v>Unmetered Scattered Load</v>
      </c>
      <c r="C48" s="206" t="str">
        <f t="shared" si="10"/>
        <v>kWh</v>
      </c>
      <c r="D48" s="211">
        <f>'3. RRR Data 2027'!$E$33+'3. RRR Data 2027'!$E$52</f>
        <v>6479773.9270868488</v>
      </c>
      <c r="E48" s="211">
        <f>'3. RRR Data 2028'!$E$33+'3. RRR Data 2028'!$E$52</f>
        <v>6450483.6168868821</v>
      </c>
      <c r="F48" s="211">
        <f>'3. RRR Data 2029'!$E$33+'3. RRR Data 2029'!$E$52</f>
        <v>6421580.5485769762</v>
      </c>
      <c r="G48" s="211">
        <f>'3. RRR Data 2030'!$E$33+'3. RRR Data 2030'!$E$52</f>
        <v>6393062.1316104801</v>
      </c>
      <c r="H48" s="211">
        <f>'3. RRR Data 2031'!$E$33+'3. RRR Data 2031'!$E$52</f>
        <v>6364925.8013524516</v>
      </c>
    </row>
    <row r="49" spans="2:8">
      <c r="B49" s="136" t="str">
        <f t="shared" si="9"/>
        <v>Sentinel</v>
      </c>
      <c r="C49" s="206" t="str">
        <f t="shared" si="10"/>
        <v>kW</v>
      </c>
      <c r="D49" s="211">
        <f>'3. RRR Data 2027'!$F$35+'3. RRR Data 2027'!$F$54</f>
        <v>654.39888952205615</v>
      </c>
      <c r="E49" s="211">
        <f>'3. RRR Data 2028'!$F$35+'3. RRR Data 2028'!$F$54</f>
        <v>644.51221350638025</v>
      </c>
      <c r="F49" s="211">
        <f>'3. RRR Data 2029'!$F$35+'3. RRR Data 2029'!$F$54</f>
        <v>634.86173214226346</v>
      </c>
      <c r="G49" s="211">
        <f>'3. RRR Data 2030'!$F$35+'3. RRR Data 2030'!$F$54</f>
        <v>625.44345118936644</v>
      </c>
      <c r="H49" s="211">
        <f>'3. RRR Data 2031'!$F$35+'3. RRR Data 2031'!$F$54</f>
        <v>616.25346374616186</v>
      </c>
    </row>
    <row r="50" spans="2:8">
      <c r="B50" s="136" t="str">
        <f t="shared" si="9"/>
        <v>Street Light</v>
      </c>
      <c r="C50" s="206" t="str">
        <f t="shared" si="10"/>
        <v>kW</v>
      </c>
      <c r="D50" s="211">
        <f>'3. RRR Data 2027'!$F$37+'3. RRR Data 2027'!$F$56</f>
        <v>43544.269818658286</v>
      </c>
      <c r="E50" s="211">
        <f>'3. RRR Data 2028'!$F$37+'3. RRR Data 2028'!$F$56</f>
        <v>44090.904046101437</v>
      </c>
      <c r="F50" s="211">
        <f>'3. RRR Data 2029'!$F$37+'3. RRR Data 2029'!$F$56</f>
        <v>44644.724030707992</v>
      </c>
      <c r="G50" s="211">
        <f>'3. RRR Data 2030'!$F$37+'3. RRR Data 2030'!$F$56</f>
        <v>45205.829194696213</v>
      </c>
      <c r="H50" s="211">
        <f>'3. RRR Data 2031'!$F$37+'3. RRR Data 2031'!$F$56</f>
        <v>45774.320408562664</v>
      </c>
    </row>
    <row r="52" spans="2:8">
      <c r="D52" s="191">
        <v>2027</v>
      </c>
      <c r="E52" s="191">
        <v>2028</v>
      </c>
      <c r="F52" s="191">
        <v>2029</v>
      </c>
      <c r="G52" s="191">
        <v>2030</v>
      </c>
      <c r="H52" s="191">
        <v>2031</v>
      </c>
    </row>
    <row r="53" spans="2:8">
      <c r="B53" s="136" t="str">
        <f>B42</f>
        <v>Residential</v>
      </c>
      <c r="C53" s="205" t="s">
        <v>223</v>
      </c>
      <c r="D53" s="188">
        <f t="shared" ref="D53:H61" si="11">D31*D42</f>
        <v>2180557.4678786327</v>
      </c>
      <c r="E53" s="188">
        <f t="shared" si="11"/>
        <v>2319305.8288856824</v>
      </c>
      <c r="F53" s="188">
        <f t="shared" si="11"/>
        <v>2465074.7698972099</v>
      </c>
      <c r="G53" s="188">
        <f t="shared" si="11"/>
        <v>2633880.8095377171</v>
      </c>
      <c r="H53" s="188">
        <f t="shared" si="11"/>
        <v>2813278.1241810191</v>
      </c>
    </row>
    <row r="54" spans="2:8">
      <c r="B54" s="136" t="str">
        <f t="shared" ref="B54:B61" si="12">B43</f>
        <v>Seasonal Residential</v>
      </c>
      <c r="C54" s="205" t="s">
        <v>223</v>
      </c>
      <c r="D54" s="188">
        <f t="shared" si="11"/>
        <v>23161.493485433595</v>
      </c>
      <c r="E54" s="188">
        <f t="shared" si="11"/>
        <v>24877.671472758568</v>
      </c>
      <c r="F54" s="188">
        <f t="shared" si="11"/>
        <v>26819.854167881891</v>
      </c>
      <c r="G54" s="188">
        <f t="shared" si="11"/>
        <v>29054.950771368294</v>
      </c>
      <c r="H54" s="188">
        <f t="shared" si="11"/>
        <v>31314.609085366919</v>
      </c>
    </row>
    <row r="55" spans="2:8">
      <c r="B55" s="136" t="str">
        <f t="shared" si="12"/>
        <v>GS &lt;50</v>
      </c>
      <c r="C55" s="205" t="s">
        <v>223</v>
      </c>
      <c r="D55" s="188">
        <f t="shared" si="11"/>
        <v>493565.81560635986</v>
      </c>
      <c r="E55" s="188">
        <f t="shared" si="11"/>
        <v>514204.31878453662</v>
      </c>
      <c r="F55" s="188">
        <f t="shared" si="11"/>
        <v>537407.0422546448</v>
      </c>
      <c r="G55" s="188">
        <f t="shared" si="11"/>
        <v>562268.92313166463</v>
      </c>
      <c r="H55" s="188">
        <f t="shared" si="11"/>
        <v>591146.29911150469</v>
      </c>
    </row>
    <row r="56" spans="2:8">
      <c r="B56" s="136" t="str">
        <f t="shared" si="12"/>
        <v>GS 50 - 2,999 kW</v>
      </c>
      <c r="C56" s="205" t="s">
        <v>223</v>
      </c>
      <c r="D56" s="188">
        <f t="shared" si="11"/>
        <v>1936238.6844212615</v>
      </c>
      <c r="E56" s="188">
        <f t="shared" si="11"/>
        <v>2073040.9475770141</v>
      </c>
      <c r="F56" s="188">
        <f t="shared" si="11"/>
        <v>2198482.4523269562</v>
      </c>
      <c r="G56" s="188">
        <f t="shared" si="11"/>
        <v>2315069.6518723224</v>
      </c>
      <c r="H56" s="188">
        <f t="shared" si="11"/>
        <v>2453506.0391524979</v>
      </c>
    </row>
    <row r="57" spans="2:8">
      <c r="B57" s="136" t="str">
        <f t="shared" si="12"/>
        <v>GS 3,000 - 4,999 kW</v>
      </c>
      <c r="C57" s="205" t="s">
        <v>223</v>
      </c>
      <c r="D57" s="188">
        <f t="shared" si="11"/>
        <v>212805.21083028938</v>
      </c>
      <c r="E57" s="188">
        <f t="shared" si="11"/>
        <v>254310.46256206138</v>
      </c>
      <c r="F57" s="188">
        <f t="shared" si="11"/>
        <v>286569.95315931289</v>
      </c>
      <c r="G57" s="188">
        <f t="shared" si="11"/>
        <v>311696.88653081609</v>
      </c>
      <c r="H57" s="188">
        <f t="shared" si="11"/>
        <v>336809.7812748921</v>
      </c>
    </row>
    <row r="58" spans="2:8">
      <c r="B58" s="136" t="str">
        <f t="shared" si="12"/>
        <v>Large Use &gt;5MW</v>
      </c>
      <c r="C58" s="205" t="s">
        <v>223</v>
      </c>
      <c r="D58" s="188">
        <f t="shared" si="11"/>
        <v>440267.02296036796</v>
      </c>
      <c r="E58" s="188">
        <f t="shared" si="11"/>
        <v>565086.05922789068</v>
      </c>
      <c r="F58" s="188">
        <f t="shared" si="11"/>
        <v>648211.21757057484</v>
      </c>
      <c r="G58" s="188">
        <f t="shared" si="11"/>
        <v>692257.85237527499</v>
      </c>
      <c r="H58" s="188">
        <f t="shared" si="11"/>
        <v>735351.5448774551</v>
      </c>
    </row>
    <row r="59" spans="2:8">
      <c r="B59" s="136" t="str">
        <f t="shared" si="12"/>
        <v>Unmetered Scattered Load</v>
      </c>
      <c r="C59" s="205" t="s">
        <v>223</v>
      </c>
      <c r="D59" s="188">
        <f t="shared" si="11"/>
        <v>8960.181229964277</v>
      </c>
      <c r="E59" s="188">
        <f t="shared" si="11"/>
        <v>9327.4386806580369</v>
      </c>
      <c r="F59" s="188">
        <f t="shared" si="11"/>
        <v>9710.134527868986</v>
      </c>
      <c r="G59" s="188">
        <f t="shared" si="11"/>
        <v>10108.935460113018</v>
      </c>
      <c r="H59" s="188">
        <f t="shared" si="11"/>
        <v>10524.537749189805</v>
      </c>
    </row>
    <row r="60" spans="2:8">
      <c r="B60" s="136" t="str">
        <f t="shared" si="12"/>
        <v>Sentinel</v>
      </c>
      <c r="C60" s="205" t="s">
        <v>223</v>
      </c>
      <c r="D60" s="188">
        <f t="shared" si="11"/>
        <v>244.32712929403192</v>
      </c>
      <c r="E60" s="188">
        <f t="shared" si="11"/>
        <v>251.63640761747382</v>
      </c>
      <c r="F60" s="188">
        <f t="shared" si="11"/>
        <v>259.199799255247</v>
      </c>
      <c r="G60" s="188">
        <f t="shared" si="11"/>
        <v>267.02796555879075</v>
      </c>
      <c r="H60" s="188">
        <f t="shared" si="11"/>
        <v>275.13209619250068</v>
      </c>
    </row>
    <row r="61" spans="2:8">
      <c r="B61" s="136" t="str">
        <f t="shared" si="12"/>
        <v>Street Light</v>
      </c>
      <c r="C61" s="205" t="s">
        <v>223</v>
      </c>
      <c r="D61" s="188">
        <f t="shared" si="11"/>
        <v>17171.826793017048</v>
      </c>
      <c r="E61" s="188">
        <f t="shared" si="11"/>
        <v>18182.2521766338</v>
      </c>
      <c r="F61" s="188">
        <f t="shared" si="11"/>
        <v>19252.272588423992</v>
      </c>
      <c r="G61" s="188">
        <f t="shared" si="11"/>
        <v>20385.411634840631</v>
      </c>
      <c r="H61" s="188">
        <f t="shared" si="11"/>
        <v>21585.401797677085</v>
      </c>
    </row>
    <row r="62" spans="2:8">
      <c r="B62" s="197" t="s">
        <v>146</v>
      </c>
      <c r="C62" s="191" t="s">
        <v>223</v>
      </c>
      <c r="D62" s="208">
        <f>SUM(D53:D61)</f>
        <v>5312972.0303346189</v>
      </c>
      <c r="E62" s="208">
        <f t="shared" ref="E62:H62" si="13">SUM(E53:E61)</f>
        <v>5778586.6157748532</v>
      </c>
      <c r="F62" s="208">
        <f t="shared" si="13"/>
        <v>6191786.8962921286</v>
      </c>
      <c r="G62" s="208">
        <f t="shared" si="13"/>
        <v>6574990.4492796762</v>
      </c>
      <c r="H62" s="208">
        <f t="shared" si="13"/>
        <v>6993791.4693257958</v>
      </c>
    </row>
  </sheetData>
  <mergeCells count="2">
    <mergeCell ref="D5:F5"/>
    <mergeCell ref="G5:I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24C6-8B24-4921-B060-661D948A150A}">
  <dimension ref="A1:AZ59"/>
  <sheetViews>
    <sheetView workbookViewId="0">
      <selection activeCell="A32" sqref="A32"/>
    </sheetView>
  </sheetViews>
  <sheetFormatPr defaultColWidth="13.7109375" defaultRowHeight="13.15"/>
  <cols>
    <col min="1" max="1" width="65.28515625" style="1" customWidth="1"/>
    <col min="2" max="2" width="76" style="1" bestFit="1" customWidth="1"/>
    <col min="3" max="3" width="6.42578125" style="1" bestFit="1" customWidth="1"/>
    <col min="4" max="4" width="10.5703125" style="1" customWidth="1"/>
    <col min="5" max="5" width="18.28515625" style="1" customWidth="1"/>
    <col min="6" max="6" width="14" style="1" customWidth="1"/>
    <col min="7" max="7" width="13.7109375" style="1"/>
    <col min="8" max="8" width="14.5703125" style="1" customWidth="1"/>
    <col min="9" max="16384" width="13.7109375" style="1"/>
  </cols>
  <sheetData>
    <row r="1" spans="1:52">
      <c r="AZ1" s="2">
        <v>1</v>
      </c>
    </row>
    <row r="13" spans="1:52" ht="33" customHeight="1" thickBot="1">
      <c r="A13" s="225" t="s">
        <v>95</v>
      </c>
      <c r="B13" s="225"/>
      <c r="C13" s="225"/>
      <c r="D13" s="225"/>
      <c r="E13" s="225"/>
      <c r="F13" s="225"/>
      <c r="G13" s="225"/>
      <c r="H13" s="225"/>
      <c r="I13" s="3"/>
      <c r="J13" s="3"/>
      <c r="K13" s="3"/>
      <c r="L13" s="3"/>
    </row>
    <row r="14" spans="1:52" ht="18" thickBot="1">
      <c r="A14" s="4" t="s">
        <v>96</v>
      </c>
      <c r="B14" s="5">
        <v>0.17</v>
      </c>
    </row>
    <row r="15" spans="1:52" ht="41.45">
      <c r="A15" s="6" t="s">
        <v>97</v>
      </c>
      <c r="B15" s="6" t="s">
        <v>98</v>
      </c>
      <c r="C15" s="7" t="s">
        <v>99</v>
      </c>
      <c r="D15" s="8" t="s">
        <v>100</v>
      </c>
      <c r="E15" s="9" t="s">
        <v>101</v>
      </c>
      <c r="F15" s="9" t="s">
        <v>102</v>
      </c>
      <c r="G15" s="10" t="s">
        <v>103</v>
      </c>
      <c r="H15" s="11" t="s">
        <v>104</v>
      </c>
      <c r="I15" s="11"/>
    </row>
    <row r="16" spans="1:52">
      <c r="A16" s="125" t="s">
        <v>105</v>
      </c>
      <c r="D16" s="12"/>
      <c r="E16" s="13"/>
      <c r="F16" s="13"/>
      <c r="G16" s="12"/>
    </row>
    <row r="17" spans="1:10">
      <c r="A17" s="1" t="s">
        <v>106</v>
      </c>
      <c r="B17" s="1" t="s">
        <v>107</v>
      </c>
      <c r="C17" s="14" t="s">
        <v>108</v>
      </c>
      <c r="D17" s="15">
        <v>1.17E-2</v>
      </c>
      <c r="E17" s="16">
        <v>1069640326.8111155</v>
      </c>
      <c r="F17" s="16">
        <v>0</v>
      </c>
      <c r="G17" s="17">
        <v>1.0415000000000001</v>
      </c>
      <c r="H17" s="13">
        <f>E17*G17</f>
        <v>1114030400.3737769</v>
      </c>
    </row>
    <row r="18" spans="1:10">
      <c r="A18" s="1" t="s">
        <v>106</v>
      </c>
      <c r="B18" s="1" t="s">
        <v>109</v>
      </c>
      <c r="C18" s="14" t="s">
        <v>108</v>
      </c>
      <c r="D18" s="15">
        <v>8.0000000000000002E-3</v>
      </c>
      <c r="E18" s="16">
        <f>E17</f>
        <v>1069640326.8111155</v>
      </c>
      <c r="F18" s="16">
        <v>0</v>
      </c>
      <c r="G18" s="17">
        <f>G17</f>
        <v>1.0415000000000001</v>
      </c>
      <c r="H18" s="13">
        <f>E18*G18</f>
        <v>1114030400.3737769</v>
      </c>
    </row>
    <row r="19" spans="1:10">
      <c r="A19" s="1" t="s">
        <v>110</v>
      </c>
      <c r="B19" s="1" t="s">
        <v>107</v>
      </c>
      <c r="C19" s="14" t="s">
        <v>108</v>
      </c>
      <c r="D19" s="15">
        <v>1.2200000000000001E-2</v>
      </c>
      <c r="E19" s="16">
        <v>13098093.680488765</v>
      </c>
      <c r="F19" s="16">
        <v>0</v>
      </c>
      <c r="G19" s="17">
        <v>1.0415000000000001</v>
      </c>
      <c r="H19" s="13">
        <f t="shared" ref="H19:H22" si="0">E19*G19</f>
        <v>13641664.568229049</v>
      </c>
    </row>
    <row r="20" spans="1:10">
      <c r="A20" s="1" t="s">
        <v>110</v>
      </c>
      <c r="B20" s="1" t="s">
        <v>109</v>
      </c>
      <c r="C20" s="14" t="s">
        <v>108</v>
      </c>
      <c r="D20" s="15">
        <v>1.03E-2</v>
      </c>
      <c r="E20" s="16">
        <f>E19</f>
        <v>13098093.680488765</v>
      </c>
      <c r="F20" s="16">
        <v>0</v>
      </c>
      <c r="G20" s="17">
        <f>G19</f>
        <v>1.0415000000000001</v>
      </c>
      <c r="H20" s="13">
        <f t="shared" si="0"/>
        <v>13641664.568229049</v>
      </c>
    </row>
    <row r="21" spans="1:10">
      <c r="A21" s="1" t="s">
        <v>111</v>
      </c>
      <c r="B21" s="1" t="s">
        <v>107</v>
      </c>
      <c r="C21" s="14" t="s">
        <v>108</v>
      </c>
      <c r="D21" s="15">
        <v>1.0699999999999999E-2</v>
      </c>
      <c r="E21" s="16">
        <v>265162520.32773042</v>
      </c>
      <c r="F21" s="16">
        <v>0</v>
      </c>
      <c r="G21" s="17">
        <v>1.0415000000000001</v>
      </c>
      <c r="H21" s="13">
        <f t="shared" si="0"/>
        <v>276166764.92133123</v>
      </c>
    </row>
    <row r="22" spans="1:10">
      <c r="A22" s="1" t="s">
        <v>111</v>
      </c>
      <c r="B22" s="1" t="s">
        <v>109</v>
      </c>
      <c r="C22" s="14" t="s">
        <v>108</v>
      </c>
      <c r="D22" s="15">
        <v>7.4999999999999997E-3</v>
      </c>
      <c r="E22" s="16">
        <f>E21</f>
        <v>265162520.32773042</v>
      </c>
      <c r="F22" s="16">
        <v>0</v>
      </c>
      <c r="G22" s="17">
        <f>G21</f>
        <v>1.0415000000000001</v>
      </c>
      <c r="H22" s="13">
        <f t="shared" si="0"/>
        <v>276166764.92133123</v>
      </c>
    </row>
    <row r="23" spans="1:10">
      <c r="A23" s="1" t="s">
        <v>112</v>
      </c>
      <c r="B23" s="1" t="s">
        <v>107</v>
      </c>
      <c r="C23" s="14" t="s">
        <v>113</v>
      </c>
      <c r="D23" s="15">
        <v>5.2130999999999998</v>
      </c>
      <c r="E23" s="18">
        <v>1016594297.0959731</v>
      </c>
      <c r="F23" s="19">
        <v>2469235.8815826704</v>
      </c>
      <c r="G23" s="12"/>
      <c r="I23" s="214"/>
      <c r="J23" s="214"/>
    </row>
    <row r="24" spans="1:10">
      <c r="A24" s="1" t="s">
        <v>112</v>
      </c>
      <c r="B24" s="1" t="s">
        <v>109</v>
      </c>
      <c r="C24" s="14" t="s">
        <v>113</v>
      </c>
      <c r="D24" s="15">
        <v>3.4744999999999999</v>
      </c>
      <c r="E24" s="20">
        <f>E23</f>
        <v>1016594297.0959731</v>
      </c>
      <c r="F24" s="21">
        <f>F23</f>
        <v>2469235.8815826704</v>
      </c>
      <c r="G24" s="12"/>
      <c r="I24" s="214"/>
      <c r="J24" s="214"/>
    </row>
    <row r="25" spans="1:10">
      <c r="A25" s="1" t="s">
        <v>112</v>
      </c>
      <c r="B25" s="1" t="s">
        <v>114</v>
      </c>
      <c r="C25" s="14" t="s">
        <v>113</v>
      </c>
      <c r="D25" s="15">
        <f>D23*$B$14</f>
        <v>0.88622699999999999</v>
      </c>
      <c r="E25" s="22">
        <v>275941.00459593016</v>
      </c>
      <c r="F25" s="19">
        <v>16069.890746500329</v>
      </c>
      <c r="G25" s="12"/>
      <c r="I25" s="214"/>
      <c r="J25" s="214"/>
    </row>
    <row r="26" spans="1:10">
      <c r="A26" s="1" t="s">
        <v>112</v>
      </c>
      <c r="B26" s="1" t="s">
        <v>115</v>
      </c>
      <c r="C26" s="14" t="s">
        <v>113</v>
      </c>
      <c r="D26" s="15">
        <f>D24*$B$14</f>
        <v>0.590665</v>
      </c>
      <c r="E26" s="18">
        <f>E25</f>
        <v>275941.00459593016</v>
      </c>
      <c r="F26" s="19">
        <f>F25</f>
        <v>16069.890746500329</v>
      </c>
      <c r="G26" s="12"/>
    </row>
    <row r="27" spans="1:10">
      <c r="A27" s="1" t="s">
        <v>116</v>
      </c>
      <c r="B27" s="1" t="s">
        <v>107</v>
      </c>
      <c r="C27" s="14" t="s">
        <v>113</v>
      </c>
      <c r="D27" s="15">
        <v>5.7435</v>
      </c>
      <c r="E27" s="18">
        <v>148548759.54812661</v>
      </c>
      <c r="F27" s="19">
        <v>338325.47549037944</v>
      </c>
      <c r="G27" s="12"/>
    </row>
    <row r="28" spans="1:10">
      <c r="A28" s="1" t="s">
        <v>116</v>
      </c>
      <c r="B28" s="1" t="s">
        <v>117</v>
      </c>
      <c r="C28" s="14" t="s">
        <v>113</v>
      </c>
      <c r="D28" s="15">
        <v>3.8157999999999999</v>
      </c>
      <c r="E28" s="20">
        <f>E27</f>
        <v>148548759.54812661</v>
      </c>
      <c r="F28" s="21">
        <f>F27</f>
        <v>338325.47549037944</v>
      </c>
      <c r="G28" s="12"/>
    </row>
    <row r="29" spans="1:10">
      <c r="A29" s="1" t="s">
        <v>116</v>
      </c>
      <c r="B29" s="1" t="s">
        <v>114</v>
      </c>
      <c r="C29" s="14" t="s">
        <v>113</v>
      </c>
      <c r="D29" s="15">
        <f>D27*$B$14</f>
        <v>0.97639500000000012</v>
      </c>
      <c r="E29" s="22">
        <v>0</v>
      </c>
      <c r="F29" s="23">
        <v>0</v>
      </c>
      <c r="G29" s="12"/>
    </row>
    <row r="30" spans="1:10">
      <c r="A30" s="1" t="s">
        <v>116</v>
      </c>
      <c r="B30" s="1" t="s">
        <v>118</v>
      </c>
      <c r="C30" s="14" t="s">
        <v>113</v>
      </c>
      <c r="D30" s="15">
        <f>D28*$B$14</f>
        <v>0.64868599999999998</v>
      </c>
      <c r="E30" s="20">
        <f>E29</f>
        <v>0</v>
      </c>
      <c r="F30" s="21">
        <v>0</v>
      </c>
      <c r="G30" s="12"/>
    </row>
    <row r="31" spans="1:10">
      <c r="A31" s="1" t="s">
        <v>119</v>
      </c>
      <c r="B31" s="1" t="s">
        <v>107</v>
      </c>
      <c r="C31" s="14" t="s">
        <v>113</v>
      </c>
      <c r="D31" s="15">
        <v>5.7435</v>
      </c>
      <c r="E31" s="16">
        <v>409486870.75309747</v>
      </c>
      <c r="F31" s="16">
        <v>699952.55015067151</v>
      </c>
      <c r="G31" s="12"/>
    </row>
    <row r="32" spans="1:10">
      <c r="A32" s="1" t="s">
        <v>119</v>
      </c>
      <c r="B32" s="1" t="s">
        <v>117</v>
      </c>
      <c r="C32" s="14" t="s">
        <v>113</v>
      </c>
      <c r="D32" s="15">
        <v>3.8157999999999999</v>
      </c>
      <c r="E32" s="16">
        <f>E31</f>
        <v>409486870.75309747</v>
      </c>
      <c r="F32" s="16">
        <f>F31</f>
        <v>699952.55015067151</v>
      </c>
      <c r="G32" s="12"/>
    </row>
    <row r="33" spans="1:10">
      <c r="A33" s="1" t="s">
        <v>120</v>
      </c>
      <c r="B33" s="1" t="s">
        <v>107</v>
      </c>
      <c r="C33" s="14" t="s">
        <v>108</v>
      </c>
      <c r="D33" s="15">
        <v>1.0699999999999999E-2</v>
      </c>
      <c r="E33" s="16">
        <v>4588884.6673883721</v>
      </c>
      <c r="F33" s="16">
        <v>0</v>
      </c>
      <c r="G33" s="17">
        <v>1.0415000000000001</v>
      </c>
      <c r="H33" s="13">
        <f t="shared" ref="H33:H34" si="1">E33*G33</f>
        <v>4779323.3810849898</v>
      </c>
    </row>
    <row r="34" spans="1:10">
      <c r="A34" s="1" t="s">
        <v>120</v>
      </c>
      <c r="B34" s="1" t="s">
        <v>109</v>
      </c>
      <c r="C34" s="14" t="s">
        <v>108</v>
      </c>
      <c r="D34" s="15">
        <v>7.4999999999999997E-3</v>
      </c>
      <c r="E34" s="16">
        <f>E33</f>
        <v>4588884.6673883721</v>
      </c>
      <c r="F34" s="16">
        <v>0</v>
      </c>
      <c r="G34" s="17">
        <f>G33</f>
        <v>1.0415000000000001</v>
      </c>
      <c r="H34" s="13">
        <f t="shared" si="1"/>
        <v>4779323.3810849898</v>
      </c>
    </row>
    <row r="35" spans="1:10">
      <c r="A35" s="1" t="s">
        <v>121</v>
      </c>
      <c r="B35" s="1" t="s">
        <v>107</v>
      </c>
      <c r="C35" s="14" t="s">
        <v>113</v>
      </c>
      <c r="D35" s="15">
        <v>3.2515999999999998</v>
      </c>
      <c r="E35" s="16">
        <v>81257.397810338269</v>
      </c>
      <c r="F35" s="16">
        <v>569.18081677203395</v>
      </c>
      <c r="G35" s="12"/>
    </row>
    <row r="36" spans="1:10">
      <c r="A36" s="1" t="s">
        <v>121</v>
      </c>
      <c r="B36" s="1" t="s">
        <v>109</v>
      </c>
      <c r="C36" s="14" t="s">
        <v>113</v>
      </c>
      <c r="D36" s="15">
        <v>2.1844000000000001</v>
      </c>
      <c r="E36" s="16">
        <f>E35</f>
        <v>81257.397810338269</v>
      </c>
      <c r="F36" s="16">
        <f>F35</f>
        <v>569.18081677203395</v>
      </c>
      <c r="G36" s="12"/>
    </row>
    <row r="37" spans="1:10">
      <c r="A37" s="1" t="s">
        <v>122</v>
      </c>
      <c r="B37" s="1" t="s">
        <v>107</v>
      </c>
      <c r="C37" s="14" t="s">
        <v>113</v>
      </c>
      <c r="D37" s="15">
        <v>3.4237000000000002</v>
      </c>
      <c r="E37" s="16">
        <v>11913243.997131227</v>
      </c>
      <c r="F37" s="16">
        <v>33229.794206584047</v>
      </c>
      <c r="G37" s="12"/>
    </row>
    <row r="38" spans="1:10">
      <c r="A38" s="1" t="s">
        <v>122</v>
      </c>
      <c r="B38" s="1" t="s">
        <v>109</v>
      </c>
      <c r="C38" s="14" t="s">
        <v>113</v>
      </c>
      <c r="D38" s="15">
        <v>2.2826</v>
      </c>
      <c r="E38" s="16">
        <f>E37</f>
        <v>11913243.997131227</v>
      </c>
      <c r="F38" s="16">
        <f>F37</f>
        <v>33229.794206584047</v>
      </c>
      <c r="G38" s="12"/>
    </row>
    <row r="39" spans="1:10">
      <c r="A39" s="125" t="s">
        <v>123</v>
      </c>
      <c r="C39" s="14"/>
      <c r="D39" s="15"/>
      <c r="E39" s="16"/>
      <c r="F39" s="16"/>
      <c r="G39" s="12"/>
    </row>
    <row r="40" spans="1:10">
      <c r="A40" s="1" t="s">
        <v>106</v>
      </c>
      <c r="B40" s="1" t="s">
        <v>107</v>
      </c>
      <c r="C40" s="1" t="s">
        <v>108</v>
      </c>
      <c r="D40" s="1">
        <v>1.3100000000000001E-2</v>
      </c>
      <c r="E40" s="13">
        <v>418598267.47919571</v>
      </c>
      <c r="F40" s="1">
        <v>0</v>
      </c>
      <c r="G40" s="12">
        <f>G17</f>
        <v>1.0415000000000001</v>
      </c>
      <c r="H40" s="13">
        <f t="shared" ref="H40:H43" si="2">E40*G40</f>
        <v>435970095.57958239</v>
      </c>
    </row>
    <row r="41" spans="1:10">
      <c r="A41" s="1" t="s">
        <v>106</v>
      </c>
      <c r="B41" s="1" t="s">
        <v>109</v>
      </c>
      <c r="C41" s="1" t="s">
        <v>108</v>
      </c>
      <c r="D41" s="12">
        <v>9.9000000000000008E-3</v>
      </c>
      <c r="E41" s="118">
        <f>E40</f>
        <v>418598267.47919571</v>
      </c>
      <c r="F41" s="1">
        <v>0</v>
      </c>
      <c r="G41" s="12">
        <f>G18</f>
        <v>1.0415000000000001</v>
      </c>
      <c r="H41" s="13">
        <f t="shared" si="2"/>
        <v>435970095.57958239</v>
      </c>
    </row>
    <row r="42" spans="1:10">
      <c r="A42" s="1" t="s">
        <v>111</v>
      </c>
      <c r="B42" s="1" t="s">
        <v>107</v>
      </c>
      <c r="C42" s="1" t="s">
        <v>108</v>
      </c>
      <c r="D42" s="1">
        <v>1.2E-2</v>
      </c>
      <c r="E42" s="118">
        <v>94275360.494321525</v>
      </c>
      <c r="F42" s="1">
        <v>0</v>
      </c>
      <c r="G42" s="12">
        <f>G19</f>
        <v>1.0415000000000001</v>
      </c>
      <c r="H42" s="13">
        <f t="shared" si="2"/>
        <v>98187787.954835877</v>
      </c>
    </row>
    <row r="43" spans="1:10">
      <c r="A43" s="1" t="s">
        <v>111</v>
      </c>
      <c r="B43" s="1" t="s">
        <v>109</v>
      </c>
      <c r="C43" s="1" t="s">
        <v>108</v>
      </c>
      <c r="D43" s="1">
        <v>9.4000000000000004E-3</v>
      </c>
      <c r="E43" s="118">
        <f>E42</f>
        <v>94275360.494321525</v>
      </c>
      <c r="F43" s="1">
        <v>0</v>
      </c>
      <c r="G43" s="12">
        <f>G20</f>
        <v>1.0415000000000001</v>
      </c>
      <c r="H43" s="13">
        <f t="shared" si="2"/>
        <v>98187787.954835877</v>
      </c>
    </row>
    <row r="44" spans="1:10">
      <c r="A44" s="1" t="s">
        <v>124</v>
      </c>
      <c r="B44" s="1" t="s">
        <v>107</v>
      </c>
      <c r="C44" s="1" t="s">
        <v>113</v>
      </c>
      <c r="D44" s="1">
        <v>4.7407000000000004</v>
      </c>
      <c r="E44" s="118">
        <v>357540756.66291136</v>
      </c>
      <c r="F44" s="13">
        <v>888163.20871598262</v>
      </c>
      <c r="G44" s="1">
        <v>0</v>
      </c>
      <c r="H44" s="1">
        <v>0</v>
      </c>
    </row>
    <row r="45" spans="1:10">
      <c r="A45" s="1" t="s">
        <v>124</v>
      </c>
      <c r="B45" s="1" t="s">
        <v>109</v>
      </c>
      <c r="C45" s="1" t="s">
        <v>113</v>
      </c>
      <c r="D45" s="1">
        <v>3.5516999999999999</v>
      </c>
      <c r="E45" s="118">
        <f>E44</f>
        <v>357540756.66291136</v>
      </c>
      <c r="F45" s="13">
        <f>F44</f>
        <v>888163.20871598262</v>
      </c>
      <c r="G45" s="1">
        <v>0</v>
      </c>
      <c r="H45" s="1">
        <v>0</v>
      </c>
      <c r="I45" s="214"/>
      <c r="J45" s="214"/>
    </row>
    <row r="46" spans="1:10">
      <c r="A46" s="1" t="s">
        <v>124</v>
      </c>
      <c r="B46" s="1" t="s">
        <v>114</v>
      </c>
      <c r="C46" s="1" t="s">
        <v>113</v>
      </c>
      <c r="D46" s="1">
        <v>0.80589999999999995</v>
      </c>
      <c r="E46" s="118">
        <v>542398.50322326459</v>
      </c>
      <c r="F46" s="13">
        <v>4714.3467372197119</v>
      </c>
      <c r="G46" s="1">
        <v>0</v>
      </c>
      <c r="H46" s="1">
        <v>0</v>
      </c>
      <c r="I46" s="214"/>
      <c r="J46" s="214"/>
    </row>
    <row r="47" spans="1:10">
      <c r="A47" s="1" t="s">
        <v>124</v>
      </c>
      <c r="B47" s="1" t="s">
        <v>115</v>
      </c>
      <c r="C47" s="1" t="s">
        <v>113</v>
      </c>
      <c r="D47" s="1">
        <v>0.6038</v>
      </c>
      <c r="E47" s="118">
        <f>E46</f>
        <v>542398.50322326459</v>
      </c>
      <c r="F47" s="119">
        <f>F46</f>
        <v>4714.3467372197119</v>
      </c>
      <c r="G47" s="1">
        <v>0</v>
      </c>
      <c r="H47" s="1">
        <v>0</v>
      </c>
      <c r="I47" s="214"/>
      <c r="J47" s="214"/>
    </row>
    <row r="48" spans="1:10">
      <c r="A48" s="1" t="s">
        <v>116</v>
      </c>
      <c r="B48" s="1" t="s">
        <v>107</v>
      </c>
      <c r="C48" s="1" t="s">
        <v>108</v>
      </c>
      <c r="E48" s="118">
        <v>110222602.40971854</v>
      </c>
      <c r="F48" s="13">
        <v>212773.91901088986</v>
      </c>
    </row>
    <row r="49" spans="1:8">
      <c r="A49" s="1" t="s">
        <v>116</v>
      </c>
      <c r="B49" s="1" t="s">
        <v>117</v>
      </c>
      <c r="C49" s="1" t="s">
        <v>108</v>
      </c>
      <c r="E49" s="118">
        <f>E48</f>
        <v>110222602.40971854</v>
      </c>
      <c r="F49" s="13">
        <f>F48</f>
        <v>212773.91901088986</v>
      </c>
    </row>
    <row r="50" spans="1:8">
      <c r="A50" s="1" t="s">
        <v>116</v>
      </c>
      <c r="B50" s="1" t="s">
        <v>114</v>
      </c>
      <c r="C50" s="1" t="s">
        <v>113</v>
      </c>
      <c r="E50" s="118"/>
    </row>
    <row r="51" spans="1:8">
      <c r="A51" s="1" t="s">
        <v>116</v>
      </c>
      <c r="B51" s="1" t="s">
        <v>118</v>
      </c>
      <c r="C51" s="1" t="s">
        <v>113</v>
      </c>
      <c r="E51" s="118"/>
    </row>
    <row r="52" spans="1:8">
      <c r="A52" s="1" t="s">
        <v>120</v>
      </c>
      <c r="B52" s="1" t="s">
        <v>107</v>
      </c>
      <c r="C52" s="1" t="s">
        <v>108</v>
      </c>
      <c r="D52" s="1">
        <v>1.2E-2</v>
      </c>
      <c r="E52" s="118">
        <v>1890889.2596984764</v>
      </c>
      <c r="F52" s="1">
        <v>0</v>
      </c>
      <c r="G52" s="12">
        <f>G33</f>
        <v>1.0415000000000001</v>
      </c>
      <c r="H52" s="13">
        <f t="shared" ref="H52:H53" si="3">E52*G52</f>
        <v>1969361.1639759634</v>
      </c>
    </row>
    <row r="53" spans="1:8">
      <c r="A53" s="1" t="s">
        <v>120</v>
      </c>
      <c r="B53" s="1" t="s">
        <v>109</v>
      </c>
      <c r="C53" s="1" t="s">
        <v>108</v>
      </c>
      <c r="D53" s="1">
        <v>9.4000000000000004E-3</v>
      </c>
      <c r="E53" s="118">
        <f>E52</f>
        <v>1890889.2596984764</v>
      </c>
      <c r="F53" s="1">
        <v>0</v>
      </c>
      <c r="G53" s="12">
        <f>G34</f>
        <v>1.0415000000000001</v>
      </c>
      <c r="H53" s="13">
        <f t="shared" si="3"/>
        <v>1969361.1639759634</v>
      </c>
    </row>
    <row r="54" spans="1:8">
      <c r="A54" s="1" t="s">
        <v>121</v>
      </c>
      <c r="B54" s="1" t="s">
        <v>107</v>
      </c>
      <c r="C54" s="1" t="s">
        <v>113</v>
      </c>
      <c r="D54" s="1">
        <v>3.5928</v>
      </c>
      <c r="E54" s="118">
        <v>6200.3547820638823</v>
      </c>
      <c r="F54" s="13">
        <v>85.218072750022259</v>
      </c>
      <c r="G54" s="1">
        <v>0</v>
      </c>
      <c r="H54" s="1">
        <v>0</v>
      </c>
    </row>
    <row r="55" spans="1:8">
      <c r="A55" s="1" t="s">
        <v>121</v>
      </c>
      <c r="B55" s="1" t="s">
        <v>109</v>
      </c>
      <c r="C55" s="1" t="s">
        <v>113</v>
      </c>
      <c r="D55" s="1">
        <v>2.8033000000000001</v>
      </c>
      <c r="E55" s="118">
        <f>E54</f>
        <v>6200.3547820638823</v>
      </c>
      <c r="F55" s="13">
        <f>F54</f>
        <v>85.218072750022259</v>
      </c>
      <c r="G55" s="1">
        <v>0</v>
      </c>
      <c r="H55" s="1">
        <v>0</v>
      </c>
    </row>
    <row r="56" spans="1:8">
      <c r="A56" s="1" t="s">
        <v>122</v>
      </c>
      <c r="B56" s="1" t="s">
        <v>107</v>
      </c>
      <c r="C56" s="1" t="s">
        <v>113</v>
      </c>
      <c r="D56" s="1">
        <v>3.5754999999999999</v>
      </c>
      <c r="E56" s="118">
        <v>3711804.5975439399</v>
      </c>
      <c r="F56" s="13">
        <v>10314.47561207424</v>
      </c>
      <c r="G56" s="1">
        <v>0</v>
      </c>
      <c r="H56" s="1">
        <v>0</v>
      </c>
    </row>
    <row r="57" spans="1:8">
      <c r="A57" s="1" t="s">
        <v>122</v>
      </c>
      <c r="B57" s="1" t="s">
        <v>109</v>
      </c>
      <c r="C57" s="1" t="s">
        <v>113</v>
      </c>
      <c r="D57" s="1">
        <v>2.7458999999999998</v>
      </c>
      <c r="E57" s="118">
        <f>E56</f>
        <v>3711804.5975439399</v>
      </c>
      <c r="F57" s="13">
        <f>F56</f>
        <v>10314.47561207424</v>
      </c>
      <c r="G57" s="1">
        <v>0</v>
      </c>
      <c r="H57" s="1">
        <v>0</v>
      </c>
    </row>
    <row r="58" spans="1:8">
      <c r="C58" s="14"/>
      <c r="D58" s="14"/>
    </row>
    <row r="59" spans="1:8">
      <c r="C59" s="14"/>
      <c r="D59" s="14"/>
    </row>
  </sheetData>
  <mergeCells count="1">
    <mergeCell ref="A13:H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3E6D-72CA-416E-862B-96AEAC313ACD}">
  <dimension ref="A1:AZ59"/>
  <sheetViews>
    <sheetView tabSelected="1" topLeftCell="A4" workbookViewId="0">
      <selection activeCell="F15" sqref="F15"/>
    </sheetView>
  </sheetViews>
  <sheetFormatPr defaultColWidth="13.7109375" defaultRowHeight="13.15"/>
  <cols>
    <col min="1" max="1" width="65.28515625" style="1" customWidth="1"/>
    <col min="2" max="2" width="76" style="1" bestFit="1" customWidth="1"/>
    <col min="3" max="3" width="6.42578125" style="1" bestFit="1" customWidth="1"/>
    <col min="4" max="4" width="10.5703125" style="1" customWidth="1"/>
    <col min="5" max="5" width="18.28515625" style="1" customWidth="1"/>
    <col min="6" max="6" width="14" style="1" customWidth="1"/>
    <col min="7" max="7" width="13.7109375" style="1"/>
    <col min="8" max="8" width="14.5703125" style="1" customWidth="1"/>
    <col min="9" max="16384" width="13.7109375" style="1"/>
  </cols>
  <sheetData>
    <row r="1" spans="1:52">
      <c r="AZ1" s="2">
        <v>1</v>
      </c>
    </row>
    <row r="13" spans="1:52" ht="33" customHeight="1" thickBot="1">
      <c r="A13" s="225" t="s">
        <v>95</v>
      </c>
      <c r="B13" s="225"/>
      <c r="C13" s="225"/>
      <c r="D13" s="225"/>
      <c r="E13" s="225"/>
      <c r="F13" s="225"/>
      <c r="G13" s="225"/>
      <c r="H13" s="225"/>
      <c r="I13" s="3"/>
      <c r="J13" s="3"/>
      <c r="K13" s="3"/>
      <c r="L13" s="3"/>
    </row>
    <row r="14" spans="1:52" ht="18" thickBot="1">
      <c r="A14" s="4" t="s">
        <v>96</v>
      </c>
      <c r="B14" s="5">
        <v>0.17</v>
      </c>
    </row>
    <row r="15" spans="1:52" ht="41.45">
      <c r="A15" s="6" t="s">
        <v>97</v>
      </c>
      <c r="B15" s="6" t="s">
        <v>98</v>
      </c>
      <c r="C15" s="7" t="s">
        <v>99</v>
      </c>
      <c r="D15" s="8" t="s">
        <v>100</v>
      </c>
      <c r="E15" s="9" t="s">
        <v>101</v>
      </c>
      <c r="F15" s="9" t="s">
        <v>102</v>
      </c>
      <c r="G15" s="10" t="s">
        <v>103</v>
      </c>
      <c r="H15" s="11" t="s">
        <v>104</v>
      </c>
      <c r="I15" s="11"/>
    </row>
    <row r="16" spans="1:52">
      <c r="D16" s="12"/>
      <c r="E16" s="13"/>
      <c r="F16" s="13"/>
      <c r="G16" s="12"/>
    </row>
    <row r="17" spans="1:8">
      <c r="A17" s="1" t="s">
        <v>106</v>
      </c>
      <c r="B17" s="1" t="s">
        <v>107</v>
      </c>
      <c r="C17" s="14" t="s">
        <v>108</v>
      </c>
      <c r="D17" s="15">
        <v>1.17E-2</v>
      </c>
      <c r="E17" s="16">
        <v>1513735022.8510861</v>
      </c>
      <c r="F17" s="16">
        <v>0</v>
      </c>
      <c r="G17" s="17">
        <v>1.0415000000000001</v>
      </c>
      <c r="H17" s="13">
        <f>E17*G17</f>
        <v>1576555026.2994063</v>
      </c>
    </row>
    <row r="18" spans="1:8">
      <c r="A18" s="1" t="s">
        <v>106</v>
      </c>
      <c r="B18" s="1" t="s">
        <v>109</v>
      </c>
      <c r="C18" s="14" t="s">
        <v>108</v>
      </c>
      <c r="D18" s="15">
        <v>8.0000000000000002E-3</v>
      </c>
      <c r="E18" s="16">
        <f>E17</f>
        <v>1513735022.8510861</v>
      </c>
      <c r="F18" s="16">
        <v>0</v>
      </c>
      <c r="G18" s="17">
        <f>G17</f>
        <v>1.0415000000000001</v>
      </c>
      <c r="H18" s="13">
        <f t="shared" ref="H18:H22" si="0">E18*G18</f>
        <v>1576555026.2994063</v>
      </c>
    </row>
    <row r="19" spans="1:8">
      <c r="A19" s="1" t="s">
        <v>110</v>
      </c>
      <c r="B19" s="1" t="s">
        <v>107</v>
      </c>
      <c r="C19" s="14" t="s">
        <v>108</v>
      </c>
      <c r="D19" s="15">
        <v>1.2200000000000001E-2</v>
      </c>
      <c r="E19" s="16">
        <v>13453586.472312599</v>
      </c>
      <c r="F19" s="16">
        <v>0</v>
      </c>
      <c r="G19" s="17">
        <v>1.0415000000000001</v>
      </c>
      <c r="H19" s="13">
        <f t="shared" si="0"/>
        <v>14011910.310913574</v>
      </c>
    </row>
    <row r="20" spans="1:8">
      <c r="A20" s="1" t="s">
        <v>110</v>
      </c>
      <c r="B20" s="1" t="s">
        <v>109</v>
      </c>
      <c r="C20" s="14" t="s">
        <v>108</v>
      </c>
      <c r="D20" s="15">
        <v>1.03E-2</v>
      </c>
      <c r="E20" s="16">
        <f>E19</f>
        <v>13453586.472312599</v>
      </c>
      <c r="F20" s="16">
        <v>0</v>
      </c>
      <c r="G20" s="17">
        <f>G19</f>
        <v>1.0415000000000001</v>
      </c>
      <c r="H20" s="13">
        <f t="shared" si="0"/>
        <v>14011910.310913574</v>
      </c>
    </row>
    <row r="21" spans="1:8">
      <c r="A21" s="1" t="s">
        <v>111</v>
      </c>
      <c r="B21" s="1" t="s">
        <v>107</v>
      </c>
      <c r="C21" s="14" t="s">
        <v>108</v>
      </c>
      <c r="D21" s="15">
        <v>1.0699999999999999E-2</v>
      </c>
      <c r="E21" s="16">
        <v>358097513.91528559</v>
      </c>
      <c r="F21" s="16">
        <v>0</v>
      </c>
      <c r="G21" s="17">
        <v>1.0415000000000001</v>
      </c>
      <c r="H21" s="13">
        <f t="shared" si="0"/>
        <v>372958560.74276996</v>
      </c>
    </row>
    <row r="22" spans="1:8">
      <c r="A22" s="1" t="s">
        <v>111</v>
      </c>
      <c r="B22" s="1" t="s">
        <v>109</v>
      </c>
      <c r="C22" s="14" t="s">
        <v>108</v>
      </c>
      <c r="D22" s="15">
        <v>7.4999999999999997E-3</v>
      </c>
      <c r="E22" s="16">
        <f>E21</f>
        <v>358097513.91528559</v>
      </c>
      <c r="F22" s="16">
        <v>0</v>
      </c>
      <c r="G22" s="17">
        <f>G21</f>
        <v>1.0415000000000001</v>
      </c>
      <c r="H22" s="13">
        <f t="shared" si="0"/>
        <v>372958560.74276996</v>
      </c>
    </row>
    <row r="23" spans="1:8">
      <c r="A23" s="1" t="s">
        <v>112</v>
      </c>
      <c r="B23" s="1" t="s">
        <v>107</v>
      </c>
      <c r="C23" s="14" t="s">
        <v>113</v>
      </c>
      <c r="D23" s="15">
        <v>5.2130999999999998</v>
      </c>
      <c r="E23" s="18">
        <v>1401925601.8335843</v>
      </c>
      <c r="F23" s="19">
        <v>3409059.0375871384</v>
      </c>
      <c r="G23" s="12"/>
    </row>
    <row r="24" spans="1:8">
      <c r="A24" s="1" t="s">
        <v>112</v>
      </c>
      <c r="B24" s="1" t="s">
        <v>109</v>
      </c>
      <c r="C24" s="14" t="s">
        <v>113</v>
      </c>
      <c r="D24" s="15">
        <v>3.4744999999999999</v>
      </c>
      <c r="E24" s="20">
        <f>E23</f>
        <v>1401925601.8335843</v>
      </c>
      <c r="F24" s="21">
        <f>F23</f>
        <v>3409059.0375871384</v>
      </c>
      <c r="G24" s="12"/>
    </row>
    <row r="25" spans="1:8">
      <c r="A25" s="1" t="s">
        <v>112</v>
      </c>
      <c r="B25" s="1" t="s">
        <v>114</v>
      </c>
      <c r="C25" s="14" t="s">
        <v>113</v>
      </c>
      <c r="D25" s="15">
        <f>D23*$B$14</f>
        <v>0.88622699999999999</v>
      </c>
      <c r="E25" s="18">
        <v>440229.56305508374</v>
      </c>
      <c r="F25" s="19">
        <v>49689.717224809036</v>
      </c>
      <c r="G25" s="12"/>
    </row>
    <row r="26" spans="1:8">
      <c r="A26" s="1" t="s">
        <v>112</v>
      </c>
      <c r="B26" s="1" t="s">
        <v>115</v>
      </c>
      <c r="C26" s="14" t="s">
        <v>113</v>
      </c>
      <c r="D26" s="15">
        <f>D24*$B$14</f>
        <v>0.590665</v>
      </c>
      <c r="E26" s="18">
        <f>E25</f>
        <v>440229.56305508374</v>
      </c>
      <c r="F26" s="19">
        <f>F25</f>
        <v>49689.717224809036</v>
      </c>
      <c r="G26" s="12"/>
    </row>
    <row r="27" spans="1:8">
      <c r="A27" s="1" t="s">
        <v>116</v>
      </c>
      <c r="B27" s="1" t="s">
        <v>107</v>
      </c>
      <c r="C27" s="14" t="s">
        <v>113</v>
      </c>
      <c r="D27" s="15">
        <v>5.7435</v>
      </c>
      <c r="E27" s="18">
        <v>292945443.83655465</v>
      </c>
      <c r="F27" s="19">
        <v>629794.28788087575</v>
      </c>
      <c r="G27" s="12"/>
    </row>
    <row r="28" spans="1:8">
      <c r="A28" s="1" t="s">
        <v>116</v>
      </c>
      <c r="B28" s="1" t="s">
        <v>117</v>
      </c>
      <c r="C28" s="14" t="s">
        <v>113</v>
      </c>
      <c r="D28" s="15">
        <v>3.8157999999999999</v>
      </c>
      <c r="E28" s="20">
        <f>E27</f>
        <v>292945443.83655465</v>
      </c>
      <c r="F28" s="21">
        <f>F27</f>
        <v>629794.28788087575</v>
      </c>
      <c r="G28" s="12"/>
    </row>
    <row r="29" spans="1:8">
      <c r="A29" s="1" t="s">
        <v>116</v>
      </c>
      <c r="B29" s="1" t="s">
        <v>114</v>
      </c>
      <c r="C29" s="14" t="s">
        <v>113</v>
      </c>
      <c r="D29" s="15">
        <f>D27*$B$14</f>
        <v>0.97639500000000012</v>
      </c>
      <c r="E29" s="22">
        <v>0</v>
      </c>
      <c r="F29" s="23">
        <v>0</v>
      </c>
      <c r="G29" s="12"/>
    </row>
    <row r="30" spans="1:8">
      <c r="A30" s="1" t="s">
        <v>116</v>
      </c>
      <c r="B30" s="1" t="s">
        <v>118</v>
      </c>
      <c r="C30" s="14" t="s">
        <v>113</v>
      </c>
      <c r="D30" s="15">
        <f>D28*$B$14</f>
        <v>0.64868599999999998</v>
      </c>
      <c r="E30" s="20">
        <f>E29</f>
        <v>0</v>
      </c>
      <c r="F30" s="21">
        <v>0</v>
      </c>
      <c r="G30" s="12"/>
    </row>
    <row r="31" spans="1:8">
      <c r="A31" s="1" t="s">
        <v>119</v>
      </c>
      <c r="B31" s="1" t="s">
        <v>107</v>
      </c>
      <c r="C31" s="14" t="s">
        <v>113</v>
      </c>
      <c r="D31" s="15">
        <v>5.7435</v>
      </c>
      <c r="E31" s="16">
        <v>498646662.96001929</v>
      </c>
      <c r="F31" s="16">
        <v>859120.04118846369</v>
      </c>
      <c r="G31" s="12"/>
    </row>
    <row r="32" spans="1:8">
      <c r="A32" s="1" t="s">
        <v>119</v>
      </c>
      <c r="B32" s="1" t="s">
        <v>117</v>
      </c>
      <c r="C32" s="14" t="s">
        <v>113</v>
      </c>
      <c r="D32" s="15">
        <v>3.8157999999999999</v>
      </c>
      <c r="E32" s="16">
        <f>E31</f>
        <v>498646662.96001929</v>
      </c>
      <c r="F32" s="16">
        <f>F31</f>
        <v>859120.04118846369</v>
      </c>
      <c r="G32" s="12"/>
    </row>
    <row r="33" spans="1:8">
      <c r="A33" s="1" t="s">
        <v>120</v>
      </c>
      <c r="B33" s="1" t="s">
        <v>107</v>
      </c>
      <c r="C33" s="14" t="s">
        <v>108</v>
      </c>
      <c r="D33" s="15">
        <v>1.0699999999999999E-2</v>
      </c>
      <c r="E33" s="16">
        <v>6450483.6168868821</v>
      </c>
      <c r="F33" s="16">
        <v>0</v>
      </c>
      <c r="G33" s="17">
        <v>1.0415000000000001</v>
      </c>
      <c r="H33" s="13">
        <f t="shared" ref="H33:H34" si="1">E33*G33</f>
        <v>6718178.6869876888</v>
      </c>
    </row>
    <row r="34" spans="1:8">
      <c r="A34" s="1" t="s">
        <v>120</v>
      </c>
      <c r="B34" s="1" t="s">
        <v>109</v>
      </c>
      <c r="C34" s="14" t="s">
        <v>108</v>
      </c>
      <c r="D34" s="15">
        <v>7.4999999999999997E-3</v>
      </c>
      <c r="E34" s="16">
        <f>E33</f>
        <v>6450483.6168868821</v>
      </c>
      <c r="F34" s="16">
        <v>0</v>
      </c>
      <c r="G34" s="17">
        <f>G33</f>
        <v>1.0415000000000001</v>
      </c>
      <c r="H34" s="13">
        <f t="shared" si="1"/>
        <v>6718178.6869876888</v>
      </c>
    </row>
    <row r="35" spans="1:8">
      <c r="A35" s="1" t="s">
        <v>121</v>
      </c>
      <c r="B35" s="1" t="s">
        <v>107</v>
      </c>
      <c r="C35" s="14" t="s">
        <v>113</v>
      </c>
      <c r="D35" s="15">
        <v>3.2515999999999998</v>
      </c>
      <c r="E35" s="16">
        <v>85958.850155680775</v>
      </c>
      <c r="F35" s="16">
        <v>644.51221350638025</v>
      </c>
      <c r="G35" s="12"/>
    </row>
    <row r="36" spans="1:8">
      <c r="A36" s="1" t="s">
        <v>121</v>
      </c>
      <c r="B36" s="1" t="s">
        <v>109</v>
      </c>
      <c r="C36" s="14" t="s">
        <v>113</v>
      </c>
      <c r="D36" s="15">
        <v>2.1844000000000001</v>
      </c>
      <c r="E36" s="16">
        <f>E35</f>
        <v>85958.850155680775</v>
      </c>
      <c r="F36" s="16">
        <f>F35</f>
        <v>644.51221350638025</v>
      </c>
      <c r="G36" s="12"/>
    </row>
    <row r="37" spans="1:8">
      <c r="A37" s="1" t="s">
        <v>122</v>
      </c>
      <c r="B37" s="1" t="s">
        <v>107</v>
      </c>
      <c r="C37" s="14" t="s">
        <v>113</v>
      </c>
      <c r="D37" s="15">
        <v>3.4237000000000002</v>
      </c>
      <c r="E37" s="16">
        <v>15821266.352647971</v>
      </c>
      <c r="F37" s="16">
        <v>44090.904046101437</v>
      </c>
      <c r="G37" s="12"/>
    </row>
    <row r="38" spans="1:8">
      <c r="A38" s="1" t="s">
        <v>122</v>
      </c>
      <c r="B38" s="1" t="s">
        <v>109</v>
      </c>
      <c r="C38" s="14" t="s">
        <v>113</v>
      </c>
      <c r="D38" s="15">
        <v>2.2826</v>
      </c>
      <c r="E38" s="16">
        <f>E37</f>
        <v>15821266.352647971</v>
      </c>
      <c r="F38" s="16">
        <f>F37</f>
        <v>44090.904046101437</v>
      </c>
      <c r="G38" s="12"/>
    </row>
    <row r="39" spans="1:8">
      <c r="C39" s="14"/>
      <c r="D39" s="15"/>
      <c r="E39" s="16"/>
      <c r="F39" s="16"/>
      <c r="G39" s="12"/>
    </row>
    <row r="40" spans="1:8">
      <c r="E40" s="13"/>
      <c r="G40" s="12"/>
      <c r="H40" s="13"/>
    </row>
    <row r="41" spans="1:8">
      <c r="E41" s="118"/>
      <c r="G41" s="12"/>
      <c r="H41" s="13"/>
    </row>
    <row r="42" spans="1:8">
      <c r="E42" s="118"/>
      <c r="G42" s="12"/>
      <c r="H42" s="13"/>
    </row>
    <row r="43" spans="1:8">
      <c r="E43" s="118"/>
      <c r="G43" s="12"/>
      <c r="H43" s="13"/>
    </row>
    <row r="44" spans="1:8">
      <c r="E44" s="118"/>
      <c r="F44" s="13"/>
    </row>
    <row r="45" spans="1:8">
      <c r="E45" s="118"/>
      <c r="F45" s="13"/>
    </row>
    <row r="46" spans="1:8">
      <c r="E46" s="118"/>
    </row>
    <row r="47" spans="1:8">
      <c r="E47" s="118"/>
    </row>
    <row r="48" spans="1:8">
      <c r="E48" s="118"/>
      <c r="F48" s="13"/>
    </row>
    <row r="49" spans="3:8">
      <c r="E49" s="118"/>
      <c r="F49" s="13"/>
    </row>
    <row r="50" spans="3:8">
      <c r="E50" s="118"/>
    </row>
    <row r="51" spans="3:8">
      <c r="E51" s="118"/>
    </row>
    <row r="52" spans="3:8">
      <c r="E52" s="118"/>
      <c r="G52" s="12"/>
      <c r="H52" s="13"/>
    </row>
    <row r="53" spans="3:8">
      <c r="E53" s="118"/>
      <c r="G53" s="12"/>
      <c r="H53" s="13"/>
    </row>
    <row r="54" spans="3:8">
      <c r="E54" s="118"/>
      <c r="F54" s="13"/>
    </row>
    <row r="55" spans="3:8">
      <c r="E55" s="118"/>
      <c r="F55" s="13"/>
    </row>
    <row r="56" spans="3:8">
      <c r="E56" s="118"/>
      <c r="F56" s="13"/>
    </row>
    <row r="57" spans="3:8">
      <c r="E57" s="118"/>
      <c r="F57" s="13"/>
    </row>
    <row r="58" spans="3:8">
      <c r="C58" s="14"/>
      <c r="D58" s="14"/>
    </row>
    <row r="59" spans="3:8">
      <c r="C59" s="14"/>
      <c r="D59" s="14"/>
    </row>
  </sheetData>
  <mergeCells count="1">
    <mergeCell ref="A13:H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63375-8AB5-48B7-99F2-0ED4A404BB87}">
  <dimension ref="A1:AZ59"/>
  <sheetViews>
    <sheetView topLeftCell="A9" workbookViewId="0">
      <selection activeCell="F15" sqref="F15"/>
    </sheetView>
  </sheetViews>
  <sheetFormatPr defaultColWidth="13.7109375" defaultRowHeight="13.15"/>
  <cols>
    <col min="1" max="1" width="65.28515625" style="1" customWidth="1"/>
    <col min="2" max="2" width="76" style="1" bestFit="1" customWidth="1"/>
    <col min="3" max="3" width="6.42578125" style="1" bestFit="1" customWidth="1"/>
    <col min="4" max="4" width="10.5703125" style="1" customWidth="1"/>
    <col min="5" max="5" width="18.28515625" style="1" customWidth="1"/>
    <col min="6" max="6" width="14" style="1" customWidth="1"/>
    <col min="7" max="7" width="13.7109375" style="1"/>
    <col min="8" max="8" width="14.5703125" style="1" customWidth="1"/>
    <col min="9" max="16384" width="13.7109375" style="1"/>
  </cols>
  <sheetData>
    <row r="1" spans="1:52">
      <c r="AZ1" s="2">
        <v>1</v>
      </c>
    </row>
    <row r="13" spans="1:52" ht="33" customHeight="1" thickBot="1">
      <c r="A13" s="225" t="s">
        <v>95</v>
      </c>
      <c r="B13" s="225"/>
      <c r="C13" s="225"/>
      <c r="D13" s="225"/>
      <c r="E13" s="225"/>
      <c r="F13" s="225"/>
      <c r="G13" s="225"/>
      <c r="H13" s="225"/>
      <c r="I13" s="3"/>
      <c r="J13" s="3"/>
      <c r="K13" s="3"/>
      <c r="L13" s="3"/>
    </row>
    <row r="14" spans="1:52" ht="18" thickBot="1">
      <c r="A14" s="4" t="s">
        <v>96</v>
      </c>
      <c r="B14" s="5">
        <v>0.17</v>
      </c>
    </row>
    <row r="15" spans="1:52" ht="41.45">
      <c r="A15" s="6" t="s">
        <v>97</v>
      </c>
      <c r="B15" s="6" t="s">
        <v>98</v>
      </c>
      <c r="C15" s="7" t="s">
        <v>99</v>
      </c>
      <c r="D15" s="8" t="s">
        <v>100</v>
      </c>
      <c r="E15" s="9" t="s">
        <v>101</v>
      </c>
      <c r="F15" s="9" t="s">
        <v>102</v>
      </c>
      <c r="G15" s="10" t="s">
        <v>103</v>
      </c>
      <c r="H15" s="11" t="s">
        <v>104</v>
      </c>
      <c r="I15" s="11"/>
    </row>
    <row r="16" spans="1:52">
      <c r="D16" s="12"/>
      <c r="E16" s="13"/>
      <c r="F16" s="13"/>
      <c r="G16" s="12"/>
    </row>
    <row r="17" spans="1:8">
      <c r="A17" s="1" t="s">
        <v>106</v>
      </c>
      <c r="B17" s="1" t="s">
        <v>107</v>
      </c>
      <c r="C17" s="14" t="s">
        <v>108</v>
      </c>
      <c r="D17" s="15">
        <v>1.17E-2</v>
      </c>
      <c r="E17" s="16">
        <v>1538539852.4418883</v>
      </c>
      <c r="F17" s="16">
        <v>0</v>
      </c>
      <c r="G17" s="17">
        <v>1.0415000000000001</v>
      </c>
      <c r="H17" s="13">
        <f>E17*G17</f>
        <v>1602389256.3182268</v>
      </c>
    </row>
    <row r="18" spans="1:8">
      <c r="A18" s="1" t="s">
        <v>106</v>
      </c>
      <c r="B18" s="1" t="s">
        <v>109</v>
      </c>
      <c r="C18" s="14" t="s">
        <v>108</v>
      </c>
      <c r="D18" s="15">
        <v>8.0000000000000002E-3</v>
      </c>
      <c r="E18" s="16">
        <f>E17</f>
        <v>1538539852.4418883</v>
      </c>
      <c r="F18" s="16">
        <v>0</v>
      </c>
      <c r="G18" s="17">
        <f>G17</f>
        <v>1.0415000000000001</v>
      </c>
      <c r="H18" s="13">
        <f t="shared" ref="H18:H22" si="0">E18*G18</f>
        <v>1602389256.3182268</v>
      </c>
    </row>
    <row r="19" spans="1:8">
      <c r="A19" s="1" t="s">
        <v>110</v>
      </c>
      <c r="B19" s="1" t="s">
        <v>107</v>
      </c>
      <c r="C19" s="14" t="s">
        <v>108</v>
      </c>
      <c r="D19" s="15">
        <v>1.2200000000000001E-2</v>
      </c>
      <c r="E19" s="16">
        <v>13869843.856722418</v>
      </c>
      <c r="F19" s="16">
        <v>0</v>
      </c>
      <c r="G19" s="17">
        <v>1.0415000000000001</v>
      </c>
      <c r="H19" s="13">
        <f t="shared" si="0"/>
        <v>14445442.376776399</v>
      </c>
    </row>
    <row r="20" spans="1:8">
      <c r="A20" s="1" t="s">
        <v>110</v>
      </c>
      <c r="B20" s="1" t="s">
        <v>109</v>
      </c>
      <c r="C20" s="14" t="s">
        <v>108</v>
      </c>
      <c r="D20" s="15">
        <v>1.03E-2</v>
      </c>
      <c r="E20" s="16">
        <f>E19</f>
        <v>13869843.856722418</v>
      </c>
      <c r="F20" s="16">
        <v>0</v>
      </c>
      <c r="G20" s="17">
        <f>G19</f>
        <v>1.0415000000000001</v>
      </c>
      <c r="H20" s="13">
        <f t="shared" si="0"/>
        <v>14445442.376776399</v>
      </c>
    </row>
    <row r="21" spans="1:8">
      <c r="A21" s="1" t="s">
        <v>111</v>
      </c>
      <c r="B21" s="1" t="s">
        <v>107</v>
      </c>
      <c r="C21" s="14" t="s">
        <v>108</v>
      </c>
      <c r="D21" s="15">
        <v>1.0699999999999999E-2</v>
      </c>
      <c r="E21" s="16">
        <v>357895100.39429229</v>
      </c>
      <c r="F21" s="16">
        <v>0</v>
      </c>
      <c r="G21" s="17">
        <v>1.0415000000000001</v>
      </c>
      <c r="H21" s="13">
        <f t="shared" si="0"/>
        <v>372747747.06065547</v>
      </c>
    </row>
    <row r="22" spans="1:8">
      <c r="A22" s="1" t="s">
        <v>111</v>
      </c>
      <c r="B22" s="1" t="s">
        <v>109</v>
      </c>
      <c r="C22" s="14" t="s">
        <v>108</v>
      </c>
      <c r="D22" s="15">
        <v>7.4999999999999997E-3</v>
      </c>
      <c r="E22" s="16">
        <f>E21</f>
        <v>357895100.39429229</v>
      </c>
      <c r="F22" s="16">
        <v>0</v>
      </c>
      <c r="G22" s="17">
        <f>G21</f>
        <v>1.0415000000000001</v>
      </c>
      <c r="H22" s="13">
        <f t="shared" si="0"/>
        <v>372747747.06065547</v>
      </c>
    </row>
    <row r="23" spans="1:8">
      <c r="A23" s="1" t="s">
        <v>112</v>
      </c>
      <c r="B23" s="1" t="s">
        <v>107</v>
      </c>
      <c r="C23" s="14" t="s">
        <v>113</v>
      </c>
      <c r="D23" s="15">
        <v>5.2130999999999998</v>
      </c>
      <c r="E23" s="18">
        <v>1413368188.5595419</v>
      </c>
      <c r="F23" s="19">
        <v>3475754.98238065</v>
      </c>
      <c r="G23" s="12"/>
    </row>
    <row r="24" spans="1:8">
      <c r="A24" s="1" t="s">
        <v>112</v>
      </c>
      <c r="B24" s="1" t="s">
        <v>109</v>
      </c>
      <c r="C24" s="14" t="s">
        <v>113</v>
      </c>
      <c r="D24" s="15">
        <v>3.4744999999999999</v>
      </c>
      <c r="E24" s="20">
        <f>E23</f>
        <v>1413368188.5595419</v>
      </c>
      <c r="F24" s="21">
        <f>F23</f>
        <v>3475754.98238065</v>
      </c>
      <c r="G24" s="12"/>
    </row>
    <row r="25" spans="1:8">
      <c r="A25" s="1" t="s">
        <v>112</v>
      </c>
      <c r="B25" s="1" t="s">
        <v>114</v>
      </c>
      <c r="C25" s="14" t="s">
        <v>113</v>
      </c>
      <c r="D25" s="15">
        <f>D23*$B$14</f>
        <v>0.88622699999999999</v>
      </c>
      <c r="E25" s="18">
        <v>860472.84117495804</v>
      </c>
      <c r="F25" s="19">
        <v>31932.981443627858</v>
      </c>
      <c r="G25" s="12"/>
    </row>
    <row r="26" spans="1:8">
      <c r="A26" s="1" t="s">
        <v>112</v>
      </c>
      <c r="B26" s="1" t="s">
        <v>115</v>
      </c>
      <c r="C26" s="14" t="s">
        <v>113</v>
      </c>
      <c r="D26" s="15">
        <f>D24*$B$14</f>
        <v>0.590665</v>
      </c>
      <c r="E26" s="18">
        <f>E25</f>
        <v>860472.84117495804</v>
      </c>
      <c r="F26" s="19">
        <f>F25</f>
        <v>31932.981443627858</v>
      </c>
      <c r="G26" s="12"/>
    </row>
    <row r="27" spans="1:8">
      <c r="A27" s="1" t="s">
        <v>116</v>
      </c>
      <c r="B27" s="1" t="s">
        <v>107</v>
      </c>
      <c r="C27" s="14" t="s">
        <v>113</v>
      </c>
      <c r="D27" s="15">
        <v>5.7435</v>
      </c>
      <c r="E27" s="18">
        <v>313195835.4635843</v>
      </c>
      <c r="F27" s="19">
        <v>678659.53619359934</v>
      </c>
      <c r="G27" s="12"/>
    </row>
    <row r="28" spans="1:8">
      <c r="A28" s="1" t="s">
        <v>116</v>
      </c>
      <c r="B28" s="1" t="s">
        <v>117</v>
      </c>
      <c r="C28" s="14" t="s">
        <v>113</v>
      </c>
      <c r="D28" s="15">
        <v>3.8157999999999999</v>
      </c>
      <c r="E28" s="20">
        <f>E27</f>
        <v>313195835.4635843</v>
      </c>
      <c r="F28" s="21">
        <f>F27</f>
        <v>678659.53619359934</v>
      </c>
      <c r="G28" s="12"/>
    </row>
    <row r="29" spans="1:8">
      <c r="A29" s="1" t="s">
        <v>116</v>
      </c>
      <c r="B29" s="1" t="s">
        <v>114</v>
      </c>
      <c r="C29" s="14" t="s">
        <v>113</v>
      </c>
      <c r="D29" s="15">
        <f>D27*$B$14</f>
        <v>0.97639500000000012</v>
      </c>
      <c r="E29" s="22">
        <v>0</v>
      </c>
      <c r="F29" s="23">
        <v>0</v>
      </c>
      <c r="G29" s="12"/>
    </row>
    <row r="30" spans="1:8">
      <c r="A30" s="1" t="s">
        <v>116</v>
      </c>
      <c r="B30" s="1" t="s">
        <v>118</v>
      </c>
      <c r="C30" s="14" t="s">
        <v>113</v>
      </c>
      <c r="D30" s="15">
        <f>D28*$B$14</f>
        <v>0.64868599999999998</v>
      </c>
      <c r="E30" s="20">
        <f>E29</f>
        <v>0</v>
      </c>
      <c r="F30" s="21">
        <v>0</v>
      </c>
      <c r="G30" s="12"/>
    </row>
    <row r="31" spans="1:8">
      <c r="A31" s="1" t="s">
        <v>119</v>
      </c>
      <c r="B31" s="1" t="s">
        <v>107</v>
      </c>
      <c r="C31" s="14" t="s">
        <v>113</v>
      </c>
      <c r="D31" s="15">
        <v>5.7435</v>
      </c>
      <c r="E31" s="16">
        <v>543211652.73303545</v>
      </c>
      <c r="F31" s="16">
        <v>942415.91802328057</v>
      </c>
      <c r="G31" s="12"/>
    </row>
    <row r="32" spans="1:8">
      <c r="A32" s="1" t="s">
        <v>119</v>
      </c>
      <c r="B32" s="1" t="s">
        <v>117</v>
      </c>
      <c r="C32" s="14" t="s">
        <v>113</v>
      </c>
      <c r="D32" s="15">
        <v>3.8157999999999999</v>
      </c>
      <c r="E32" s="16">
        <f>E31</f>
        <v>543211652.73303545</v>
      </c>
      <c r="F32" s="16">
        <f>F31</f>
        <v>942415.91802328057</v>
      </c>
      <c r="G32" s="12"/>
    </row>
    <row r="33" spans="1:8">
      <c r="A33" s="1" t="s">
        <v>120</v>
      </c>
      <c r="B33" s="1" t="s">
        <v>107</v>
      </c>
      <c r="C33" s="14" t="s">
        <v>108</v>
      </c>
      <c r="D33" s="15">
        <v>1.0699999999999999E-2</v>
      </c>
      <c r="E33" s="16">
        <v>6421580.5485769762</v>
      </c>
      <c r="F33" s="16">
        <v>0</v>
      </c>
      <c r="G33" s="17">
        <v>1.0415000000000001</v>
      </c>
      <c r="H33" s="13">
        <f t="shared" ref="H33:H34" si="1">E33*G33</f>
        <v>6688076.1413429212</v>
      </c>
    </row>
    <row r="34" spans="1:8">
      <c r="A34" s="1" t="s">
        <v>120</v>
      </c>
      <c r="B34" s="1" t="s">
        <v>109</v>
      </c>
      <c r="C34" s="14" t="s">
        <v>108</v>
      </c>
      <c r="D34" s="15">
        <v>7.4999999999999997E-3</v>
      </c>
      <c r="E34" s="16">
        <f>E33</f>
        <v>6421580.5485769762</v>
      </c>
      <c r="F34" s="16">
        <v>0</v>
      </c>
      <c r="G34" s="17">
        <f>G33</f>
        <v>1.0415000000000001</v>
      </c>
      <c r="H34" s="13">
        <f t="shared" si="1"/>
        <v>6688076.1413429212</v>
      </c>
    </row>
    <row r="35" spans="1:8">
      <c r="A35" s="1" t="s">
        <v>121</v>
      </c>
      <c r="B35" s="1" t="s">
        <v>107</v>
      </c>
      <c r="C35" s="14" t="s">
        <v>113</v>
      </c>
      <c r="D35" s="15">
        <v>3.2515999999999998</v>
      </c>
      <c r="E35" s="16">
        <v>84492.385084329959</v>
      </c>
      <c r="F35" s="16">
        <v>634.86173214226346</v>
      </c>
      <c r="G35" s="12"/>
    </row>
    <row r="36" spans="1:8">
      <c r="A36" s="1" t="s">
        <v>121</v>
      </c>
      <c r="B36" s="1" t="s">
        <v>109</v>
      </c>
      <c r="C36" s="14" t="s">
        <v>113</v>
      </c>
      <c r="D36" s="15">
        <v>2.1844000000000001</v>
      </c>
      <c r="E36" s="16">
        <f>E35</f>
        <v>84492.385084329959</v>
      </c>
      <c r="F36" s="16">
        <f>F35</f>
        <v>634.86173214226346</v>
      </c>
      <c r="G36" s="12"/>
    </row>
    <row r="37" spans="1:8">
      <c r="A37" s="1" t="s">
        <v>122</v>
      </c>
      <c r="B37" s="1" t="s">
        <v>107</v>
      </c>
      <c r="C37" s="14" t="s">
        <v>113</v>
      </c>
      <c r="D37" s="15">
        <v>3.4237000000000002</v>
      </c>
      <c r="E37" s="16">
        <v>16020064.529794496</v>
      </c>
      <c r="F37" s="16">
        <v>44644.724030707992</v>
      </c>
      <c r="G37" s="12"/>
    </row>
    <row r="38" spans="1:8">
      <c r="A38" s="1" t="s">
        <v>122</v>
      </c>
      <c r="B38" s="1" t="s">
        <v>109</v>
      </c>
      <c r="C38" s="14" t="s">
        <v>113</v>
      </c>
      <c r="D38" s="15">
        <v>2.2826</v>
      </c>
      <c r="E38" s="16">
        <f>E37</f>
        <v>16020064.529794496</v>
      </c>
      <c r="F38" s="16">
        <f>F37</f>
        <v>44644.724030707992</v>
      </c>
      <c r="G38" s="12"/>
    </row>
    <row r="39" spans="1:8">
      <c r="C39" s="14"/>
      <c r="D39" s="15"/>
      <c r="E39" s="16"/>
      <c r="F39" s="16"/>
      <c r="G39" s="12"/>
    </row>
    <row r="40" spans="1:8">
      <c r="E40" s="13"/>
      <c r="G40" s="12"/>
      <c r="H40" s="13"/>
    </row>
    <row r="41" spans="1:8">
      <c r="E41" s="118"/>
      <c r="G41" s="12"/>
      <c r="H41" s="13"/>
    </row>
    <row r="42" spans="1:8">
      <c r="E42" s="118"/>
      <c r="G42" s="12"/>
      <c r="H42" s="13"/>
    </row>
    <row r="43" spans="1:8">
      <c r="E43" s="118"/>
      <c r="G43" s="12"/>
      <c r="H43" s="13"/>
    </row>
    <row r="44" spans="1:8">
      <c r="E44" s="118"/>
      <c r="F44" s="13"/>
    </row>
    <row r="45" spans="1:8">
      <c r="E45" s="118"/>
      <c r="F45" s="13"/>
    </row>
    <row r="46" spans="1:8">
      <c r="E46" s="118"/>
    </row>
    <row r="47" spans="1:8">
      <c r="E47" s="118"/>
    </row>
    <row r="48" spans="1:8">
      <c r="C48" s="14"/>
      <c r="E48" s="118"/>
      <c r="F48" s="13"/>
    </row>
    <row r="49" spans="3:8">
      <c r="C49" s="14"/>
      <c r="E49" s="118"/>
    </row>
    <row r="50" spans="3:8">
      <c r="C50" s="14"/>
      <c r="E50" s="118"/>
    </row>
    <row r="51" spans="3:8">
      <c r="C51" s="14"/>
      <c r="E51" s="118"/>
    </row>
    <row r="52" spans="3:8">
      <c r="E52" s="118"/>
      <c r="G52" s="12"/>
      <c r="H52" s="13"/>
    </row>
    <row r="53" spans="3:8">
      <c r="E53" s="118"/>
      <c r="G53" s="12"/>
      <c r="H53" s="13"/>
    </row>
    <row r="54" spans="3:8">
      <c r="E54" s="118"/>
      <c r="F54" s="13"/>
    </row>
    <row r="55" spans="3:8">
      <c r="E55" s="118"/>
      <c r="F55" s="13"/>
    </row>
    <row r="56" spans="3:8">
      <c r="E56" s="118"/>
      <c r="F56" s="13"/>
    </row>
    <row r="57" spans="3:8">
      <c r="E57" s="118"/>
      <c r="F57" s="13"/>
    </row>
    <row r="58" spans="3:8">
      <c r="C58" s="14"/>
      <c r="D58" s="14"/>
    </row>
    <row r="59" spans="3:8">
      <c r="C59" s="14"/>
      <c r="D59" s="14"/>
    </row>
  </sheetData>
  <mergeCells count="1">
    <mergeCell ref="A13:H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34CA-6B04-450B-BAFF-5EAB6DDAE950}">
  <dimension ref="A1:AZ55"/>
  <sheetViews>
    <sheetView topLeftCell="A13" workbookViewId="0">
      <selection activeCell="F15" sqref="F15"/>
    </sheetView>
  </sheetViews>
  <sheetFormatPr defaultColWidth="13.7109375" defaultRowHeight="13.15"/>
  <cols>
    <col min="1" max="1" width="65.28515625" style="1" customWidth="1"/>
    <col min="2" max="2" width="76" style="1" bestFit="1" customWidth="1"/>
    <col min="3" max="3" width="6.42578125" style="1" bestFit="1" customWidth="1"/>
    <col min="4" max="4" width="10.5703125" style="1" customWidth="1"/>
    <col min="5" max="5" width="18.28515625" style="1" customWidth="1"/>
    <col min="6" max="6" width="14" style="1" customWidth="1"/>
    <col min="7" max="7" width="13.7109375" style="1"/>
    <col min="8" max="8" width="14.5703125" style="1" customWidth="1"/>
    <col min="9" max="16384" width="13.7109375" style="1"/>
  </cols>
  <sheetData>
    <row r="1" spans="1:52">
      <c r="AZ1" s="2">
        <v>1</v>
      </c>
    </row>
    <row r="13" spans="1:52" ht="33" customHeight="1" thickBot="1">
      <c r="A13" s="225" t="s">
        <v>95</v>
      </c>
      <c r="B13" s="225"/>
      <c r="C13" s="225"/>
      <c r="D13" s="225"/>
      <c r="E13" s="225"/>
      <c r="F13" s="225"/>
      <c r="G13" s="225"/>
      <c r="H13" s="225"/>
      <c r="I13" s="3"/>
      <c r="J13" s="3"/>
      <c r="K13" s="3"/>
      <c r="L13" s="3"/>
    </row>
    <row r="14" spans="1:52" ht="18" thickBot="1">
      <c r="A14" s="4" t="s">
        <v>96</v>
      </c>
      <c r="B14" s="5">
        <v>0.17</v>
      </c>
    </row>
    <row r="15" spans="1:52" ht="41.45">
      <c r="A15" s="6" t="s">
        <v>97</v>
      </c>
      <c r="B15" s="6" t="s">
        <v>98</v>
      </c>
      <c r="C15" s="7" t="s">
        <v>99</v>
      </c>
      <c r="D15" s="8" t="s">
        <v>100</v>
      </c>
      <c r="E15" s="9" t="s">
        <v>101</v>
      </c>
      <c r="F15" s="9" t="s">
        <v>102</v>
      </c>
      <c r="G15" s="10" t="s">
        <v>103</v>
      </c>
      <c r="H15" s="11" t="s">
        <v>104</v>
      </c>
      <c r="I15" s="11"/>
    </row>
    <row r="16" spans="1:52">
      <c r="D16" s="12"/>
      <c r="E16" s="13"/>
      <c r="F16" s="13"/>
      <c r="G16" s="12"/>
    </row>
    <row r="17" spans="1:8">
      <c r="A17" s="1" t="s">
        <v>106</v>
      </c>
      <c r="B17" s="1" t="s">
        <v>107</v>
      </c>
      <c r="C17" s="14" t="s">
        <v>108</v>
      </c>
      <c r="D17" s="15">
        <v>1.17E-2</v>
      </c>
      <c r="E17" s="16">
        <v>1572032734.82868</v>
      </c>
      <c r="F17" s="16">
        <v>0</v>
      </c>
      <c r="G17" s="17">
        <v>1.0415000000000001</v>
      </c>
      <c r="H17" s="13">
        <f>E17*G17</f>
        <v>1637272093.3240705</v>
      </c>
    </row>
    <row r="18" spans="1:8">
      <c r="A18" s="1" t="s">
        <v>106</v>
      </c>
      <c r="B18" s="1" t="s">
        <v>109</v>
      </c>
      <c r="C18" s="14" t="s">
        <v>108</v>
      </c>
      <c r="D18" s="15">
        <v>8.0000000000000002E-3</v>
      </c>
      <c r="E18" s="16">
        <f>E17</f>
        <v>1572032734.82868</v>
      </c>
      <c r="F18" s="16">
        <v>0</v>
      </c>
      <c r="G18" s="17">
        <f>G17</f>
        <v>1.0415000000000001</v>
      </c>
      <c r="H18" s="13">
        <f t="shared" ref="H18:H22" si="0">E18*G18</f>
        <v>1637272093.3240705</v>
      </c>
    </row>
    <row r="19" spans="1:8">
      <c r="A19" s="1" t="s">
        <v>110</v>
      </c>
      <c r="B19" s="1" t="s">
        <v>107</v>
      </c>
      <c r="C19" s="14" t="s">
        <v>108</v>
      </c>
      <c r="D19" s="15">
        <v>1.2200000000000001E-2</v>
      </c>
      <c r="E19" s="16">
        <v>14368853.521388374</v>
      </c>
      <c r="F19" s="16">
        <v>0</v>
      </c>
      <c r="G19" s="17">
        <v>1.0415000000000001</v>
      </c>
      <c r="H19" s="13">
        <f t="shared" si="0"/>
        <v>14965160.942525994</v>
      </c>
    </row>
    <row r="20" spans="1:8">
      <c r="A20" s="1" t="s">
        <v>110</v>
      </c>
      <c r="B20" s="1" t="s">
        <v>109</v>
      </c>
      <c r="C20" s="14" t="s">
        <v>108</v>
      </c>
      <c r="D20" s="15">
        <v>1.03E-2</v>
      </c>
      <c r="E20" s="16">
        <f>E19</f>
        <v>14368853.521388374</v>
      </c>
      <c r="F20" s="16">
        <v>0</v>
      </c>
      <c r="G20" s="17">
        <f>G19</f>
        <v>1.0415000000000001</v>
      </c>
      <c r="H20" s="13">
        <f t="shared" si="0"/>
        <v>14965160.942525994</v>
      </c>
    </row>
    <row r="21" spans="1:8">
      <c r="A21" s="1" t="s">
        <v>111</v>
      </c>
      <c r="B21" s="1" t="s">
        <v>107</v>
      </c>
      <c r="C21" s="14" t="s">
        <v>108</v>
      </c>
      <c r="D21" s="15">
        <v>1.0699999999999999E-2</v>
      </c>
      <c r="E21" s="16">
        <v>358082662.44900864</v>
      </c>
      <c r="F21" s="16">
        <v>0</v>
      </c>
      <c r="G21" s="17">
        <v>1.0415000000000001</v>
      </c>
      <c r="H21" s="13">
        <f t="shared" si="0"/>
        <v>372943092.94064254</v>
      </c>
    </row>
    <row r="22" spans="1:8">
      <c r="A22" s="1" t="s">
        <v>111</v>
      </c>
      <c r="B22" s="1" t="s">
        <v>109</v>
      </c>
      <c r="C22" s="14" t="s">
        <v>108</v>
      </c>
      <c r="D22" s="15">
        <v>7.4999999999999997E-3</v>
      </c>
      <c r="E22" s="16">
        <f>E21</f>
        <v>358082662.44900864</v>
      </c>
      <c r="F22" s="16">
        <v>0</v>
      </c>
      <c r="G22" s="17">
        <f>G21</f>
        <v>1.0415000000000001</v>
      </c>
      <c r="H22" s="13">
        <f t="shared" si="0"/>
        <v>372943092.94064254</v>
      </c>
    </row>
    <row r="23" spans="1:8">
      <c r="A23" s="1" t="s">
        <v>112</v>
      </c>
      <c r="B23" s="1" t="s">
        <v>107</v>
      </c>
      <c r="C23" s="14" t="s">
        <v>113</v>
      </c>
      <c r="D23" s="15">
        <v>5.2130999999999998</v>
      </c>
      <c r="E23" s="18">
        <v>1413869353.019335</v>
      </c>
      <c r="F23" s="19">
        <v>3493474.6105340621</v>
      </c>
      <c r="G23" s="12"/>
    </row>
    <row r="24" spans="1:8">
      <c r="A24" s="1" t="s">
        <v>112</v>
      </c>
      <c r="B24" s="1" t="s">
        <v>109</v>
      </c>
      <c r="C24" s="14" t="s">
        <v>113</v>
      </c>
      <c r="D24" s="15">
        <v>3.4744999999999999</v>
      </c>
      <c r="E24" s="20">
        <f>E23</f>
        <v>1413869353.019335</v>
      </c>
      <c r="F24" s="21">
        <f>F23</f>
        <v>3493474.6105340621</v>
      </c>
      <c r="G24" s="12"/>
    </row>
    <row r="25" spans="1:8">
      <c r="A25" s="1" t="s">
        <v>112</v>
      </c>
      <c r="B25" s="1" t="s">
        <v>114</v>
      </c>
      <c r="C25" s="14" t="s">
        <v>113</v>
      </c>
      <c r="D25" s="15">
        <f>D23*$B$14</f>
        <v>0.88622699999999999</v>
      </c>
      <c r="E25" s="18">
        <v>1463584.0352654411</v>
      </c>
      <c r="F25" s="19">
        <v>38754.167894583596</v>
      </c>
      <c r="G25" s="12"/>
    </row>
    <row r="26" spans="1:8">
      <c r="A26" s="1" t="s">
        <v>112</v>
      </c>
      <c r="B26" s="1" t="s">
        <v>115</v>
      </c>
      <c r="C26" s="14" t="s">
        <v>113</v>
      </c>
      <c r="D26" s="15">
        <f>D24*$B$14</f>
        <v>0.590665</v>
      </c>
      <c r="E26" s="18">
        <f>E25</f>
        <v>1463584.0352654411</v>
      </c>
      <c r="F26" s="19">
        <f>F25</f>
        <v>38754.167894583596</v>
      </c>
      <c r="G26" s="12"/>
    </row>
    <row r="27" spans="1:8">
      <c r="A27" s="1" t="s">
        <v>116</v>
      </c>
      <c r="B27" s="1" t="s">
        <v>107</v>
      </c>
      <c r="C27" s="14" t="s">
        <v>113</v>
      </c>
      <c r="D27" s="15">
        <v>5.7435</v>
      </c>
      <c r="E27" s="18">
        <v>323895234.19100964</v>
      </c>
      <c r="F27" s="19">
        <v>705895.77289685945</v>
      </c>
      <c r="G27" s="12"/>
    </row>
    <row r="28" spans="1:8">
      <c r="A28" s="1" t="s">
        <v>116</v>
      </c>
      <c r="B28" s="1" t="s">
        <v>117</v>
      </c>
      <c r="C28" s="14" t="s">
        <v>113</v>
      </c>
      <c r="D28" s="15">
        <v>3.8157999999999999</v>
      </c>
      <c r="E28" s="20">
        <f>E27</f>
        <v>323895234.19100964</v>
      </c>
      <c r="F28" s="21">
        <f>F27</f>
        <v>705895.77289685945</v>
      </c>
      <c r="G28" s="12"/>
    </row>
    <row r="29" spans="1:8">
      <c r="A29" s="1" t="s">
        <v>116</v>
      </c>
      <c r="B29" s="1" t="s">
        <v>114</v>
      </c>
      <c r="C29" s="14" t="s">
        <v>113</v>
      </c>
      <c r="D29" s="15">
        <f>D27*$B$14</f>
        <v>0.97639500000000012</v>
      </c>
      <c r="E29" s="22">
        <v>0</v>
      </c>
      <c r="F29" s="23">
        <v>0</v>
      </c>
      <c r="G29" s="12"/>
    </row>
    <row r="30" spans="1:8">
      <c r="A30" s="1" t="s">
        <v>116</v>
      </c>
      <c r="B30" s="1" t="s">
        <v>118</v>
      </c>
      <c r="C30" s="14" t="s">
        <v>113</v>
      </c>
      <c r="D30" s="15">
        <f>D28*$B$14</f>
        <v>0.64868599999999998</v>
      </c>
      <c r="E30" s="20">
        <f>E29</f>
        <v>0</v>
      </c>
      <c r="F30" s="21">
        <v>0</v>
      </c>
      <c r="G30" s="12"/>
    </row>
    <row r="31" spans="1:8">
      <c r="A31" s="1" t="s">
        <v>119</v>
      </c>
      <c r="B31" s="1" t="s">
        <v>107</v>
      </c>
      <c r="C31" s="14" t="s">
        <v>113</v>
      </c>
      <c r="D31" s="15">
        <v>5.7435</v>
      </c>
      <c r="E31" s="16">
        <v>551159826.81967187</v>
      </c>
      <c r="F31" s="16">
        <v>962455.75796249323</v>
      </c>
      <c r="G31" s="12"/>
    </row>
    <row r="32" spans="1:8">
      <c r="A32" s="1" t="s">
        <v>119</v>
      </c>
      <c r="B32" s="1" t="s">
        <v>117</v>
      </c>
      <c r="C32" s="14" t="s">
        <v>113</v>
      </c>
      <c r="D32" s="15">
        <v>3.8157999999999999</v>
      </c>
      <c r="E32" s="16">
        <f>E31</f>
        <v>551159826.81967187</v>
      </c>
      <c r="F32" s="16">
        <f>F31</f>
        <v>962455.75796249323</v>
      </c>
      <c r="G32" s="12"/>
    </row>
    <row r="33" spans="1:8">
      <c r="A33" s="1" t="s">
        <v>120</v>
      </c>
      <c r="B33" s="1" t="s">
        <v>107</v>
      </c>
      <c r="C33" s="14" t="s">
        <v>108</v>
      </c>
      <c r="D33" s="15">
        <v>1.0699999999999999E-2</v>
      </c>
      <c r="E33" s="16">
        <v>6393062.1316104801</v>
      </c>
      <c r="F33" s="16">
        <v>0</v>
      </c>
      <c r="G33" s="17">
        <v>1.0415000000000001</v>
      </c>
      <c r="H33" s="13">
        <f t="shared" ref="H33:H34" si="1">E33*G33</f>
        <v>6658374.2100723153</v>
      </c>
    </row>
    <row r="34" spans="1:8">
      <c r="A34" s="1" t="s">
        <v>120</v>
      </c>
      <c r="B34" s="1" t="s">
        <v>109</v>
      </c>
      <c r="C34" s="14" t="s">
        <v>108</v>
      </c>
      <c r="D34" s="15">
        <v>7.4999999999999997E-3</v>
      </c>
      <c r="E34" s="16">
        <f>E33</f>
        <v>6393062.1316104801</v>
      </c>
      <c r="F34" s="16">
        <v>0</v>
      </c>
      <c r="G34" s="17">
        <f>G33</f>
        <v>1.0415000000000001</v>
      </c>
      <c r="H34" s="13">
        <f t="shared" si="1"/>
        <v>6658374.2100723153</v>
      </c>
    </row>
    <row r="35" spans="1:8">
      <c r="A35" s="1" t="s">
        <v>121</v>
      </c>
      <c r="B35" s="1" t="s">
        <v>107</v>
      </c>
      <c r="C35" s="14" t="s">
        <v>113</v>
      </c>
      <c r="D35" s="15">
        <v>3.2515999999999998</v>
      </c>
      <c r="E35" s="16">
        <v>83057.768353430511</v>
      </c>
      <c r="F35" s="16">
        <v>625.44345118936644</v>
      </c>
      <c r="G35" s="12"/>
    </row>
    <row r="36" spans="1:8">
      <c r="A36" s="1" t="s">
        <v>121</v>
      </c>
      <c r="B36" s="1" t="s">
        <v>109</v>
      </c>
      <c r="C36" s="14" t="s">
        <v>113</v>
      </c>
      <c r="D36" s="15">
        <v>2.1844000000000001</v>
      </c>
      <c r="E36" s="16">
        <f>E35</f>
        <v>83057.768353430511</v>
      </c>
      <c r="F36" s="16">
        <f>F35</f>
        <v>625.44345118936644</v>
      </c>
      <c r="G36" s="12"/>
    </row>
    <row r="37" spans="1:8">
      <c r="A37" s="1" t="s">
        <v>122</v>
      </c>
      <c r="B37" s="1" t="s">
        <v>107</v>
      </c>
      <c r="C37" s="14" t="s">
        <v>113</v>
      </c>
      <c r="D37" s="15">
        <v>3.4237000000000002</v>
      </c>
      <c r="E37" s="16">
        <v>16221478.844156178</v>
      </c>
      <c r="F37" s="16">
        <v>45205.829194696213</v>
      </c>
      <c r="G37" s="12"/>
    </row>
    <row r="38" spans="1:8">
      <c r="A38" s="1" t="s">
        <v>122</v>
      </c>
      <c r="B38" s="1" t="s">
        <v>109</v>
      </c>
      <c r="C38" s="14" t="s">
        <v>113</v>
      </c>
      <c r="D38" s="15">
        <v>2.2826</v>
      </c>
      <c r="E38" s="16">
        <f>E37</f>
        <v>16221478.844156178</v>
      </c>
      <c r="F38" s="16">
        <f>F37</f>
        <v>45205.829194696213</v>
      </c>
      <c r="G38" s="12"/>
    </row>
    <row r="39" spans="1:8">
      <c r="C39" s="14"/>
      <c r="D39" s="15"/>
      <c r="E39" s="16"/>
      <c r="F39" s="16"/>
      <c r="G39" s="12"/>
    </row>
    <row r="40" spans="1:8">
      <c r="E40" s="13"/>
      <c r="G40" s="12"/>
      <c r="H40" s="13"/>
    </row>
    <row r="41" spans="1:8">
      <c r="E41" s="118"/>
      <c r="G41" s="12"/>
      <c r="H41" s="13"/>
    </row>
    <row r="42" spans="1:8">
      <c r="E42" s="118"/>
      <c r="G42" s="12"/>
      <c r="H42" s="13"/>
    </row>
    <row r="43" spans="1:8">
      <c r="E43" s="118"/>
      <c r="G43" s="12"/>
      <c r="H43" s="13"/>
    </row>
    <row r="44" spans="1:8">
      <c r="E44" s="118"/>
      <c r="F44" s="13"/>
    </row>
    <row r="45" spans="1:8">
      <c r="E45" s="118"/>
      <c r="F45" s="13"/>
    </row>
    <row r="46" spans="1:8">
      <c r="E46" s="118"/>
    </row>
    <row r="47" spans="1:8">
      <c r="E47" s="118"/>
    </row>
    <row r="48" spans="1:8">
      <c r="E48" s="118"/>
      <c r="G48" s="12"/>
      <c r="H48" s="13"/>
    </row>
    <row r="49" spans="3:8">
      <c r="E49" s="118"/>
      <c r="G49" s="12"/>
      <c r="H49" s="13"/>
    </row>
    <row r="50" spans="3:8">
      <c r="E50" s="118"/>
      <c r="F50" s="13"/>
    </row>
    <row r="51" spans="3:8">
      <c r="E51" s="118"/>
      <c r="F51" s="13"/>
    </row>
    <row r="52" spans="3:8">
      <c r="E52" s="118"/>
      <c r="F52" s="13"/>
    </row>
    <row r="53" spans="3:8">
      <c r="E53" s="118"/>
      <c r="F53" s="13"/>
    </row>
    <row r="54" spans="3:8">
      <c r="C54" s="14"/>
      <c r="D54" s="14"/>
    </row>
    <row r="55" spans="3:8">
      <c r="C55" s="14"/>
      <c r="D55" s="14"/>
    </row>
  </sheetData>
  <mergeCells count="1">
    <mergeCell ref="A13:H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C4C0-878B-46A5-99B2-28563CC0EB42}">
  <dimension ref="A1:AZ55"/>
  <sheetViews>
    <sheetView topLeftCell="A10" workbookViewId="0">
      <selection activeCell="F15" sqref="F15"/>
    </sheetView>
  </sheetViews>
  <sheetFormatPr defaultColWidth="13.7109375" defaultRowHeight="13.15"/>
  <cols>
    <col min="1" max="1" width="65.28515625" style="1" customWidth="1"/>
    <col min="2" max="2" width="76" style="1" bestFit="1" customWidth="1"/>
    <col min="3" max="3" width="6.42578125" style="1" bestFit="1" customWidth="1"/>
    <col min="4" max="4" width="10.5703125" style="1" customWidth="1"/>
    <col min="5" max="5" width="18.28515625" style="1" customWidth="1"/>
    <col min="6" max="6" width="14" style="1" customWidth="1"/>
    <col min="7" max="7" width="13.7109375" style="1"/>
    <col min="8" max="8" width="14.5703125" style="1" customWidth="1"/>
    <col min="9" max="16384" width="13.7109375" style="1"/>
  </cols>
  <sheetData>
    <row r="1" spans="1:52">
      <c r="AZ1" s="2">
        <v>1</v>
      </c>
    </row>
    <row r="13" spans="1:52" ht="33" customHeight="1" thickBot="1">
      <c r="A13" s="225" t="s">
        <v>95</v>
      </c>
      <c r="B13" s="225"/>
      <c r="C13" s="225"/>
      <c r="D13" s="225"/>
      <c r="E13" s="225"/>
      <c r="F13" s="225"/>
      <c r="G13" s="225"/>
      <c r="H13" s="225"/>
      <c r="I13" s="3"/>
      <c r="J13" s="3"/>
      <c r="K13" s="3"/>
      <c r="L13" s="3"/>
    </row>
    <row r="14" spans="1:52" ht="18" thickBot="1">
      <c r="A14" s="4" t="s">
        <v>96</v>
      </c>
      <c r="B14" s="5">
        <v>0.17</v>
      </c>
    </row>
    <row r="15" spans="1:52" ht="41.45">
      <c r="A15" s="6" t="s">
        <v>97</v>
      </c>
      <c r="B15" s="6" t="s">
        <v>98</v>
      </c>
      <c r="C15" s="7" t="s">
        <v>99</v>
      </c>
      <c r="D15" s="8" t="s">
        <v>100</v>
      </c>
      <c r="E15" s="9" t="s">
        <v>101</v>
      </c>
      <c r="F15" s="9" t="s">
        <v>102</v>
      </c>
      <c r="G15" s="10" t="s">
        <v>103</v>
      </c>
      <c r="H15" s="11" t="s">
        <v>104</v>
      </c>
      <c r="I15" s="11"/>
    </row>
    <row r="16" spans="1:52">
      <c r="D16" s="12"/>
      <c r="E16" s="13"/>
      <c r="F16" s="13"/>
      <c r="G16" s="12"/>
    </row>
    <row r="17" spans="1:8">
      <c r="A17" s="1" t="s">
        <v>106</v>
      </c>
      <c r="B17" s="1" t="s">
        <v>107</v>
      </c>
      <c r="C17" s="14" t="s">
        <v>108</v>
      </c>
      <c r="D17" s="15">
        <v>1.17E-2</v>
      </c>
      <c r="E17" s="16">
        <v>1605702006.6028969</v>
      </c>
      <c r="F17" s="16">
        <v>0</v>
      </c>
      <c r="G17" s="17">
        <v>1.0415000000000001</v>
      </c>
      <c r="H17" s="13">
        <f>E17*G17</f>
        <v>1672338639.8769174</v>
      </c>
    </row>
    <row r="18" spans="1:8">
      <c r="A18" s="1" t="s">
        <v>106</v>
      </c>
      <c r="B18" s="1" t="s">
        <v>109</v>
      </c>
      <c r="C18" s="14" t="s">
        <v>108</v>
      </c>
      <c r="D18" s="15">
        <v>8.0000000000000002E-3</v>
      </c>
      <c r="E18" s="16">
        <f>E17</f>
        <v>1605702006.6028969</v>
      </c>
      <c r="F18" s="16">
        <v>0</v>
      </c>
      <c r="G18" s="17">
        <f>G17</f>
        <v>1.0415000000000001</v>
      </c>
      <c r="H18" s="13">
        <f t="shared" ref="H18:H22" si="0">E18*G18</f>
        <v>1672338639.8769174</v>
      </c>
    </row>
    <row r="19" spans="1:8">
      <c r="A19" s="1" t="s">
        <v>110</v>
      </c>
      <c r="B19" s="1" t="s">
        <v>107</v>
      </c>
      <c r="C19" s="14" t="s">
        <v>108</v>
      </c>
      <c r="D19" s="15">
        <v>1.2200000000000001E-2</v>
      </c>
      <c r="E19" s="16">
        <v>14809342.656845005</v>
      </c>
      <c r="F19" s="16">
        <v>0</v>
      </c>
      <c r="G19" s="17">
        <v>1.0415000000000001</v>
      </c>
      <c r="H19" s="13">
        <f t="shared" si="0"/>
        <v>15423930.377104074</v>
      </c>
    </row>
    <row r="20" spans="1:8">
      <c r="A20" s="1" t="s">
        <v>110</v>
      </c>
      <c r="B20" s="1" t="s">
        <v>109</v>
      </c>
      <c r="C20" s="14" t="s">
        <v>108</v>
      </c>
      <c r="D20" s="15">
        <v>1.03E-2</v>
      </c>
      <c r="E20" s="16">
        <f>E19</f>
        <v>14809342.656845005</v>
      </c>
      <c r="F20" s="16">
        <v>0</v>
      </c>
      <c r="G20" s="17">
        <f>G19</f>
        <v>1.0415000000000001</v>
      </c>
      <c r="H20" s="13">
        <f t="shared" si="0"/>
        <v>15423930.377104074</v>
      </c>
    </row>
    <row r="21" spans="1:8">
      <c r="A21" s="1" t="s">
        <v>111</v>
      </c>
      <c r="B21" s="1" t="s">
        <v>107</v>
      </c>
      <c r="C21" s="14" t="s">
        <v>108</v>
      </c>
      <c r="D21" s="15">
        <v>1.0699999999999999E-2</v>
      </c>
      <c r="E21" s="16">
        <v>360015336.731493</v>
      </c>
      <c r="F21" s="16">
        <v>0</v>
      </c>
      <c r="G21" s="17">
        <v>1.0415000000000001</v>
      </c>
      <c r="H21" s="13">
        <f t="shared" si="0"/>
        <v>374955973.20585001</v>
      </c>
    </row>
    <row r="22" spans="1:8">
      <c r="A22" s="1" t="s">
        <v>111</v>
      </c>
      <c r="B22" s="1" t="s">
        <v>109</v>
      </c>
      <c r="C22" s="14" t="s">
        <v>108</v>
      </c>
      <c r="D22" s="15">
        <v>7.4999999999999997E-3</v>
      </c>
      <c r="E22" s="16">
        <f>E21</f>
        <v>360015336.731493</v>
      </c>
      <c r="F22" s="16">
        <v>0</v>
      </c>
      <c r="G22" s="17">
        <f>G21</f>
        <v>1.0415000000000001</v>
      </c>
      <c r="H22" s="13">
        <f t="shared" si="0"/>
        <v>374955973.20585001</v>
      </c>
    </row>
    <row r="23" spans="1:8">
      <c r="A23" s="1" t="s">
        <v>112</v>
      </c>
      <c r="B23" s="1" t="s">
        <v>107</v>
      </c>
      <c r="C23" s="14" t="s">
        <v>113</v>
      </c>
      <c r="D23" s="15">
        <v>5.2130999999999998</v>
      </c>
      <c r="E23" s="18">
        <v>1424146367.0224607</v>
      </c>
      <c r="F23" s="19">
        <v>3533663.5562742664</v>
      </c>
      <c r="G23" s="12"/>
    </row>
    <row r="24" spans="1:8">
      <c r="A24" s="1" t="s">
        <v>112</v>
      </c>
      <c r="B24" s="1" t="s">
        <v>109</v>
      </c>
      <c r="C24" s="14" t="s">
        <v>113</v>
      </c>
      <c r="D24" s="15">
        <v>3.4744999999999999</v>
      </c>
      <c r="E24" s="20">
        <f>E23</f>
        <v>1424146367.0224607</v>
      </c>
      <c r="F24" s="21">
        <f>F23</f>
        <v>3533663.5562742664</v>
      </c>
      <c r="G24" s="12"/>
    </row>
    <row r="25" spans="1:8">
      <c r="A25" s="1" t="s">
        <v>112</v>
      </c>
      <c r="B25" s="1" t="s">
        <v>114</v>
      </c>
      <c r="C25" s="14" t="s">
        <v>113</v>
      </c>
      <c r="D25" s="15">
        <f>D23*$B$14</f>
        <v>0.88622699999999999</v>
      </c>
      <c r="E25" s="18">
        <v>1468692.2348430795</v>
      </c>
      <c r="F25" s="19">
        <v>46135.982489404887</v>
      </c>
      <c r="G25" s="12"/>
    </row>
    <row r="26" spans="1:8">
      <c r="A26" s="1" t="s">
        <v>112</v>
      </c>
      <c r="B26" s="1" t="s">
        <v>115</v>
      </c>
      <c r="C26" s="14" t="s">
        <v>113</v>
      </c>
      <c r="D26" s="15">
        <f>D24*$B$14</f>
        <v>0.590665</v>
      </c>
      <c r="E26" s="18">
        <f>E25</f>
        <v>1468692.2348430795</v>
      </c>
      <c r="F26" s="19">
        <f>F25</f>
        <v>46135.982489404887</v>
      </c>
      <c r="G26" s="12"/>
    </row>
    <row r="27" spans="1:8">
      <c r="A27" s="1" t="s">
        <v>116</v>
      </c>
      <c r="B27" s="1" t="s">
        <v>107</v>
      </c>
      <c r="C27" s="14" t="s">
        <v>113</v>
      </c>
      <c r="D27" s="15">
        <v>5.7435</v>
      </c>
      <c r="E27" s="18">
        <v>332701447.68732429</v>
      </c>
      <c r="F27" s="19">
        <v>729423.29021182051</v>
      </c>
      <c r="G27" s="12"/>
    </row>
    <row r="28" spans="1:8">
      <c r="A28" s="1" t="s">
        <v>116</v>
      </c>
      <c r="B28" s="1" t="s">
        <v>117</v>
      </c>
      <c r="C28" s="14" t="s">
        <v>113</v>
      </c>
      <c r="D28" s="15">
        <v>3.8157999999999999</v>
      </c>
      <c r="E28" s="20">
        <f>E27</f>
        <v>332701447.68732429</v>
      </c>
      <c r="F28" s="21">
        <f>F27</f>
        <v>729423.29021182051</v>
      </c>
      <c r="G28" s="12"/>
    </row>
    <row r="29" spans="1:8">
      <c r="A29" s="1" t="s">
        <v>116</v>
      </c>
      <c r="B29" s="1" t="s">
        <v>114</v>
      </c>
      <c r="C29" s="14" t="s">
        <v>113</v>
      </c>
      <c r="D29" s="15">
        <f>D27*$B$14</f>
        <v>0.97639500000000012</v>
      </c>
      <c r="E29" s="22">
        <v>0</v>
      </c>
      <c r="F29" s="23">
        <v>0</v>
      </c>
      <c r="G29" s="12"/>
    </row>
    <row r="30" spans="1:8">
      <c r="A30" s="1" t="s">
        <v>116</v>
      </c>
      <c r="B30" s="1" t="s">
        <v>118</v>
      </c>
      <c r="C30" s="14" t="s">
        <v>113</v>
      </c>
      <c r="D30" s="15">
        <f>D28*$B$14</f>
        <v>0.64868599999999998</v>
      </c>
      <c r="E30" s="20">
        <f>E29</f>
        <v>0</v>
      </c>
      <c r="F30" s="21">
        <v>0</v>
      </c>
      <c r="G30" s="12"/>
    </row>
    <row r="31" spans="1:8">
      <c r="A31" s="1" t="s">
        <v>119</v>
      </c>
      <c r="B31" s="1" t="s">
        <v>107</v>
      </c>
      <c r="C31" s="14" t="s">
        <v>113</v>
      </c>
      <c r="D31" s="15">
        <v>5.7435</v>
      </c>
      <c r="E31" s="16">
        <v>556396829.16877353</v>
      </c>
      <c r="F31" s="16">
        <v>977675.44389935944</v>
      </c>
      <c r="G31" s="12"/>
    </row>
    <row r="32" spans="1:8">
      <c r="A32" s="1" t="s">
        <v>119</v>
      </c>
      <c r="B32" s="1" t="s">
        <v>117</v>
      </c>
      <c r="C32" s="14" t="s">
        <v>113</v>
      </c>
      <c r="D32" s="15">
        <v>3.8157999999999999</v>
      </c>
      <c r="E32" s="16">
        <f>E31</f>
        <v>556396829.16877353</v>
      </c>
      <c r="F32" s="16">
        <f>F31</f>
        <v>977675.44389935944</v>
      </c>
      <c r="G32" s="12"/>
    </row>
    <row r="33" spans="1:8">
      <c r="A33" s="1" t="s">
        <v>120</v>
      </c>
      <c r="B33" s="1" t="s">
        <v>107</v>
      </c>
      <c r="C33" s="14" t="s">
        <v>108</v>
      </c>
      <c r="D33" s="15">
        <v>1.0699999999999999E-2</v>
      </c>
      <c r="E33" s="16">
        <v>6364925.8013524516</v>
      </c>
      <c r="F33" s="16">
        <v>0</v>
      </c>
      <c r="G33" s="17">
        <v>1.0415000000000001</v>
      </c>
      <c r="H33" s="13">
        <f t="shared" ref="H33:H34" si="1">E33*G33</f>
        <v>6629070.2221085792</v>
      </c>
    </row>
    <row r="34" spans="1:8">
      <c r="A34" s="1" t="s">
        <v>120</v>
      </c>
      <c r="B34" s="1" t="s">
        <v>109</v>
      </c>
      <c r="C34" s="14" t="s">
        <v>108</v>
      </c>
      <c r="D34" s="15">
        <v>7.4999999999999997E-3</v>
      </c>
      <c r="E34" s="16">
        <f>E33</f>
        <v>6364925.8013524516</v>
      </c>
      <c r="F34" s="16">
        <v>0</v>
      </c>
      <c r="G34" s="17">
        <f>G33</f>
        <v>1.0415000000000001</v>
      </c>
      <c r="H34" s="13">
        <f t="shared" si="1"/>
        <v>6629070.2221085792</v>
      </c>
    </row>
    <row r="35" spans="1:8">
      <c r="A35" s="1" t="s">
        <v>121</v>
      </c>
      <c r="B35" s="1" t="s">
        <v>107</v>
      </c>
      <c r="C35" s="14" t="s">
        <v>113</v>
      </c>
      <c r="D35" s="15">
        <v>3.2515999999999998</v>
      </c>
      <c r="E35" s="16">
        <v>81654.423131114119</v>
      </c>
      <c r="F35" s="16">
        <v>616.25346374616186</v>
      </c>
      <c r="G35" s="12"/>
    </row>
    <row r="36" spans="1:8">
      <c r="A36" s="1" t="s">
        <v>121</v>
      </c>
      <c r="B36" s="1" t="s">
        <v>109</v>
      </c>
      <c r="C36" s="14" t="s">
        <v>113</v>
      </c>
      <c r="D36" s="15">
        <v>2.1844000000000001</v>
      </c>
      <c r="E36" s="16">
        <f>E35</f>
        <v>81654.423131114119</v>
      </c>
      <c r="F36" s="16">
        <f>F35</f>
        <v>616.25346374616186</v>
      </c>
      <c r="G36" s="12"/>
    </row>
    <row r="37" spans="1:8">
      <c r="A37" s="1" t="s">
        <v>122</v>
      </c>
      <c r="B37" s="1" t="s">
        <v>107</v>
      </c>
      <c r="C37" s="14" t="s">
        <v>113</v>
      </c>
      <c r="D37" s="15">
        <v>3.4237000000000002</v>
      </c>
      <c r="E37" s="16">
        <v>16425545.534290673</v>
      </c>
      <c r="F37" s="16">
        <v>45774.320408562664</v>
      </c>
      <c r="G37" s="12"/>
    </row>
    <row r="38" spans="1:8">
      <c r="A38" s="1" t="s">
        <v>122</v>
      </c>
      <c r="B38" s="1" t="s">
        <v>109</v>
      </c>
      <c r="C38" s="14" t="s">
        <v>113</v>
      </c>
      <c r="D38" s="15">
        <v>2.2826</v>
      </c>
      <c r="E38" s="16">
        <f>E37</f>
        <v>16425545.534290673</v>
      </c>
      <c r="F38" s="16">
        <f>F37</f>
        <v>45774.320408562664</v>
      </c>
      <c r="G38" s="12"/>
    </row>
    <row r="39" spans="1:8">
      <c r="C39" s="14"/>
      <c r="D39" s="15"/>
      <c r="E39" s="16"/>
      <c r="F39" s="16"/>
      <c r="G39" s="12"/>
    </row>
    <row r="40" spans="1:8">
      <c r="E40" s="13"/>
      <c r="G40" s="12"/>
      <c r="H40" s="13"/>
    </row>
    <row r="41" spans="1:8">
      <c r="E41" s="118"/>
      <c r="G41" s="12"/>
      <c r="H41" s="13"/>
    </row>
    <row r="42" spans="1:8">
      <c r="E42" s="118"/>
      <c r="G42" s="12"/>
      <c r="H42" s="13"/>
    </row>
    <row r="43" spans="1:8">
      <c r="E43" s="118"/>
      <c r="G43" s="12"/>
      <c r="H43" s="13"/>
    </row>
    <row r="44" spans="1:8">
      <c r="E44" s="118"/>
      <c r="F44" s="13"/>
    </row>
    <row r="45" spans="1:8">
      <c r="E45" s="118"/>
      <c r="F45" s="13"/>
    </row>
    <row r="46" spans="1:8">
      <c r="E46" s="118"/>
    </row>
    <row r="47" spans="1:8">
      <c r="E47" s="118"/>
    </row>
    <row r="48" spans="1:8">
      <c r="E48" s="118"/>
      <c r="G48" s="12"/>
      <c r="H48" s="13"/>
    </row>
    <row r="49" spans="3:8">
      <c r="E49" s="118"/>
      <c r="G49" s="12"/>
      <c r="H49" s="13"/>
    </row>
    <row r="50" spans="3:8">
      <c r="E50" s="118"/>
      <c r="F50" s="13"/>
    </row>
    <row r="51" spans="3:8">
      <c r="E51" s="118"/>
      <c r="F51" s="13"/>
    </row>
    <row r="52" spans="3:8">
      <c r="E52" s="118"/>
      <c r="F52" s="13"/>
    </row>
    <row r="53" spans="3:8">
      <c r="E53" s="118"/>
      <c r="F53" s="13"/>
    </row>
    <row r="54" spans="3:8">
      <c r="C54" s="14"/>
      <c r="D54" s="14"/>
    </row>
    <row r="55" spans="3:8">
      <c r="C55" s="14"/>
      <c r="D55" s="14"/>
    </row>
  </sheetData>
  <mergeCells count="1">
    <mergeCell ref="A13:H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D733-60B8-436C-AE01-6D98DFDD0719}">
  <dimension ref="B9:AC74"/>
  <sheetViews>
    <sheetView topLeftCell="M12" workbookViewId="0">
      <selection activeCell="F15" sqref="F15"/>
    </sheetView>
  </sheetViews>
  <sheetFormatPr defaultColWidth="9.28515625" defaultRowHeight="13.15"/>
  <cols>
    <col min="1" max="1" width="11.7109375" style="1" customWidth="1"/>
    <col min="2" max="2" width="69" style="1" customWidth="1"/>
    <col min="3" max="3" width="15.42578125" style="1" customWidth="1"/>
    <col min="4" max="4" width="2.85546875" style="1" customWidth="1"/>
    <col min="5" max="5" width="22.7109375" style="1" customWidth="1"/>
    <col min="6" max="6" width="0.140625" style="1" customWidth="1"/>
    <col min="7" max="7" width="20.28515625" style="1" customWidth="1"/>
    <col min="8" max="8" width="2.28515625" style="1" customWidth="1"/>
    <col min="9" max="10" width="20.28515625" style="1" customWidth="1"/>
    <col min="11" max="11" width="17.42578125" style="1" customWidth="1"/>
    <col min="12" max="12" width="24.5703125" style="1" customWidth="1"/>
    <col min="13" max="18" width="15.28515625" style="1" customWidth="1"/>
    <col min="19" max="19" width="9.28515625" style="1"/>
    <col min="20" max="20" width="19.5703125" style="1" bestFit="1" customWidth="1"/>
    <col min="21" max="28" width="9.28515625" style="1"/>
    <col min="29" max="29" width="15.140625" style="1" bestFit="1" customWidth="1"/>
    <col min="30" max="16384" width="9.28515625" style="1"/>
  </cols>
  <sheetData>
    <row r="9" spans="2:27">
      <c r="U9" s="1" t="s">
        <v>125</v>
      </c>
    </row>
    <row r="11" spans="2:27" ht="14.45">
      <c r="S11" s="165"/>
      <c r="T11" s="166"/>
      <c r="U11" s="166">
        <v>2023</v>
      </c>
      <c r="V11" s="166">
        <v>2024</v>
      </c>
      <c r="W11" s="166">
        <v>2025</v>
      </c>
      <c r="X11" s="166">
        <v>2026</v>
      </c>
      <c r="Y11" s="167">
        <v>2027</v>
      </c>
    </row>
    <row r="12" spans="2:27" ht="14.45">
      <c r="S12" s="168"/>
      <c r="T12" t="s">
        <v>126</v>
      </c>
      <c r="U12" s="169">
        <v>1869</v>
      </c>
      <c r="V12" s="169">
        <v>2017.3</v>
      </c>
      <c r="W12" s="169">
        <v>2113</v>
      </c>
      <c r="X12" s="169">
        <v>2223.4</v>
      </c>
      <c r="Y12" s="170">
        <v>2308</v>
      </c>
      <c r="AA12" s="1" t="s">
        <v>127</v>
      </c>
    </row>
    <row r="13" spans="2:27" ht="14.45">
      <c r="S13" s="168"/>
      <c r="T13"/>
      <c r="U13"/>
      <c r="V13"/>
      <c r="W13"/>
      <c r="X13"/>
      <c r="Y13" s="171"/>
    </row>
    <row r="14" spans="2:27" ht="14.45">
      <c r="S14" s="168"/>
      <c r="T14" t="s">
        <v>128</v>
      </c>
      <c r="U14">
        <v>1113.4000000000001</v>
      </c>
      <c r="V14">
        <v>1202.5999999999999</v>
      </c>
      <c r="W14">
        <v>1260.2</v>
      </c>
      <c r="X14">
        <v>1326.8</v>
      </c>
      <c r="Y14" s="171">
        <v>1378</v>
      </c>
    </row>
    <row r="15" spans="2:27" ht="15.6">
      <c r="B15" s="24"/>
      <c r="C15" s="25"/>
      <c r="F15" s="25"/>
      <c r="H15" s="25"/>
      <c r="L15" s="25"/>
      <c r="M15" s="103" t="s">
        <v>129</v>
      </c>
      <c r="S15" s="168" t="s">
        <v>130</v>
      </c>
      <c r="T15" t="s">
        <v>131</v>
      </c>
      <c r="U15">
        <v>196.1</v>
      </c>
      <c r="V15">
        <v>211.4</v>
      </c>
      <c r="W15">
        <v>221.3</v>
      </c>
      <c r="X15">
        <v>232.6</v>
      </c>
      <c r="Y15" s="171">
        <v>241.4</v>
      </c>
    </row>
    <row r="16" spans="2:27" ht="14.45">
      <c r="S16" s="168"/>
      <c r="T16" t="s">
        <v>132</v>
      </c>
      <c r="U16">
        <v>559.4</v>
      </c>
      <c r="V16">
        <v>603.20000000000005</v>
      </c>
      <c r="W16">
        <v>631.5</v>
      </c>
      <c r="X16">
        <v>663.9</v>
      </c>
      <c r="Y16" s="171">
        <v>688.7</v>
      </c>
    </row>
    <row r="17" spans="2:27" ht="15.6">
      <c r="B17" s="26"/>
      <c r="C17" s="26"/>
      <c r="D17" s="27"/>
      <c r="E17" s="27"/>
      <c r="F17" s="28"/>
      <c r="G17" s="26"/>
      <c r="H17" s="28"/>
      <c r="I17" s="26"/>
      <c r="J17" s="26"/>
      <c r="K17" s="26"/>
      <c r="S17" s="168"/>
      <c r="T17"/>
      <c r="U17"/>
      <c r="V17"/>
      <c r="W17"/>
      <c r="X17"/>
      <c r="Y17" s="171"/>
    </row>
    <row r="18" spans="2:27" ht="29.25" customHeight="1">
      <c r="B18" s="29" t="s">
        <v>133</v>
      </c>
      <c r="C18" s="30" t="s">
        <v>99</v>
      </c>
      <c r="D18" s="31"/>
      <c r="E18" s="30" t="s">
        <v>134</v>
      </c>
      <c r="F18"/>
      <c r="G18" s="30" t="s">
        <v>135</v>
      </c>
      <c r="H18" s="32"/>
      <c r="I18" s="30" t="s">
        <v>136</v>
      </c>
      <c r="J18" s="30" t="s">
        <v>137</v>
      </c>
      <c r="K18" s="31"/>
      <c r="L18" s="30">
        <v>2026</v>
      </c>
      <c r="M18" s="30">
        <v>2027</v>
      </c>
      <c r="N18" s="30">
        <f>M18+1</f>
        <v>2028</v>
      </c>
      <c r="O18" s="30">
        <f t="shared" ref="O18:Q18" si="0">N18+1</f>
        <v>2029</v>
      </c>
      <c r="P18" s="30">
        <f t="shared" si="0"/>
        <v>2030</v>
      </c>
      <c r="Q18" s="30">
        <f t="shared" si="0"/>
        <v>2031</v>
      </c>
      <c r="S18" s="168"/>
      <c r="T18" t="s">
        <v>128</v>
      </c>
      <c r="U18" s="172">
        <v>19399</v>
      </c>
      <c r="V18" s="172">
        <v>19449</v>
      </c>
      <c r="W18" s="172">
        <v>19204</v>
      </c>
      <c r="X18" s="172">
        <v>19124</v>
      </c>
      <c r="Y18" s="173">
        <v>19194</v>
      </c>
    </row>
    <row r="19" spans="2:27" ht="15.6">
      <c r="B19" s="31"/>
      <c r="C19" s="31"/>
      <c r="D19" s="31"/>
      <c r="E19" s="31"/>
      <c r="F19" s="31"/>
      <c r="G19" s="31"/>
      <c r="H19" s="31"/>
      <c r="I19" s="31"/>
      <c r="J19" s="31"/>
      <c r="K19" s="31"/>
      <c r="L19" s="31"/>
      <c r="S19" s="168" t="s">
        <v>138</v>
      </c>
      <c r="T19" t="s">
        <v>131</v>
      </c>
      <c r="U19" s="172">
        <v>18830</v>
      </c>
      <c r="V19" s="172">
        <v>18879</v>
      </c>
      <c r="W19" s="172">
        <v>18642</v>
      </c>
      <c r="X19" s="172">
        <v>18565</v>
      </c>
      <c r="Y19" s="173">
        <v>18633</v>
      </c>
    </row>
    <row r="20" spans="2:27" ht="15.6">
      <c r="B20" s="33" t="s">
        <v>98</v>
      </c>
      <c r="C20" s="33"/>
      <c r="D20" s="34"/>
      <c r="E20" s="231" t="s">
        <v>100</v>
      </c>
      <c r="F20" s="253"/>
      <c r="G20" s="253"/>
      <c r="H20" s="35"/>
      <c r="I20" s="231" t="s">
        <v>100</v>
      </c>
      <c r="J20" s="231"/>
      <c r="K20" s="34"/>
      <c r="L20" s="35" t="s">
        <v>100</v>
      </c>
      <c r="S20" s="168"/>
      <c r="T20" t="s">
        <v>132</v>
      </c>
      <c r="U20" s="172">
        <v>16018</v>
      </c>
      <c r="V20" s="172">
        <v>16059</v>
      </c>
      <c r="W20" s="172">
        <v>15858</v>
      </c>
      <c r="X20" s="172">
        <v>15792</v>
      </c>
      <c r="Y20" s="173">
        <v>15850</v>
      </c>
    </row>
    <row r="21" spans="2:27" ht="15" customHeight="1">
      <c r="B21" s="31"/>
      <c r="C21" s="31"/>
      <c r="D21" s="31"/>
      <c r="E21" s="31"/>
      <c r="F21" s="31"/>
      <c r="G21" s="31"/>
      <c r="H21" s="31"/>
      <c r="I21" s="31"/>
      <c r="J21" s="31"/>
      <c r="K21" s="31"/>
      <c r="L21" s="31"/>
      <c r="S21" s="168"/>
      <c r="T21"/>
      <c r="U21"/>
      <c r="V21"/>
      <c r="W21"/>
      <c r="X21"/>
      <c r="Y21" s="171"/>
      <c r="AA21" s="1" t="s">
        <v>139</v>
      </c>
    </row>
    <row r="22" spans="2:27" ht="15.4" customHeight="1">
      <c r="B22" s="36" t="s">
        <v>140</v>
      </c>
      <c r="C22" s="37" t="s">
        <v>141</v>
      </c>
      <c r="D22" s="38"/>
      <c r="E22" s="39">
        <v>5.78</v>
      </c>
      <c r="F22" s="40"/>
      <c r="G22" s="39">
        <v>6.12</v>
      </c>
      <c r="H22" s="41"/>
      <c r="I22" s="39">
        <v>6.37</v>
      </c>
      <c r="J22" s="39">
        <v>6.37</v>
      </c>
      <c r="K22" s="115"/>
      <c r="L22" s="42">
        <v>6.39</v>
      </c>
      <c r="M22" s="121">
        <f>L22*($AA$23)</f>
        <v>6.7584755882424217</v>
      </c>
      <c r="N22" s="121">
        <f t="shared" ref="N22:Q22" si="1">M22*($AA$23)</f>
        <v>7.1481991043613062</v>
      </c>
      <c r="O22" s="121">
        <f t="shared" si="1"/>
        <v>7.5603957976091127</v>
      </c>
      <c r="P22" s="121">
        <f t="shared" si="1"/>
        <v>7.9963615705151456</v>
      </c>
      <c r="Q22" s="121">
        <f t="shared" si="1"/>
        <v>8.4574670530651712</v>
      </c>
      <c r="S22" s="168"/>
      <c r="T22" t="s">
        <v>128</v>
      </c>
      <c r="U22" s="186">
        <f>U14/U18/12*1000</f>
        <v>4.7828925889650673</v>
      </c>
      <c r="V22" s="186">
        <f>V14/V18/12*1000</f>
        <v>5.1527927742643147</v>
      </c>
      <c r="W22" s="186">
        <f>W14/W18/12*1000</f>
        <v>5.4684787891411517</v>
      </c>
      <c r="X22" s="186">
        <f>X14/X18/12*1000</f>
        <v>5.7815659206581609</v>
      </c>
      <c r="Y22" s="174">
        <f>Y14/Y18/12*1000</f>
        <v>5.9827723941509499</v>
      </c>
    </row>
    <row r="23" spans="2:27" ht="15.6">
      <c r="B23" s="38"/>
      <c r="C23" s="38"/>
      <c r="D23" s="38"/>
      <c r="E23" s="43"/>
      <c r="F23" s="34"/>
      <c r="G23" s="43"/>
      <c r="H23" s="44"/>
      <c r="I23" s="43"/>
      <c r="J23" s="43"/>
      <c r="K23" s="115"/>
      <c r="L23" s="43"/>
      <c r="S23" s="168" t="s">
        <v>142</v>
      </c>
      <c r="T23"/>
      <c r="U23"/>
      <c r="V23" s="175">
        <f>V22/U22</f>
        <v>1.0773381752608597</v>
      </c>
      <c r="W23" s="175">
        <f t="shared" ref="W23:Y23" si="2">W22/V22</f>
        <v>1.0612650321304467</v>
      </c>
      <c r="X23" s="175">
        <f t="shared" si="2"/>
        <v>1.0572530576764256</v>
      </c>
      <c r="Y23" s="176">
        <f t="shared" si="2"/>
        <v>1.0348013801544416</v>
      </c>
      <c r="AA23" s="120">
        <f>AVERAGE(V23:Y23)</f>
        <v>1.0576644113055433</v>
      </c>
    </row>
    <row r="24" spans="2:27" ht="15.4" customHeight="1">
      <c r="B24" s="36" t="s">
        <v>143</v>
      </c>
      <c r="C24" s="37" t="s">
        <v>141</v>
      </c>
      <c r="D24" s="38"/>
      <c r="E24" s="39">
        <v>0.95</v>
      </c>
      <c r="F24" s="40"/>
      <c r="G24" s="39">
        <v>0.95</v>
      </c>
      <c r="H24" s="41"/>
      <c r="I24" s="39">
        <v>1</v>
      </c>
      <c r="J24" s="39">
        <v>1</v>
      </c>
      <c r="K24" s="115"/>
      <c r="L24" s="42">
        <v>1.03</v>
      </c>
      <c r="M24" s="121">
        <f>L24*($AA$25)</f>
        <v>1.0878936347271062</v>
      </c>
      <c r="N24" s="121">
        <f t="shared" ref="N24:Q24" si="3">M24*($AA$25)</f>
        <v>1.1490413208541306</v>
      </c>
      <c r="O24" s="121">
        <f t="shared" si="3"/>
        <v>1.2136259601899371</v>
      </c>
      <c r="P24" s="121">
        <f t="shared" si="3"/>
        <v>1.2818407349807814</v>
      </c>
      <c r="Q24" s="121">
        <f t="shared" si="3"/>
        <v>1.3538896857470948</v>
      </c>
      <c r="S24" s="168"/>
      <c r="T24" t="s">
        <v>131</v>
      </c>
      <c r="U24" s="186">
        <f t="shared" ref="U24:Y24" si="4">U15/U19/12*1000</f>
        <v>0.86785271729509639</v>
      </c>
      <c r="V24" s="186">
        <f t="shared" si="4"/>
        <v>0.93313558274626129</v>
      </c>
      <c r="W24" s="186">
        <f t="shared" si="4"/>
        <v>0.9892536566176735</v>
      </c>
      <c r="X24" s="186">
        <f t="shared" si="4"/>
        <v>1.044079360804381</v>
      </c>
      <c r="Y24" s="174">
        <f t="shared" si="4"/>
        <v>1.0796257535912985</v>
      </c>
    </row>
    <row r="25" spans="2:27" ht="15.6">
      <c r="B25" s="38"/>
      <c r="C25" s="38"/>
      <c r="D25" s="38"/>
      <c r="E25" s="43"/>
      <c r="F25" s="34"/>
      <c r="G25" s="43"/>
      <c r="H25" s="44"/>
      <c r="I25" s="43"/>
      <c r="J25" s="43"/>
      <c r="K25" s="115"/>
      <c r="L25" s="43"/>
      <c r="S25" s="168"/>
      <c r="V25" s="175">
        <f>V24/U24</f>
        <v>1.0752234384362327</v>
      </c>
      <c r="W25" s="175">
        <f t="shared" ref="W25" si="5">W24/V24</f>
        <v>1.0601392497607411</v>
      </c>
      <c r="X25" s="175">
        <f t="shared" ref="X25" si="6">X24/W24</f>
        <v>1.0554212802954506</v>
      </c>
      <c r="Y25" s="176">
        <f t="shared" ref="Y25" si="7">Y24/X24</f>
        <v>1.0340456809332308</v>
      </c>
      <c r="AA25" s="120">
        <f>AVERAGE(V25:Y25)</f>
        <v>1.0562074123564138</v>
      </c>
    </row>
    <row r="26" spans="2:27" ht="15.4" customHeight="1">
      <c r="B26" s="36" t="s">
        <v>144</v>
      </c>
      <c r="C26" s="37" t="s">
        <v>141</v>
      </c>
      <c r="D26" s="38"/>
      <c r="E26" s="39">
        <v>3.21</v>
      </c>
      <c r="F26" s="40"/>
      <c r="G26" s="39">
        <v>3.21</v>
      </c>
      <c r="H26" s="41"/>
      <c r="I26" s="39">
        <v>3.39</v>
      </c>
      <c r="J26" s="39">
        <v>3.39</v>
      </c>
      <c r="K26" s="115"/>
      <c r="L26" s="42">
        <v>3.47</v>
      </c>
      <c r="M26" s="121">
        <f>L26*($AA$27)</f>
        <v>3.6651792464754558</v>
      </c>
      <c r="N26" s="121">
        <f t="shared" ref="N26:Q26" si="8">M26*($AA$27)</f>
        <v>3.8713368613240311</v>
      </c>
      <c r="O26" s="121">
        <f t="shared" si="8"/>
        <v>4.0890903516542556</v>
      </c>
      <c r="P26" s="121">
        <f>O26*($AA$27)</f>
        <v>4.3190919578807492</v>
      </c>
      <c r="Q26" s="121">
        <f t="shared" si="8"/>
        <v>4.562030607390076</v>
      </c>
      <c r="S26" s="168"/>
      <c r="T26" t="s">
        <v>132</v>
      </c>
      <c r="U26" s="186">
        <f>U16/U20/12*1000</f>
        <v>2.9102676155991176</v>
      </c>
      <c r="V26" s="186">
        <f>V16/V20/12*1000</f>
        <v>3.1301243331880357</v>
      </c>
      <c r="W26" s="186">
        <f>W16/W20/12*1000</f>
        <v>3.3185143145415563</v>
      </c>
      <c r="X26" s="186">
        <f>X16/X20/12*1000</f>
        <v>3.5033561296859168</v>
      </c>
      <c r="Y26" s="174">
        <f>Y16/Y20/12*1000</f>
        <v>3.6209253417455312</v>
      </c>
    </row>
    <row r="27" spans="2:27" ht="15.6">
      <c r="B27" s="31"/>
      <c r="C27" s="31"/>
      <c r="D27" s="31"/>
      <c r="E27" s="31"/>
      <c r="F27" s="31"/>
      <c r="G27" s="31"/>
      <c r="H27" s="31"/>
      <c r="I27" s="31"/>
      <c r="J27" s="31"/>
      <c r="K27" s="31"/>
      <c r="L27" s="31"/>
      <c r="S27" s="168"/>
      <c r="T27" s="187"/>
      <c r="U27" s="186"/>
      <c r="V27" s="175">
        <f>V26/U26</f>
        <v>1.0755451891813934</v>
      </c>
      <c r="W27" s="175">
        <f t="shared" ref="W27" si="9">W26/V26</f>
        <v>1.0601861016688896</v>
      </c>
      <c r="X27" s="175">
        <f t="shared" ref="X27" si="10">X26/W26</f>
        <v>1.0557001711080145</v>
      </c>
      <c r="Y27" s="176">
        <f t="shared" ref="Y27" si="11">Y26/X26</f>
        <v>1.0335590238923711</v>
      </c>
      <c r="AA27" s="120">
        <f>AVERAGE(V27:Y27)</f>
        <v>1.0562476214626673</v>
      </c>
    </row>
    <row r="28" spans="2:27" ht="15.6">
      <c r="B28" s="31"/>
      <c r="C28" s="31"/>
      <c r="D28" s="31"/>
      <c r="E28" s="31"/>
      <c r="F28" s="31"/>
      <c r="G28" s="31"/>
      <c r="H28" s="31"/>
      <c r="I28" s="31"/>
      <c r="J28" s="31"/>
      <c r="K28" s="31"/>
      <c r="L28" s="31"/>
      <c r="S28" s="168"/>
      <c r="T28"/>
      <c r="U28"/>
      <c r="V28" s="177">
        <f>(V24+V26)/(U24+U26)</f>
        <v>1.0754712814617138</v>
      </c>
      <c r="W28" s="177">
        <f t="shared" ref="W28:Y28" si="12">(W24+W26)/(V24+V26)</f>
        <v>1.0601753420365951</v>
      </c>
      <c r="X28" s="177">
        <f t="shared" si="12"/>
        <v>1.0556361254681441</v>
      </c>
      <c r="Y28" s="178">
        <f t="shared" si="12"/>
        <v>1.0336707590831649</v>
      </c>
      <c r="AA28" s="120">
        <f>AVERAGE(V28:Y28)</f>
        <v>1.0562383770124044</v>
      </c>
    </row>
    <row r="29" spans="2:27" ht="28.5" customHeight="1">
      <c r="B29" s="29" t="s">
        <v>145</v>
      </c>
      <c r="C29" s="30" t="s">
        <v>99</v>
      </c>
      <c r="D29" s="31"/>
      <c r="E29" s="232">
        <v>2024</v>
      </c>
      <c r="F29" s="232"/>
      <c r="G29" s="232"/>
      <c r="H29" s="32"/>
      <c r="I29" s="232">
        <v>2025</v>
      </c>
      <c r="J29" s="232"/>
      <c r="K29" s="31"/>
      <c r="L29" s="30">
        <v>2026</v>
      </c>
      <c r="S29" s="168"/>
      <c r="T29" t="s">
        <v>146</v>
      </c>
      <c r="U29" s="186">
        <f>U24+U22+U26</f>
        <v>8.5610129218592803</v>
      </c>
      <c r="V29" s="186">
        <f>V24+V22+V26</f>
        <v>9.2160526901986124</v>
      </c>
      <c r="W29" s="186">
        <f t="shared" ref="W29:Y29" si="13">W24+W22+W26</f>
        <v>9.7762467603003813</v>
      </c>
      <c r="X29" s="186">
        <f t="shared" si="13"/>
        <v>10.329001411148459</v>
      </c>
      <c r="Y29" s="174">
        <f t="shared" si="13"/>
        <v>10.68332348948778</v>
      </c>
    </row>
    <row r="30" spans="2:27" ht="15.75" customHeight="1">
      <c r="B30" s="45"/>
      <c r="C30" s="46"/>
      <c r="D30" s="31"/>
      <c r="E30" s="47"/>
      <c r="F30" s="47"/>
      <c r="G30" s="48"/>
      <c r="H30" s="49"/>
      <c r="I30" s="50"/>
      <c r="J30" s="31"/>
      <c r="K30" s="50"/>
      <c r="L30" s="31"/>
      <c r="S30" s="179"/>
      <c r="T30" s="180"/>
      <c r="U30" s="180"/>
      <c r="V30" s="181">
        <f>V29/U29</f>
        <v>1.0765142833351864</v>
      </c>
      <c r="W30" s="181">
        <f t="shared" ref="W30" si="14">W29/V29</f>
        <v>1.0607845993217402</v>
      </c>
      <c r="X30" s="181">
        <f>X29/W29</f>
        <v>1.0565405788541178</v>
      </c>
      <c r="Y30" s="182">
        <f t="shared" ref="Y30" si="15">Y29/X29</f>
        <v>1.0343036140896338</v>
      </c>
      <c r="AA30" s="120">
        <f>AVERAGE(V30:Y30)</f>
        <v>1.0570357689001695</v>
      </c>
    </row>
    <row r="31" spans="2:27" ht="3" customHeight="1">
      <c r="B31" s="50"/>
      <c r="C31" s="46"/>
      <c r="D31" s="31"/>
      <c r="E31" s="31"/>
      <c r="F31" s="50"/>
      <c r="G31" s="50"/>
      <c r="H31" s="51"/>
      <c r="I31" s="50"/>
      <c r="J31" s="31"/>
      <c r="K31" s="50"/>
      <c r="L31" s="31"/>
    </row>
    <row r="32" spans="2:27" ht="3" customHeight="1">
      <c r="B32" s="31"/>
      <c r="C32" s="31"/>
      <c r="D32" s="31"/>
      <c r="E32" s="31"/>
      <c r="F32" s="50"/>
      <c r="G32" s="31"/>
      <c r="H32" s="31"/>
      <c r="I32" s="31"/>
      <c r="J32" s="31"/>
      <c r="K32" s="31"/>
      <c r="L32" s="31"/>
    </row>
    <row r="33" spans="2:29" ht="15.6">
      <c r="B33" s="33" t="s">
        <v>98</v>
      </c>
      <c r="C33" s="33"/>
      <c r="D33" s="34"/>
      <c r="E33" s="231" t="s">
        <v>100</v>
      </c>
      <c r="F33" s="231"/>
      <c r="G33" s="231"/>
      <c r="H33" s="35"/>
      <c r="I33" s="231" t="s">
        <v>100</v>
      </c>
      <c r="J33" s="231"/>
      <c r="K33" s="31"/>
      <c r="L33" s="35" t="s">
        <v>100</v>
      </c>
      <c r="S33" s="215"/>
      <c r="T33" s="216"/>
      <c r="U33" s="216" t="s">
        <v>127</v>
      </c>
      <c r="V33" s="216"/>
      <c r="W33" s="216"/>
      <c r="X33" s="216"/>
      <c r="Y33" s="216"/>
      <c r="Z33" s="216"/>
      <c r="AA33" s="216"/>
      <c r="AB33" s="216"/>
      <c r="AC33" s="217"/>
    </row>
    <row r="34" spans="2:29" ht="15">
      <c r="B34" s="31"/>
      <c r="C34" s="31"/>
      <c r="D34" s="31"/>
      <c r="E34" s="31"/>
      <c r="F34" s="31"/>
      <c r="G34" s="31"/>
      <c r="H34" s="31"/>
      <c r="I34" s="31"/>
      <c r="J34" s="31"/>
      <c r="K34" s="31"/>
      <c r="L34" s="31"/>
      <c r="S34" s="218"/>
      <c r="AC34" s="224" t="s">
        <v>147</v>
      </c>
    </row>
    <row r="35" spans="2:29" ht="15.4" customHeight="1">
      <c r="B35" s="36" t="s">
        <v>140</v>
      </c>
      <c r="C35" s="37" t="s">
        <v>141</v>
      </c>
      <c r="D35" s="38"/>
      <c r="E35" s="235">
        <v>4.9103000000000003</v>
      </c>
      <c r="F35" s="235"/>
      <c r="G35" s="235"/>
      <c r="H35" s="52"/>
      <c r="I35" s="236">
        <v>5.3280000000000003</v>
      </c>
      <c r="J35" s="236"/>
      <c r="K35" s="115"/>
      <c r="L35" s="53">
        <v>5.4707999999999997</v>
      </c>
      <c r="M35" s="122">
        <f>L35*($AA$23)</f>
        <v>5.7862704613703659</v>
      </c>
      <c r="N35" s="122">
        <f t="shared" ref="N35:Q35" si="16">M35*($AA$23)</f>
        <v>6.1199323411799424</v>
      </c>
      <c r="O35" s="122">
        <f t="shared" si="16"/>
        <v>6.4728346368638396</v>
      </c>
      <c r="P35" s="122">
        <f t="shared" si="16"/>
        <v>6.846086835676723</v>
      </c>
      <c r="Q35" s="122">
        <f t="shared" si="16"/>
        <v>7.2408624028026516</v>
      </c>
      <c r="S35" s="218"/>
      <c r="V35" s="175"/>
      <c r="W35" s="175"/>
      <c r="AA35" s="120"/>
      <c r="AC35" s="219"/>
    </row>
    <row r="36" spans="2:29" ht="15.6">
      <c r="B36" s="50"/>
      <c r="C36" s="50"/>
      <c r="D36" s="50"/>
      <c r="E36" s="237"/>
      <c r="F36" s="237"/>
      <c r="G36" s="237"/>
      <c r="H36" s="54"/>
      <c r="I36" s="50"/>
      <c r="J36" s="54"/>
      <c r="K36" s="115"/>
      <c r="L36" s="54"/>
      <c r="M36" s="122"/>
      <c r="N36" s="122"/>
      <c r="O36" s="122"/>
      <c r="P36" s="122"/>
      <c r="Q36" s="122"/>
      <c r="S36" s="218"/>
      <c r="T36" s="1" t="s">
        <v>148</v>
      </c>
      <c r="U36" s="1">
        <v>1.5442</v>
      </c>
      <c r="V36" s="1">
        <v>1.6387</v>
      </c>
      <c r="W36" s="1">
        <v>1.7262</v>
      </c>
      <c r="X36" s="1">
        <v>1.8395999999999999</v>
      </c>
      <c r="Y36" s="1">
        <v>1.9332</v>
      </c>
      <c r="AC36" s="220">
        <v>58751624.107858509</v>
      </c>
    </row>
    <row r="37" spans="2:29" ht="15.4" customHeight="1">
      <c r="B37" s="36" t="s">
        <v>143</v>
      </c>
      <c r="C37" s="37" t="s">
        <v>141</v>
      </c>
      <c r="D37" s="38"/>
      <c r="E37" s="238">
        <v>0.65369999999999995</v>
      </c>
      <c r="F37" s="238"/>
      <c r="G37" s="238"/>
      <c r="H37" s="52"/>
      <c r="I37" s="236">
        <v>0.68820000000000003</v>
      </c>
      <c r="J37" s="236"/>
      <c r="K37" s="115"/>
      <c r="L37" s="53">
        <v>0.70540000000000003</v>
      </c>
      <c r="M37" s="122">
        <f>L37*($AA$25)</f>
        <v>0.74504870867621431</v>
      </c>
      <c r="N37" s="122">
        <f t="shared" ref="N37:Q37" si="17">M37*($AA$25)</f>
        <v>0.78692596867039188</v>
      </c>
      <c r="O37" s="122">
        <f t="shared" si="17"/>
        <v>0.83115704108541899</v>
      </c>
      <c r="P37" s="122">
        <f t="shared" si="17"/>
        <v>0.87787422762664391</v>
      </c>
      <c r="Q37" s="122">
        <f t="shared" si="17"/>
        <v>0.92721726633592294</v>
      </c>
      <c r="S37" s="218"/>
      <c r="V37" s="175">
        <f>V36/U36</f>
        <v>1.0611967361740708</v>
      </c>
      <c r="W37" s="175">
        <f t="shared" ref="W37:Y37" si="18">W36/V36</f>
        <v>1.0533959846219563</v>
      </c>
      <c r="X37" s="175">
        <f t="shared" si="18"/>
        <v>1.0656934306569343</v>
      </c>
      <c r="Y37" s="175">
        <f t="shared" si="18"/>
        <v>1.0508806262230921</v>
      </c>
      <c r="AA37" s="120">
        <f>AVERAGE(V37:Y37)</f>
        <v>1.0577916944190136</v>
      </c>
      <c r="AC37" s="220"/>
    </row>
    <row r="38" spans="2:29" ht="15.6">
      <c r="B38" s="50"/>
      <c r="C38" s="50"/>
      <c r="D38" s="50"/>
      <c r="E38" s="237"/>
      <c r="F38" s="237"/>
      <c r="G38" s="237"/>
      <c r="H38" s="54"/>
      <c r="I38" s="50"/>
      <c r="J38" s="54"/>
      <c r="K38" s="115"/>
      <c r="L38" s="54"/>
      <c r="M38" s="122"/>
      <c r="N38" s="122"/>
      <c r="O38" s="122"/>
      <c r="P38" s="122"/>
      <c r="Q38" s="122"/>
      <c r="S38" s="218"/>
      <c r="T38" s="1" t="s">
        <v>149</v>
      </c>
      <c r="U38" s="1">
        <v>1.9296</v>
      </c>
      <c r="V38" s="1">
        <v>2.0179502499945507</v>
      </c>
      <c r="W38" s="1">
        <v>2.1045017930639838</v>
      </c>
      <c r="X38" s="1">
        <v>2.2113122001437899</v>
      </c>
      <c r="Y38" s="1">
        <v>2.2981438889880605</v>
      </c>
      <c r="AC38" s="220">
        <v>1573012.3182776705</v>
      </c>
    </row>
    <row r="39" spans="2:29" ht="15.4" customHeight="1">
      <c r="B39" s="36" t="s">
        <v>144</v>
      </c>
      <c r="C39" s="37" t="s">
        <v>141</v>
      </c>
      <c r="D39" s="38"/>
      <c r="E39" s="238">
        <v>3.3041</v>
      </c>
      <c r="F39" s="238"/>
      <c r="G39" s="238"/>
      <c r="H39" s="52"/>
      <c r="I39" s="236">
        <v>3.4893999999999998</v>
      </c>
      <c r="J39" s="236"/>
      <c r="K39" s="115"/>
      <c r="L39" s="53">
        <v>3.5764</v>
      </c>
      <c r="M39" s="122">
        <f>L39*($AA$27)</f>
        <v>3.7775639933990832</v>
      </c>
      <c r="N39" s="122">
        <f t="shared" ref="N39:Q39" si="19">M39*($AA$27)</f>
        <v>3.9900429829507966</v>
      </c>
      <c r="O39" s="122">
        <f t="shared" si="19"/>
        <v>4.214473410275585</v>
      </c>
      <c r="P39" s="122">
        <f t="shared" si="19"/>
        <v>4.4515275153212421</v>
      </c>
      <c r="Q39" s="122">
        <f t="shared" si="19"/>
        <v>4.701915349933679</v>
      </c>
      <c r="S39" s="218"/>
      <c r="V39" s="175">
        <f>V38/U38</f>
        <v>1.0457868210999952</v>
      </c>
      <c r="W39" s="175">
        <f t="shared" ref="W39" si="20">W38/V38</f>
        <v>1.0428908210545165</v>
      </c>
      <c r="X39" s="175">
        <f t="shared" ref="X39" si="21">X38/W38</f>
        <v>1.0507532982066501</v>
      </c>
      <c r="Y39" s="175">
        <f t="shared" ref="Y39" si="22">Y38/X38</f>
        <v>1.03926704191232</v>
      </c>
      <c r="AA39" s="120">
        <f>AVERAGE(V39:Y39)</f>
        <v>1.0446744955683704</v>
      </c>
      <c r="AC39" s="220"/>
    </row>
    <row r="40" spans="2:29" ht="15.6">
      <c r="B40" s="50"/>
      <c r="C40" s="50"/>
      <c r="D40" s="50"/>
      <c r="E40" s="237"/>
      <c r="F40" s="237"/>
      <c r="G40" s="237"/>
      <c r="H40" s="43"/>
      <c r="I40" s="50"/>
      <c r="J40" s="54"/>
      <c r="K40" s="115"/>
      <c r="L40" s="54"/>
      <c r="M40" s="122"/>
      <c r="N40" s="122"/>
      <c r="O40" s="122"/>
      <c r="P40" s="122"/>
      <c r="Q40" s="122"/>
      <c r="S40" s="218"/>
      <c r="T40" s="1" t="s">
        <v>150</v>
      </c>
      <c r="U40" s="1">
        <v>621.87442505317449</v>
      </c>
      <c r="V40" s="1">
        <v>652.78977517885062</v>
      </c>
      <c r="W40" s="1">
        <v>675.59897101950958</v>
      </c>
      <c r="X40" s="1">
        <v>709.5987967718055</v>
      </c>
      <c r="Y40" s="1">
        <v>741.65740198146489</v>
      </c>
      <c r="AC40" s="220">
        <v>1048633975.3549858</v>
      </c>
    </row>
    <row r="41" spans="2:29" ht="15.4" customHeight="1">
      <c r="B41" s="36" t="s">
        <v>151</v>
      </c>
      <c r="C41" s="37" t="s">
        <v>141</v>
      </c>
      <c r="D41" s="38"/>
      <c r="E41" s="238">
        <v>3.9578000000000002</v>
      </c>
      <c r="F41" s="238"/>
      <c r="G41" s="238"/>
      <c r="H41" s="52">
        <v>3.0055000000000001</v>
      </c>
      <c r="I41" s="236">
        <v>4.1776</v>
      </c>
      <c r="J41" s="236"/>
      <c r="K41" s="115"/>
      <c r="L41" s="53">
        <f>L37+L39</f>
        <v>4.2818000000000005</v>
      </c>
      <c r="M41" s="122">
        <f>M39+M37</f>
        <v>4.522612702075298</v>
      </c>
      <c r="N41" s="122">
        <f t="shared" ref="N41:Q41" si="23">N39+N37</f>
        <v>4.7769689516211882</v>
      </c>
      <c r="O41" s="122">
        <f t="shared" si="23"/>
        <v>5.0456304513610037</v>
      </c>
      <c r="P41" s="122">
        <f t="shared" si="23"/>
        <v>5.3294017429478862</v>
      </c>
      <c r="Q41" s="122">
        <f t="shared" si="23"/>
        <v>5.6291326162696018</v>
      </c>
      <c r="S41" s="218"/>
      <c r="V41" s="175">
        <f>V40/U40</f>
        <v>1.0497131717919299</v>
      </c>
      <c r="W41" s="175">
        <f t="shared" ref="W41" si="24">W40/V40</f>
        <v>1.0349411046372621</v>
      </c>
      <c r="X41" s="175">
        <f t="shared" ref="X41" si="25">X40/W40</f>
        <v>1.05032545520457</v>
      </c>
      <c r="Y41" s="175">
        <f t="shared" ref="Y41" si="26">Y40/X40</f>
        <v>1.045178494320318</v>
      </c>
      <c r="AA41" s="120">
        <f>AVERAGE(V41:Y41)</f>
        <v>1.04503955648852</v>
      </c>
      <c r="AC41" s="219"/>
    </row>
    <row r="42" spans="2:29" ht="15.6">
      <c r="B42" s="55"/>
      <c r="C42" s="55"/>
      <c r="D42"/>
      <c r="E42"/>
      <c r="F42" s="43"/>
      <c r="G42"/>
      <c r="H42" s="43"/>
      <c r="I42"/>
      <c r="J42"/>
      <c r="K42"/>
      <c r="L42" s="54"/>
      <c r="S42" s="218"/>
      <c r="AC42" s="219"/>
    </row>
    <row r="43" spans="2:29" ht="14.45">
      <c r="B43"/>
      <c r="C43"/>
      <c r="D43"/>
      <c r="E43"/>
      <c r="F43"/>
      <c r="G43"/>
      <c r="H43"/>
      <c r="I43"/>
      <c r="J43"/>
      <c r="K43"/>
      <c r="L43"/>
      <c r="S43" s="218"/>
      <c r="AA43" s="175">
        <f>AA37*(AC36/($AC$36+$AC$38+$AC$40))+AA39*(AC38/($AC$36+$AC$38+$AC$40))+AA41*(AC40/($AC$36+$AC$38+$AC$40))</f>
        <v>1.0457146353967737</v>
      </c>
      <c r="AC43" s="219"/>
    </row>
    <row r="44" spans="2:29" ht="26.25" customHeight="1">
      <c r="B44" s="56" t="s">
        <v>152</v>
      </c>
      <c r="C44" s="57" t="s">
        <v>99</v>
      </c>
      <c r="D44"/>
      <c r="E44" s="233">
        <f>E29</f>
        <v>2024</v>
      </c>
      <c r="F44" s="233"/>
      <c r="G44" s="233"/>
      <c r="H44" s="32"/>
      <c r="I44" s="234">
        <f>I29</f>
        <v>2025</v>
      </c>
      <c r="J44" s="234"/>
      <c r="K44" s="31"/>
      <c r="L44" s="58">
        <f>L29</f>
        <v>2026</v>
      </c>
      <c r="S44" s="221"/>
      <c r="T44" s="222"/>
      <c r="U44" s="222"/>
      <c r="V44" s="222"/>
      <c r="W44" s="222"/>
      <c r="X44" s="222"/>
      <c r="Y44" s="222"/>
      <c r="Z44" s="222"/>
      <c r="AA44" s="222"/>
      <c r="AB44" s="222"/>
      <c r="AC44" s="223"/>
    </row>
    <row r="45" spans="2:29" ht="15.6">
      <c r="B45" s="45"/>
      <c r="C45" s="59"/>
      <c r="D45"/>
      <c r="E45"/>
      <c r="F45" s="55"/>
      <c r="G45" s="55"/>
      <c r="H45" s="55"/>
      <c r="I45" s="55"/>
      <c r="J45" s="55"/>
      <c r="K45" s="55"/>
      <c r="L45"/>
    </row>
    <row r="46" spans="2:29" ht="3" customHeight="1">
      <c r="B46" s="55"/>
      <c r="C46" s="59"/>
      <c r="D46"/>
      <c r="E46"/>
      <c r="F46" s="51"/>
      <c r="G46" s="55"/>
      <c r="H46" s="51"/>
      <c r="I46" s="55"/>
      <c r="J46" s="55"/>
      <c r="K46" s="55"/>
      <c r="L46"/>
    </row>
    <row r="47" spans="2:29" ht="3" customHeight="1">
      <c r="B47"/>
      <c r="C47"/>
      <c r="D47"/>
      <c r="E47"/>
      <c r="F47"/>
      <c r="G47"/>
      <c r="H47"/>
      <c r="I47"/>
      <c r="J47"/>
      <c r="K47"/>
      <c r="L47"/>
    </row>
    <row r="48" spans="2:29" ht="15.6">
      <c r="B48" s="33" t="s">
        <v>98</v>
      </c>
      <c r="C48" s="33"/>
      <c r="D48" s="60"/>
      <c r="E48" s="231" t="s">
        <v>100</v>
      </c>
      <c r="F48" s="231"/>
      <c r="G48" s="231"/>
      <c r="H48" s="231" t="s">
        <v>100</v>
      </c>
      <c r="I48" s="253"/>
      <c r="J48" s="253"/>
      <c r="K48" s="31"/>
      <c r="L48" s="35" t="s">
        <v>100</v>
      </c>
    </row>
    <row r="49" spans="2:12" ht="15">
      <c r="B49" s="61"/>
      <c r="C49" s="61"/>
      <c r="D49" s="61"/>
      <c r="E49" s="61"/>
      <c r="F49" s="61"/>
      <c r="G49" s="31"/>
      <c r="H49" s="31"/>
      <c r="I49" s="31"/>
      <c r="J49" s="31"/>
      <c r="K49" s="31"/>
      <c r="L49" s="31"/>
    </row>
    <row r="50" spans="2:12" ht="16.899999999999999">
      <c r="B50" s="62" t="s">
        <v>140</v>
      </c>
      <c r="C50" s="63" t="s">
        <v>141</v>
      </c>
      <c r="D50" s="64"/>
      <c r="E50" s="239"/>
      <c r="F50" s="239"/>
      <c r="G50" s="239"/>
      <c r="H50" s="41"/>
      <c r="I50" s="240"/>
      <c r="J50" s="240"/>
      <c r="K50" s="50"/>
      <c r="L50" s="42"/>
    </row>
    <row r="51" spans="2:12" ht="15.6">
      <c r="B51" s="65"/>
      <c r="C51" s="65"/>
      <c r="D51" s="65"/>
      <c r="E51" s="65"/>
      <c r="F51" s="65"/>
      <c r="G51" s="50"/>
      <c r="H51" s="43"/>
      <c r="I51" s="50"/>
      <c r="J51" s="50"/>
      <c r="K51" s="50"/>
      <c r="L51" s="43"/>
    </row>
    <row r="52" spans="2:12" ht="16.899999999999999">
      <c r="B52" s="62" t="s">
        <v>143</v>
      </c>
      <c r="C52" s="63" t="s">
        <v>141</v>
      </c>
      <c r="D52" s="64"/>
      <c r="E52" s="239"/>
      <c r="F52" s="239"/>
      <c r="G52" s="239"/>
      <c r="H52" s="41"/>
      <c r="I52" s="240"/>
      <c r="J52" s="240"/>
      <c r="K52" s="50"/>
      <c r="L52" s="42"/>
    </row>
    <row r="53" spans="2:12" ht="15.6">
      <c r="B53" s="65"/>
      <c r="C53" s="65"/>
      <c r="D53" s="65"/>
      <c r="E53" s="65"/>
      <c r="F53" s="65"/>
      <c r="G53" s="50"/>
      <c r="H53" s="43"/>
      <c r="I53" s="50"/>
      <c r="J53" s="50"/>
      <c r="K53" s="50"/>
      <c r="L53" s="43"/>
    </row>
    <row r="54" spans="2:12" ht="16.899999999999999">
      <c r="B54" s="62" t="s">
        <v>144</v>
      </c>
      <c r="C54" s="63" t="s">
        <v>141</v>
      </c>
      <c r="D54" s="64"/>
      <c r="E54" s="239"/>
      <c r="F54" s="239"/>
      <c r="G54" s="239"/>
      <c r="H54" s="41"/>
      <c r="I54" s="240"/>
      <c r="J54" s="240"/>
      <c r="K54" s="50"/>
      <c r="L54" s="42"/>
    </row>
    <row r="55" spans="2:12" ht="15.6">
      <c r="B55" s="65"/>
      <c r="C55" s="65"/>
      <c r="D55" s="65"/>
      <c r="E55" s="65"/>
      <c r="F55" s="65"/>
      <c r="G55" s="50"/>
      <c r="H55" s="43"/>
      <c r="I55" s="50"/>
      <c r="J55" s="50"/>
      <c r="K55" s="50"/>
      <c r="L55" s="43"/>
    </row>
    <row r="56" spans="2:12" ht="16.899999999999999">
      <c r="B56" s="62" t="s">
        <v>151</v>
      </c>
      <c r="C56" s="63" t="s">
        <v>141</v>
      </c>
      <c r="D56" s="64"/>
      <c r="E56" s="241">
        <f>E54+E52</f>
        <v>0</v>
      </c>
      <c r="F56" s="241"/>
      <c r="G56" s="241"/>
      <c r="H56" s="43">
        <f>H54+H52</f>
        <v>0</v>
      </c>
      <c r="I56" s="241">
        <f>I54+I52</f>
        <v>0</v>
      </c>
      <c r="J56" s="241"/>
      <c r="K56" s="50"/>
      <c r="L56" s="43">
        <f>L54+L52</f>
        <v>0</v>
      </c>
    </row>
    <row r="57" spans="2:12" ht="15.6">
      <c r="B57" s="55"/>
      <c r="C57" s="55"/>
      <c r="D57"/>
      <c r="E57"/>
      <c r="F57" s="43"/>
      <c r="G57"/>
      <c r="H57" s="43"/>
      <c r="I57"/>
      <c r="J57"/>
      <c r="K57"/>
      <c r="L57"/>
    </row>
    <row r="58" spans="2:12" ht="14.45">
      <c r="B58"/>
      <c r="C58"/>
      <c r="D58"/>
      <c r="E58"/>
      <c r="F58"/>
      <c r="G58"/>
      <c r="H58"/>
      <c r="I58"/>
      <c r="J58"/>
      <c r="K58"/>
      <c r="L58"/>
    </row>
    <row r="59" spans="2:12" ht="27" customHeight="1">
      <c r="B59" s="56" t="s">
        <v>153</v>
      </c>
      <c r="C59" s="57" t="s">
        <v>99</v>
      </c>
      <c r="D59"/>
      <c r="E59" s="233">
        <f>E29</f>
        <v>2024</v>
      </c>
      <c r="F59" s="233"/>
      <c r="G59" s="233"/>
      <c r="H59" s="32"/>
      <c r="I59" s="234">
        <f>I29</f>
        <v>2025</v>
      </c>
      <c r="J59" s="234"/>
      <c r="K59" s="31"/>
      <c r="L59" s="58">
        <f>L29</f>
        <v>2026</v>
      </c>
    </row>
    <row r="60" spans="2:12" ht="15.6">
      <c r="B60" s="45"/>
      <c r="C60" s="59"/>
      <c r="D60"/>
      <c r="E60"/>
      <c r="F60" s="55"/>
      <c r="G60" s="55"/>
      <c r="H60" s="55"/>
      <c r="I60" s="55"/>
      <c r="J60" s="55"/>
      <c r="K60" s="55"/>
      <c r="L60"/>
    </row>
    <row r="61" spans="2:12" ht="3" customHeight="1">
      <c r="B61" s="55"/>
      <c r="C61" s="59"/>
      <c r="D61"/>
      <c r="E61"/>
      <c r="F61" s="51"/>
      <c r="G61" s="55"/>
      <c r="H61" s="51"/>
      <c r="I61" s="55"/>
      <c r="J61" s="55"/>
      <c r="K61" s="55"/>
      <c r="L61"/>
    </row>
    <row r="62" spans="2:12" ht="3" customHeight="1">
      <c r="B62"/>
      <c r="C62"/>
      <c r="D62"/>
      <c r="E62"/>
      <c r="F62"/>
      <c r="G62"/>
      <c r="H62"/>
      <c r="I62"/>
      <c r="J62"/>
      <c r="K62"/>
      <c r="L62"/>
    </row>
    <row r="63" spans="2:12" ht="15.6">
      <c r="B63" s="33" t="s">
        <v>98</v>
      </c>
      <c r="C63" s="33"/>
      <c r="D63" s="34"/>
      <c r="E63" s="231" t="s">
        <v>100</v>
      </c>
      <c r="F63" s="231"/>
      <c r="G63" s="231"/>
      <c r="H63" s="231" t="s">
        <v>100</v>
      </c>
      <c r="I63" s="253"/>
      <c r="J63" s="253"/>
      <c r="K63" s="31"/>
      <c r="L63" s="35" t="s">
        <v>100</v>
      </c>
    </row>
    <row r="64" spans="2:12" ht="15">
      <c r="B64" s="31"/>
      <c r="C64" s="31"/>
      <c r="D64" s="31"/>
      <c r="E64" s="31"/>
      <c r="F64" s="31"/>
      <c r="G64" s="31"/>
      <c r="H64" s="31"/>
      <c r="I64" s="31"/>
      <c r="J64" s="31"/>
      <c r="K64" s="31"/>
      <c r="L64" s="31"/>
    </row>
    <row r="65" spans="2:12" ht="15.6">
      <c r="B65" s="36" t="s">
        <v>140</v>
      </c>
      <c r="C65" s="37" t="s">
        <v>141</v>
      </c>
      <c r="D65" s="38"/>
      <c r="E65" s="242"/>
      <c r="F65" s="242"/>
      <c r="G65" s="242"/>
      <c r="H65" s="41"/>
      <c r="I65" s="240"/>
      <c r="J65" s="240"/>
      <c r="K65" s="50"/>
      <c r="L65" s="42"/>
    </row>
    <row r="66" spans="2:12" ht="15.6">
      <c r="B66" s="50"/>
      <c r="C66" s="50"/>
      <c r="D66" s="50"/>
      <c r="E66" s="50"/>
      <c r="F66" s="50"/>
      <c r="G66" s="50"/>
      <c r="H66" s="43"/>
      <c r="I66" s="50"/>
      <c r="J66" s="50"/>
      <c r="K66" s="50"/>
      <c r="L66" s="43"/>
    </row>
    <row r="67" spans="2:12" ht="15.6">
      <c r="B67" s="36" t="s">
        <v>143</v>
      </c>
      <c r="C67" s="37" t="s">
        <v>141</v>
      </c>
      <c r="D67" s="38"/>
      <c r="E67" s="242"/>
      <c r="F67" s="242"/>
      <c r="G67" s="242"/>
      <c r="H67" s="41"/>
      <c r="I67" s="240"/>
      <c r="J67" s="240"/>
      <c r="K67" s="50"/>
      <c r="L67" s="42"/>
    </row>
    <row r="68" spans="2:12" ht="15.6">
      <c r="B68" s="50"/>
      <c r="C68" s="50"/>
      <c r="D68" s="50"/>
      <c r="E68" s="50"/>
      <c r="F68" s="50"/>
      <c r="G68" s="50"/>
      <c r="H68" s="43"/>
      <c r="I68" s="50"/>
      <c r="J68" s="50"/>
      <c r="K68" s="50"/>
      <c r="L68" s="43"/>
    </row>
    <row r="69" spans="2:12" ht="15.6">
      <c r="B69" s="36" t="s">
        <v>144</v>
      </c>
      <c r="C69" s="37" t="s">
        <v>141</v>
      </c>
      <c r="D69" s="38"/>
      <c r="E69" s="242"/>
      <c r="F69" s="242"/>
      <c r="G69" s="242"/>
      <c r="H69" s="41"/>
      <c r="I69" s="240"/>
      <c r="J69" s="240"/>
      <c r="K69" s="50"/>
      <c r="L69" s="42"/>
    </row>
    <row r="70" spans="2:12" ht="15.6">
      <c r="B70" s="50"/>
      <c r="C70" s="50"/>
      <c r="D70" s="50"/>
      <c r="E70" s="50"/>
      <c r="F70" s="50"/>
      <c r="G70" s="50"/>
      <c r="H70" s="43"/>
      <c r="I70" s="50"/>
      <c r="J70" s="50"/>
      <c r="K70" s="50"/>
      <c r="L70" s="43"/>
    </row>
    <row r="71" spans="2:12" ht="15.6">
      <c r="B71" s="36" t="s">
        <v>151</v>
      </c>
      <c r="C71" s="37" t="s">
        <v>141</v>
      </c>
      <c r="D71" s="38"/>
      <c r="E71" s="241">
        <f>E69+E67</f>
        <v>0</v>
      </c>
      <c r="F71" s="241"/>
      <c r="G71" s="241"/>
      <c r="H71" s="43">
        <f>H69+H67</f>
        <v>0</v>
      </c>
      <c r="I71" s="241">
        <f>J69+J67</f>
        <v>0</v>
      </c>
      <c r="J71" s="241"/>
      <c r="K71" s="50"/>
      <c r="L71" s="43">
        <f>L69+L67</f>
        <v>0</v>
      </c>
    </row>
    <row r="72" spans="2:12" ht="15.6">
      <c r="B72" s="55"/>
      <c r="C72" s="55"/>
      <c r="D72"/>
      <c r="E72"/>
      <c r="F72" s="43"/>
      <c r="G72"/>
      <c r="H72" s="43"/>
      <c r="I72"/>
      <c r="J72"/>
      <c r="K72"/>
      <c r="L72"/>
    </row>
    <row r="73" spans="2:12" ht="15.6">
      <c r="B73" s="31"/>
      <c r="C73" s="31"/>
      <c r="D73" s="31"/>
      <c r="E73" s="244" t="str">
        <f>"Historical " &amp;E59</f>
        <v>Historical 2024</v>
      </c>
      <c r="F73" s="244"/>
      <c r="G73" s="244"/>
      <c r="H73" s="66"/>
      <c r="I73" s="244" t="str">
        <f>"Current " &amp;I59</f>
        <v>Current 2025</v>
      </c>
      <c r="J73" s="244"/>
      <c r="K73" s="66"/>
      <c r="L73" s="66" t="str">
        <f>"Forecast " &amp;L59</f>
        <v>Forecast 2026</v>
      </c>
    </row>
    <row r="74" spans="2:12" ht="31.15">
      <c r="B74" s="67" t="s">
        <v>154</v>
      </c>
      <c r="C74" s="68" t="s">
        <v>155</v>
      </c>
      <c r="D74" s="31"/>
      <c r="E74" s="243"/>
      <c r="F74" s="243"/>
      <c r="G74" s="243"/>
      <c r="H74" s="41"/>
      <c r="I74" s="240"/>
      <c r="J74" s="240"/>
      <c r="K74" s="69"/>
      <c r="L74" s="70"/>
    </row>
  </sheetData>
  <mergeCells count="45">
    <mergeCell ref="E74:G74"/>
    <mergeCell ref="I74:J74"/>
    <mergeCell ref="E69:G69"/>
    <mergeCell ref="I69:J69"/>
    <mergeCell ref="E71:G71"/>
    <mergeCell ref="I71:J71"/>
    <mergeCell ref="E73:G73"/>
    <mergeCell ref="I73:J73"/>
    <mergeCell ref="E63:G63"/>
    <mergeCell ref="H63:J63"/>
    <mergeCell ref="E65:G65"/>
    <mergeCell ref="I65:J65"/>
    <mergeCell ref="E67:G67"/>
    <mergeCell ref="I67:J67"/>
    <mergeCell ref="E54:G54"/>
    <mergeCell ref="I54:J54"/>
    <mergeCell ref="E56:G56"/>
    <mergeCell ref="I56:J56"/>
    <mergeCell ref="E59:G59"/>
    <mergeCell ref="I59:J59"/>
    <mergeCell ref="E48:G48"/>
    <mergeCell ref="H48:J48"/>
    <mergeCell ref="E50:G50"/>
    <mergeCell ref="I50:J50"/>
    <mergeCell ref="E52:G52"/>
    <mergeCell ref="I52:J52"/>
    <mergeCell ref="E44:G44"/>
    <mergeCell ref="I44:J44"/>
    <mergeCell ref="E35:G35"/>
    <mergeCell ref="I35:J35"/>
    <mergeCell ref="E36:G36"/>
    <mergeCell ref="E37:G37"/>
    <mergeCell ref="I37:J37"/>
    <mergeCell ref="E38:G38"/>
    <mergeCell ref="E39:G39"/>
    <mergeCell ref="I39:J39"/>
    <mergeCell ref="E40:G40"/>
    <mergeCell ref="E41:G41"/>
    <mergeCell ref="I41:J41"/>
    <mergeCell ref="E20:G20"/>
    <mergeCell ref="I20:J20"/>
    <mergeCell ref="E29:G29"/>
    <mergeCell ref="I29:J29"/>
    <mergeCell ref="E33:G33"/>
    <mergeCell ref="I33:J3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154FF-58EF-4170-B217-BFA6D90E3919}">
  <dimension ref="A13:T112"/>
  <sheetViews>
    <sheetView topLeftCell="B20" workbookViewId="0">
      <selection activeCell="F15" sqref="F15"/>
    </sheetView>
  </sheetViews>
  <sheetFormatPr defaultColWidth="9.28515625" defaultRowHeight="13.15"/>
  <cols>
    <col min="1" max="1" width="11.7109375" style="1" hidden="1" customWidth="1"/>
    <col min="2" max="2" width="30.28515625" style="1" customWidth="1"/>
    <col min="3" max="3" width="3.7109375" style="1" customWidth="1"/>
    <col min="4" max="4" width="13.28515625" style="1" customWidth="1"/>
    <col min="5" max="5" width="15.28515625" style="1" customWidth="1"/>
    <col min="6" max="6" width="13.28515625" style="1" customWidth="1"/>
    <col min="7" max="7" width="2.7109375" style="1" customWidth="1"/>
    <col min="8" max="8" width="13.28515625" style="1" customWidth="1"/>
    <col min="9" max="9" width="9.42578125" style="1" bestFit="1" customWidth="1"/>
    <col min="10" max="10" width="13.28515625" style="1" customWidth="1"/>
    <col min="11" max="11" width="3.28515625" style="1" customWidth="1"/>
    <col min="12" max="12" width="13.28515625" style="1" customWidth="1"/>
    <col min="13" max="13" width="9.42578125" style="1" bestFit="1" customWidth="1"/>
    <col min="14" max="14" width="13.28515625" style="1" customWidth="1"/>
    <col min="15" max="15" width="3.7109375" style="1" customWidth="1"/>
    <col min="16" max="16" width="17.5703125" style="1" customWidth="1"/>
    <col min="17" max="17" width="9.28515625" style="1"/>
    <col min="18" max="18" width="13.140625" style="1" bestFit="1" customWidth="1"/>
    <col min="19" max="19" width="10.7109375" style="1" customWidth="1"/>
    <col min="20" max="20" width="10.42578125" style="1" bestFit="1" customWidth="1"/>
    <col min="21" max="16384" width="9.28515625" style="1"/>
  </cols>
  <sheetData>
    <row r="13" spans="2:17" ht="68.25" customHeight="1">
      <c r="B13" s="245" t="s">
        <v>156</v>
      </c>
      <c r="C13" s="246"/>
      <c r="D13" s="246"/>
      <c r="E13" s="246"/>
      <c r="F13" s="246"/>
      <c r="G13" s="246"/>
      <c r="H13" s="246"/>
      <c r="I13" s="246"/>
      <c r="J13" s="246"/>
      <c r="K13" s="246"/>
      <c r="L13" s="246"/>
      <c r="M13" s="246"/>
      <c r="N13" s="246"/>
      <c r="O13" s="246"/>
      <c r="P13" s="246"/>
    </row>
    <row r="16" spans="2:17" ht="15.6">
      <c r="B16" s="71" t="s">
        <v>157</v>
      </c>
      <c r="C16" s="72"/>
      <c r="D16" s="247" t="s">
        <v>128</v>
      </c>
      <c r="E16" s="247"/>
      <c r="F16" s="247"/>
      <c r="G16" s="72"/>
      <c r="H16" s="247" t="s">
        <v>158</v>
      </c>
      <c r="I16" s="247"/>
      <c r="J16" s="247"/>
      <c r="K16" s="72"/>
      <c r="L16" s="247" t="s">
        <v>159</v>
      </c>
      <c r="M16" s="247"/>
      <c r="N16" s="247"/>
      <c r="O16" s="72"/>
      <c r="P16" s="71" t="s">
        <v>160</v>
      </c>
      <c r="Q16" s="73"/>
    </row>
    <row r="17" spans="2:20" ht="13.9">
      <c r="B17" s="74" t="s">
        <v>161</v>
      </c>
      <c r="C17" s="75"/>
      <c r="D17" s="76" t="s">
        <v>162</v>
      </c>
      <c r="E17" s="76" t="s">
        <v>100</v>
      </c>
      <c r="F17" s="76" t="s">
        <v>163</v>
      </c>
      <c r="G17" s="75"/>
      <c r="H17" s="76" t="s">
        <v>162</v>
      </c>
      <c r="I17" s="76" t="s">
        <v>100</v>
      </c>
      <c r="J17" s="76" t="s">
        <v>163</v>
      </c>
      <c r="K17" s="75"/>
      <c r="L17" s="76" t="s">
        <v>162</v>
      </c>
      <c r="M17" s="76" t="s">
        <v>100</v>
      </c>
      <c r="N17" s="76" t="s">
        <v>163</v>
      </c>
      <c r="O17" s="75"/>
      <c r="P17" s="76" t="s">
        <v>163</v>
      </c>
      <c r="Q17" s="26"/>
    </row>
    <row r="18" spans="2:20">
      <c r="C18" s="26"/>
      <c r="D18" s="26"/>
      <c r="E18" s="26"/>
      <c r="F18" s="26"/>
      <c r="G18" s="26"/>
      <c r="H18" s="26"/>
      <c r="I18" s="26"/>
      <c r="J18" s="26"/>
      <c r="K18" s="26"/>
      <c r="L18" s="26"/>
      <c r="M18" s="26"/>
      <c r="N18" s="26"/>
      <c r="O18" s="26"/>
      <c r="P18" s="26"/>
      <c r="Q18" s="26"/>
    </row>
    <row r="19" spans="2:20">
      <c r="B19" s="27" t="s">
        <v>164</v>
      </c>
      <c r="C19" s="26"/>
      <c r="D19" s="77">
        <v>322519.17178770527</v>
      </c>
      <c r="E19" s="78">
        <f>'4. UTRs &amp; Sub-Transmission'!L22</f>
        <v>6.39</v>
      </c>
      <c r="F19" s="79">
        <f>D19*E19</f>
        <v>2060897.5077234367</v>
      </c>
      <c r="G19" s="26"/>
      <c r="H19" s="77">
        <v>166885.45529512444</v>
      </c>
      <c r="I19" s="78">
        <f>'4. UTRs &amp; Sub-Transmission'!L24</f>
        <v>1.03</v>
      </c>
      <c r="J19" s="79">
        <f>H19*I19</f>
        <v>171892.01895397817</v>
      </c>
      <c r="K19" s="26"/>
      <c r="L19" s="77">
        <v>343627.68474942876</v>
      </c>
      <c r="M19" s="78">
        <f>'4. UTRs &amp; Sub-Transmission'!L26</f>
        <v>3.47</v>
      </c>
      <c r="N19" s="79">
        <f>L19*M19</f>
        <v>1192388.0660805178</v>
      </c>
      <c r="O19" s="26"/>
      <c r="P19" s="80">
        <f t="shared" ref="P19:P30" si="0">J19+N19</f>
        <v>1364280.0850344959</v>
      </c>
      <c r="Q19" s="26"/>
    </row>
    <row r="20" spans="2:20">
      <c r="B20" s="27" t="s">
        <v>165</v>
      </c>
      <c r="C20" s="26"/>
      <c r="D20" s="77">
        <v>316456.19952217105</v>
      </c>
      <c r="E20" s="78">
        <f>E19</f>
        <v>6.39</v>
      </c>
      <c r="F20" s="79">
        <f t="shared" ref="F20:F30" si="1">D20*E20</f>
        <v>2022155.1149466729</v>
      </c>
      <c r="G20" s="26"/>
      <c r="H20" s="77">
        <v>175277.20286858283</v>
      </c>
      <c r="I20" s="78">
        <f>I19</f>
        <v>1.03</v>
      </c>
      <c r="J20" s="79">
        <f t="shared" ref="J20:J30" si="2">H20*I20</f>
        <v>180535.51895464031</v>
      </c>
      <c r="K20" s="26"/>
      <c r="L20" s="77">
        <v>336223.07857277349</v>
      </c>
      <c r="M20" s="78">
        <f>M19</f>
        <v>3.47</v>
      </c>
      <c r="N20" s="79">
        <f t="shared" ref="N20:N30" si="3">L20*M20</f>
        <v>1166694.0826475241</v>
      </c>
      <c r="O20" s="26"/>
      <c r="P20" s="80">
        <f t="shared" si="0"/>
        <v>1347229.6016021643</v>
      </c>
      <c r="Q20" s="26"/>
    </row>
    <row r="21" spans="2:20">
      <c r="B21" s="27" t="s">
        <v>166</v>
      </c>
      <c r="C21" s="26"/>
      <c r="D21" s="77">
        <v>311299.84970476007</v>
      </c>
      <c r="E21" s="78">
        <f t="shared" ref="E21:E30" si="4">E20</f>
        <v>6.39</v>
      </c>
      <c r="F21" s="79">
        <f t="shared" si="1"/>
        <v>1989206.0396134167</v>
      </c>
      <c r="G21" s="26"/>
      <c r="H21" s="77">
        <v>167608.03443197923</v>
      </c>
      <c r="I21" s="78">
        <f t="shared" ref="I21:I30" si="5">I20</f>
        <v>1.03</v>
      </c>
      <c r="J21" s="79">
        <f t="shared" si="2"/>
        <v>172636.2754649386</v>
      </c>
      <c r="K21" s="26"/>
      <c r="L21" s="77">
        <v>320168.43676650472</v>
      </c>
      <c r="M21" s="78">
        <f t="shared" ref="M21:M30" si="6">M20</f>
        <v>3.47</v>
      </c>
      <c r="N21" s="79">
        <f t="shared" si="3"/>
        <v>1110984.4755797714</v>
      </c>
      <c r="O21" s="26"/>
      <c r="P21" s="80">
        <f t="shared" si="0"/>
        <v>1283620.7510447102</v>
      </c>
      <c r="Q21" s="26"/>
    </row>
    <row r="22" spans="2:20">
      <c r="B22" s="27" t="s">
        <v>167</v>
      </c>
      <c r="C22" s="26"/>
      <c r="D22" s="77">
        <v>302910.19353256607</v>
      </c>
      <c r="E22" s="78">
        <f t="shared" si="4"/>
        <v>6.39</v>
      </c>
      <c r="F22" s="79">
        <f t="shared" si="1"/>
        <v>1935596.136673097</v>
      </c>
      <c r="G22" s="26"/>
      <c r="H22" s="77">
        <v>160178.33144015094</v>
      </c>
      <c r="I22" s="78">
        <f t="shared" si="5"/>
        <v>1.03</v>
      </c>
      <c r="J22" s="79">
        <f t="shared" si="2"/>
        <v>164983.68138335546</v>
      </c>
      <c r="K22" s="26"/>
      <c r="L22" s="77">
        <v>305289.16247083619</v>
      </c>
      <c r="M22" s="78">
        <f t="shared" si="6"/>
        <v>3.47</v>
      </c>
      <c r="N22" s="79">
        <f t="shared" si="3"/>
        <v>1059353.3937738016</v>
      </c>
      <c r="O22" s="26"/>
      <c r="P22" s="80">
        <f t="shared" si="0"/>
        <v>1224337.0751571571</v>
      </c>
      <c r="Q22" s="26"/>
    </row>
    <row r="23" spans="2:20">
      <c r="B23" s="27" t="s">
        <v>168</v>
      </c>
      <c r="C23" s="26"/>
      <c r="D23" s="77">
        <v>371990.22299676988</v>
      </c>
      <c r="E23" s="78">
        <f t="shared" si="4"/>
        <v>6.39</v>
      </c>
      <c r="F23" s="79">
        <f t="shared" si="1"/>
        <v>2377017.5249493592</v>
      </c>
      <c r="G23" s="26"/>
      <c r="H23" s="77">
        <v>213561.34871430066</v>
      </c>
      <c r="I23" s="78">
        <f t="shared" si="5"/>
        <v>1.03</v>
      </c>
      <c r="J23" s="79">
        <f t="shared" si="2"/>
        <v>219968.1891757297</v>
      </c>
      <c r="K23" s="26"/>
      <c r="L23" s="77">
        <v>383533.71227569913</v>
      </c>
      <c r="M23" s="78">
        <f t="shared" si="6"/>
        <v>3.47</v>
      </c>
      <c r="N23" s="79">
        <f t="shared" si="3"/>
        <v>1330861.9815966762</v>
      </c>
      <c r="O23" s="26"/>
      <c r="P23" s="80">
        <f t="shared" si="0"/>
        <v>1550830.1707724058</v>
      </c>
      <c r="Q23" s="26"/>
    </row>
    <row r="24" spans="2:20">
      <c r="B24" s="27" t="s">
        <v>169</v>
      </c>
      <c r="C24" s="26"/>
      <c r="D24" s="77">
        <v>423419.87148995756</v>
      </c>
      <c r="E24" s="78">
        <f t="shared" si="4"/>
        <v>6.39</v>
      </c>
      <c r="F24" s="79">
        <f t="shared" si="1"/>
        <v>2705652.9788208287</v>
      </c>
      <c r="G24" s="26"/>
      <c r="H24" s="77">
        <v>266395.3731565419</v>
      </c>
      <c r="I24" s="78">
        <f t="shared" si="5"/>
        <v>1.03</v>
      </c>
      <c r="J24" s="79">
        <f t="shared" si="2"/>
        <v>274387.23435123818</v>
      </c>
      <c r="K24" s="26"/>
      <c r="L24" s="77">
        <v>457883.02722559229</v>
      </c>
      <c r="M24" s="78">
        <f t="shared" si="6"/>
        <v>3.47</v>
      </c>
      <c r="N24" s="79">
        <f t="shared" si="3"/>
        <v>1588854.1044728053</v>
      </c>
      <c r="O24" s="26"/>
      <c r="P24" s="80">
        <f t="shared" si="0"/>
        <v>1863241.3388240435</v>
      </c>
      <c r="Q24" s="26"/>
    </row>
    <row r="25" spans="2:20">
      <c r="B25" s="27" t="s">
        <v>170</v>
      </c>
      <c r="C25" s="26"/>
      <c r="D25" s="77">
        <v>463231.78595932934</v>
      </c>
      <c r="E25" s="78">
        <f t="shared" si="4"/>
        <v>6.39</v>
      </c>
      <c r="F25" s="79">
        <f t="shared" si="1"/>
        <v>2960051.1122801146</v>
      </c>
      <c r="G25" s="26"/>
      <c r="H25" s="77">
        <v>278999.20287652873</v>
      </c>
      <c r="I25" s="78">
        <f t="shared" si="5"/>
        <v>1.03</v>
      </c>
      <c r="J25" s="79">
        <f t="shared" si="2"/>
        <v>287369.17896282458</v>
      </c>
      <c r="K25" s="26"/>
      <c r="L25" s="77">
        <v>475056.56870832219</v>
      </c>
      <c r="M25" s="78">
        <f t="shared" si="6"/>
        <v>3.47</v>
      </c>
      <c r="N25" s="79">
        <f t="shared" si="3"/>
        <v>1648446.293417878</v>
      </c>
      <c r="O25" s="26"/>
      <c r="P25" s="80">
        <f t="shared" si="0"/>
        <v>1935815.4723807026</v>
      </c>
      <c r="Q25" s="26"/>
    </row>
    <row r="26" spans="2:20">
      <c r="B26" s="27" t="s">
        <v>171</v>
      </c>
      <c r="C26" s="26"/>
      <c r="D26" s="77">
        <v>450432.41022111988</v>
      </c>
      <c r="E26" s="78">
        <f t="shared" si="4"/>
        <v>6.39</v>
      </c>
      <c r="F26" s="79">
        <f t="shared" si="1"/>
        <v>2878263.1013129558</v>
      </c>
      <c r="G26" s="26"/>
      <c r="H26" s="77">
        <v>270546.80466640228</v>
      </c>
      <c r="I26" s="78">
        <f t="shared" si="5"/>
        <v>1.03</v>
      </c>
      <c r="J26" s="79">
        <f t="shared" si="2"/>
        <v>278663.20880639437</v>
      </c>
      <c r="K26" s="26"/>
      <c r="L26" s="77">
        <v>467563.07797792926</v>
      </c>
      <c r="M26" s="78">
        <f t="shared" si="6"/>
        <v>3.47</v>
      </c>
      <c r="N26" s="79">
        <f t="shared" si="3"/>
        <v>1622443.8805834146</v>
      </c>
      <c r="O26" s="26"/>
      <c r="P26" s="80">
        <f t="shared" si="0"/>
        <v>1901107.0893898089</v>
      </c>
      <c r="Q26" s="26"/>
    </row>
    <row r="27" spans="2:20">
      <c r="B27" s="27" t="s">
        <v>172</v>
      </c>
      <c r="C27" s="26"/>
      <c r="D27" s="77">
        <v>391580.37864052935</v>
      </c>
      <c r="E27" s="78">
        <f t="shared" si="4"/>
        <v>6.39</v>
      </c>
      <c r="F27" s="79">
        <f t="shared" si="1"/>
        <v>2502198.6195129822</v>
      </c>
      <c r="G27" s="26"/>
      <c r="H27" s="77">
        <v>220548.72033870552</v>
      </c>
      <c r="I27" s="78">
        <f t="shared" si="5"/>
        <v>1.03</v>
      </c>
      <c r="J27" s="79">
        <f t="shared" si="2"/>
        <v>227165.1819488667</v>
      </c>
      <c r="K27" s="26"/>
      <c r="L27" s="77">
        <v>392623.98787147162</v>
      </c>
      <c r="M27" s="78">
        <f t="shared" si="6"/>
        <v>3.47</v>
      </c>
      <c r="N27" s="79">
        <f t="shared" si="3"/>
        <v>1362405.2379140067</v>
      </c>
      <c r="O27" s="26"/>
      <c r="P27" s="80">
        <f t="shared" si="0"/>
        <v>1589570.4198628734</v>
      </c>
      <c r="Q27" s="26"/>
    </row>
    <row r="28" spans="2:20">
      <c r="B28" s="27" t="s">
        <v>173</v>
      </c>
      <c r="C28" s="26"/>
      <c r="D28" s="77">
        <v>320712.20109525218</v>
      </c>
      <c r="E28" s="78">
        <f t="shared" si="4"/>
        <v>6.39</v>
      </c>
      <c r="F28" s="79">
        <f t="shared" si="1"/>
        <v>2049350.9649986613</v>
      </c>
      <c r="G28" s="26"/>
      <c r="H28" s="77">
        <v>230735.93589766277</v>
      </c>
      <c r="I28" s="78">
        <f t="shared" si="5"/>
        <v>1.03</v>
      </c>
      <c r="J28" s="79">
        <f t="shared" si="2"/>
        <v>237658.01397459267</v>
      </c>
      <c r="K28" s="26"/>
      <c r="L28" s="77">
        <v>336056.81217225263</v>
      </c>
      <c r="M28" s="78">
        <f t="shared" si="6"/>
        <v>3.47</v>
      </c>
      <c r="N28" s="79">
        <f t="shared" si="3"/>
        <v>1166117.1382377166</v>
      </c>
      <c r="O28" s="26"/>
      <c r="P28" s="80">
        <f t="shared" si="0"/>
        <v>1403775.1522123092</v>
      </c>
      <c r="Q28" s="26"/>
    </row>
    <row r="29" spans="2:20">
      <c r="B29" s="27" t="s">
        <v>174</v>
      </c>
      <c r="C29" s="26"/>
      <c r="D29" s="77">
        <v>308702.32933435874</v>
      </c>
      <c r="E29" s="78">
        <f t="shared" si="4"/>
        <v>6.39</v>
      </c>
      <c r="F29" s="79">
        <f t="shared" si="1"/>
        <v>1972607.8844465523</v>
      </c>
      <c r="G29" s="26"/>
      <c r="H29" s="77">
        <v>175394.32133938998</v>
      </c>
      <c r="I29" s="78">
        <f t="shared" si="5"/>
        <v>1.03</v>
      </c>
      <c r="J29" s="79">
        <f t="shared" si="2"/>
        <v>180656.15097957168</v>
      </c>
      <c r="K29" s="26"/>
      <c r="L29" s="77">
        <v>289596.33308331092</v>
      </c>
      <c r="M29" s="78">
        <f t="shared" si="6"/>
        <v>3.47</v>
      </c>
      <c r="N29" s="79">
        <f t="shared" si="3"/>
        <v>1004899.275799089</v>
      </c>
      <c r="O29" s="26"/>
      <c r="P29" s="80">
        <f t="shared" si="0"/>
        <v>1185555.4267786606</v>
      </c>
      <c r="Q29" s="26"/>
    </row>
    <row r="30" spans="2:20">
      <c r="B30" s="27" t="s">
        <v>175</v>
      </c>
      <c r="C30" s="26"/>
      <c r="D30" s="77">
        <v>336199.02745823271</v>
      </c>
      <c r="E30" s="78">
        <f t="shared" si="4"/>
        <v>6.39</v>
      </c>
      <c r="F30" s="79">
        <f t="shared" si="1"/>
        <v>2148311.785458107</v>
      </c>
      <c r="G30" s="26"/>
      <c r="H30" s="77">
        <v>216233.11382958866</v>
      </c>
      <c r="I30" s="78">
        <f t="shared" si="5"/>
        <v>1.03</v>
      </c>
      <c r="J30" s="79">
        <f t="shared" si="2"/>
        <v>222720.10724447633</v>
      </c>
      <c r="K30" s="26"/>
      <c r="L30" s="77">
        <v>335094.76759062248</v>
      </c>
      <c r="M30" s="78">
        <f t="shared" si="6"/>
        <v>3.47</v>
      </c>
      <c r="N30" s="79">
        <f t="shared" si="3"/>
        <v>1162778.8435394601</v>
      </c>
      <c r="O30" s="26"/>
      <c r="P30" s="80">
        <f t="shared" si="0"/>
        <v>1385498.9507839363</v>
      </c>
      <c r="Q30" s="26"/>
    </row>
    <row r="31" spans="2:20">
      <c r="B31" s="26"/>
      <c r="C31" s="26"/>
      <c r="D31" s="26"/>
      <c r="E31" s="26"/>
      <c r="F31" s="26"/>
      <c r="G31" s="26"/>
      <c r="H31" s="26"/>
      <c r="I31" s="26"/>
      <c r="J31" s="26"/>
      <c r="K31" s="26"/>
      <c r="L31" s="26"/>
      <c r="M31" s="26"/>
      <c r="N31" s="26"/>
      <c r="O31" s="26"/>
      <c r="P31" s="26"/>
      <c r="Q31" s="26"/>
    </row>
    <row r="32" spans="2:20" ht="13.9" thickBot="1">
      <c r="B32" s="74" t="s">
        <v>146</v>
      </c>
      <c r="C32" s="26"/>
      <c r="D32" s="81">
        <f>SUM(D19:D30)</f>
        <v>4319453.6417427519</v>
      </c>
      <c r="E32" s="82">
        <f>IF(D32&lt;&gt;0,F32/D32,0)</f>
        <v>6.39</v>
      </c>
      <c r="F32" s="83">
        <f>SUM(F19:F30)</f>
        <v>27601308.770736184</v>
      </c>
      <c r="G32" s="26"/>
      <c r="H32" s="81">
        <f>SUM(H19:H30)</f>
        <v>2542363.8448549574</v>
      </c>
      <c r="I32" s="82">
        <f>IF(H32&lt;&gt;0,J32/H32,0)</f>
        <v>1.0300000000000002</v>
      </c>
      <c r="J32" s="83">
        <f>SUM(J19:J30)</f>
        <v>2618634.7602006067</v>
      </c>
      <c r="K32" s="26"/>
      <c r="L32" s="81">
        <f>SUM(L19:L30)</f>
        <v>4442716.6494647441</v>
      </c>
      <c r="M32" s="82">
        <f>IF(L32&lt;&gt;0,N32/L32,0)</f>
        <v>3.4699999999999998</v>
      </c>
      <c r="N32" s="83">
        <f>SUM(N19:N30)</f>
        <v>15416226.773642661</v>
      </c>
      <c r="O32" s="26"/>
      <c r="P32" s="83">
        <f>SUM(P19:P30)</f>
        <v>18034861.533843268</v>
      </c>
      <c r="Q32" s="26"/>
      <c r="R32" s="118"/>
      <c r="S32" s="118"/>
      <c r="T32" s="118"/>
    </row>
    <row r="33" spans="2:17">
      <c r="B33" s="26"/>
      <c r="C33" s="26"/>
      <c r="D33" s="26"/>
      <c r="E33" s="26"/>
      <c r="F33" s="26"/>
      <c r="G33" s="26"/>
      <c r="H33" s="26"/>
      <c r="I33" s="26"/>
      <c r="J33" s="26"/>
      <c r="K33" s="26"/>
      <c r="L33" s="26"/>
      <c r="M33" s="26"/>
      <c r="N33" s="26"/>
      <c r="O33" s="26"/>
      <c r="P33" s="26"/>
      <c r="Q33" s="26"/>
    </row>
    <row r="34" spans="2:17">
      <c r="B34" s="71" t="s">
        <v>176</v>
      </c>
      <c r="C34" s="72"/>
      <c r="D34" s="247" t="s">
        <v>128</v>
      </c>
      <c r="E34" s="247"/>
      <c r="F34" s="247"/>
      <c r="G34" s="72"/>
      <c r="H34" s="247" t="s">
        <v>158</v>
      </c>
      <c r="I34" s="247"/>
      <c r="J34" s="247"/>
      <c r="K34" s="72"/>
      <c r="L34" s="247" t="s">
        <v>159</v>
      </c>
      <c r="M34" s="247"/>
      <c r="N34" s="247"/>
      <c r="O34" s="72"/>
      <c r="P34" s="71" t="s">
        <v>160</v>
      </c>
      <c r="Q34" s="26"/>
    </row>
    <row r="35" spans="2:17" ht="13.9">
      <c r="B35" s="74"/>
      <c r="C35" s="75"/>
      <c r="D35" s="76"/>
      <c r="E35" s="76"/>
      <c r="F35" s="76"/>
      <c r="G35" s="75"/>
      <c r="H35" s="76"/>
      <c r="I35" s="76"/>
      <c r="J35" s="76"/>
      <c r="K35" s="75"/>
      <c r="L35" s="76"/>
      <c r="M35" s="76"/>
      <c r="N35" s="76"/>
      <c r="O35" s="75"/>
      <c r="P35" s="76"/>
      <c r="Q35" s="26"/>
    </row>
    <row r="36" spans="2:17" ht="13.9">
      <c r="B36" s="74" t="s">
        <v>161</v>
      </c>
      <c r="C36" s="75"/>
      <c r="D36" s="76" t="s">
        <v>162</v>
      </c>
      <c r="E36" s="76" t="s">
        <v>100</v>
      </c>
      <c r="F36" s="76" t="s">
        <v>163</v>
      </c>
      <c r="G36" s="75"/>
      <c r="H36" s="76" t="s">
        <v>162</v>
      </c>
      <c r="I36" s="76" t="s">
        <v>100</v>
      </c>
      <c r="J36" s="76" t="s">
        <v>163</v>
      </c>
      <c r="K36" s="75"/>
      <c r="L36" s="76" t="s">
        <v>162</v>
      </c>
      <c r="M36" s="76" t="s">
        <v>100</v>
      </c>
      <c r="N36" s="76" t="s">
        <v>163</v>
      </c>
      <c r="O36" s="75"/>
      <c r="P36" s="76" t="s">
        <v>163</v>
      </c>
      <c r="Q36" s="26"/>
    </row>
    <row r="37" spans="2:17">
      <c r="B37" s="26"/>
      <c r="C37" s="26"/>
      <c r="D37" s="26"/>
      <c r="E37" s="26"/>
      <c r="F37" s="26"/>
      <c r="G37" s="26"/>
      <c r="H37" s="26"/>
      <c r="I37" s="26"/>
      <c r="J37" s="26"/>
      <c r="K37" s="26"/>
      <c r="L37" s="26"/>
      <c r="M37" s="26"/>
      <c r="N37" s="26"/>
      <c r="O37" s="26"/>
      <c r="P37" s="26"/>
      <c r="Q37" s="26"/>
    </row>
    <row r="38" spans="2:17">
      <c r="B38" s="27" t="s">
        <v>164</v>
      </c>
      <c r="C38" s="26"/>
      <c r="D38" s="77">
        <v>282338.33413529099</v>
      </c>
      <c r="E38" s="84">
        <f>'4. UTRs &amp; Sub-Transmission'!L35</f>
        <v>5.4707999999999997</v>
      </c>
      <c r="F38" s="79">
        <f>D38*E38</f>
        <v>1544616.5583873498</v>
      </c>
      <c r="G38" s="26"/>
      <c r="H38" s="77">
        <v>256697.58732148269</v>
      </c>
      <c r="I38" s="84">
        <f>'4. UTRs &amp; Sub-Transmission'!L37</f>
        <v>0.70540000000000003</v>
      </c>
      <c r="J38" s="79">
        <f>H38*I38</f>
        <v>181074.4780965739</v>
      </c>
      <c r="K38" s="26"/>
      <c r="L38" s="77">
        <v>297623.44484631886</v>
      </c>
      <c r="M38" s="84">
        <f>'4. UTRs &amp; Sub-Transmission'!L39</f>
        <v>3.5764</v>
      </c>
      <c r="N38" s="79">
        <f>L38*M38</f>
        <v>1064420.4881483747</v>
      </c>
      <c r="O38" s="26"/>
      <c r="P38" s="80">
        <f>J38+N38</f>
        <v>1245494.9662449486</v>
      </c>
      <c r="Q38" s="26"/>
    </row>
    <row r="39" spans="2:17">
      <c r="B39" s="27" t="s">
        <v>165</v>
      </c>
      <c r="C39" s="26"/>
      <c r="D39" s="77">
        <v>282452.39916025213</v>
      </c>
      <c r="E39" s="84">
        <f>E38</f>
        <v>5.4707999999999997</v>
      </c>
      <c r="F39" s="79">
        <f t="shared" ref="F39:F49" si="7">D39*E39</f>
        <v>1545240.5853259072</v>
      </c>
      <c r="G39" s="26"/>
      <c r="H39" s="77">
        <v>235395.82888292734</v>
      </c>
      <c r="I39" s="84">
        <f>I38</f>
        <v>0.70540000000000003</v>
      </c>
      <c r="J39" s="79">
        <f t="shared" ref="J39:J49" si="8">H39*I39</f>
        <v>166048.21769401696</v>
      </c>
      <c r="K39" s="26"/>
      <c r="L39" s="77">
        <v>283994.21154339652</v>
      </c>
      <c r="M39" s="84">
        <f>M38</f>
        <v>3.5764</v>
      </c>
      <c r="N39" s="79">
        <f t="shared" ref="N39:N49" si="9">L39*M39</f>
        <v>1015676.8981638034</v>
      </c>
      <c r="O39" s="26"/>
      <c r="P39" s="80">
        <f t="shared" ref="P39:P49" si="10">J39+N39</f>
        <v>1181725.1158578203</v>
      </c>
      <c r="Q39" s="26"/>
    </row>
    <row r="40" spans="2:17">
      <c r="B40" s="27" t="s">
        <v>166</v>
      </c>
      <c r="C40" s="26"/>
      <c r="D40" s="77">
        <v>237671.43031370384</v>
      </c>
      <c r="E40" s="84">
        <f t="shared" ref="E40:E49" si="11">E39</f>
        <v>5.4707999999999997</v>
      </c>
      <c r="F40" s="79">
        <f t="shared" si="7"/>
        <v>1300252.8609602109</v>
      </c>
      <c r="G40" s="26"/>
      <c r="H40" s="77">
        <v>202708.54470294391</v>
      </c>
      <c r="I40" s="84">
        <f t="shared" ref="I40:I49" si="12">I39</f>
        <v>0.70540000000000003</v>
      </c>
      <c r="J40" s="79">
        <f t="shared" si="8"/>
        <v>142990.60743345664</v>
      </c>
      <c r="K40" s="26"/>
      <c r="L40" s="77">
        <v>242024.96438475087</v>
      </c>
      <c r="M40" s="84">
        <f t="shared" ref="M40:M49" si="13">M39</f>
        <v>3.5764</v>
      </c>
      <c r="N40" s="79">
        <f t="shared" si="9"/>
        <v>865578.08262562298</v>
      </c>
      <c r="O40" s="26"/>
      <c r="P40" s="80">
        <f t="shared" si="10"/>
        <v>1008568.6900590796</v>
      </c>
      <c r="Q40" s="26"/>
    </row>
    <row r="41" spans="2:17">
      <c r="B41" s="27" t="s">
        <v>167</v>
      </c>
      <c r="C41" s="26"/>
      <c r="D41" s="77">
        <v>209147.79142696504</v>
      </c>
      <c r="E41" s="84">
        <f t="shared" si="11"/>
        <v>5.4707999999999997</v>
      </c>
      <c r="F41" s="79">
        <f t="shared" si="7"/>
        <v>1144205.7373386403</v>
      </c>
      <c r="G41" s="26"/>
      <c r="H41" s="77">
        <v>184996.50922265285</v>
      </c>
      <c r="I41" s="84">
        <f t="shared" si="12"/>
        <v>0.70540000000000003</v>
      </c>
      <c r="J41" s="79">
        <f t="shared" si="8"/>
        <v>130496.53760565932</v>
      </c>
      <c r="K41" s="26"/>
      <c r="L41" s="77">
        <v>213445.43279922058</v>
      </c>
      <c r="M41" s="84">
        <f t="shared" si="13"/>
        <v>3.5764</v>
      </c>
      <c r="N41" s="79">
        <f t="shared" si="9"/>
        <v>763366.24586313253</v>
      </c>
      <c r="O41" s="26"/>
      <c r="P41" s="80">
        <f t="shared" si="10"/>
        <v>893862.78346879187</v>
      </c>
      <c r="Q41" s="26"/>
    </row>
    <row r="42" spans="2:17">
      <c r="B42" s="27" t="s">
        <v>168</v>
      </c>
      <c r="C42" s="26"/>
      <c r="D42" s="77">
        <v>244352.63125000492</v>
      </c>
      <c r="E42" s="84">
        <f t="shared" si="11"/>
        <v>5.4707999999999997</v>
      </c>
      <c r="F42" s="79">
        <f t="shared" si="7"/>
        <v>1336804.3750425267</v>
      </c>
      <c r="G42" s="26"/>
      <c r="H42" s="77">
        <v>203029.40748493021</v>
      </c>
      <c r="I42" s="84">
        <f t="shared" si="12"/>
        <v>0.70540000000000003</v>
      </c>
      <c r="J42" s="79">
        <f t="shared" si="8"/>
        <v>143216.94403986979</v>
      </c>
      <c r="K42" s="26"/>
      <c r="L42" s="77">
        <v>246459.04877549675</v>
      </c>
      <c r="M42" s="84">
        <f t="shared" si="13"/>
        <v>3.5764</v>
      </c>
      <c r="N42" s="79">
        <f t="shared" si="9"/>
        <v>881436.14204068657</v>
      </c>
      <c r="O42" s="26"/>
      <c r="P42" s="80">
        <f t="shared" si="10"/>
        <v>1024653.0860805564</v>
      </c>
      <c r="Q42" s="26"/>
    </row>
    <row r="43" spans="2:17">
      <c r="B43" s="27" t="s">
        <v>169</v>
      </c>
      <c r="C43" s="26"/>
      <c r="D43" s="77">
        <v>316322.46486831817</v>
      </c>
      <c r="E43" s="84">
        <f t="shared" si="11"/>
        <v>5.4707999999999997</v>
      </c>
      <c r="F43" s="79">
        <f t="shared" si="7"/>
        <v>1730536.9408015949</v>
      </c>
      <c r="G43" s="26"/>
      <c r="H43" s="77">
        <v>275815.59867279453</v>
      </c>
      <c r="I43" s="84">
        <f t="shared" si="12"/>
        <v>0.70540000000000003</v>
      </c>
      <c r="J43" s="79">
        <f t="shared" si="8"/>
        <v>194560.32330378928</v>
      </c>
      <c r="K43" s="26"/>
      <c r="L43" s="77">
        <v>319337.66944224184</v>
      </c>
      <c r="M43" s="84">
        <f t="shared" si="13"/>
        <v>3.5764</v>
      </c>
      <c r="N43" s="79">
        <f t="shared" si="9"/>
        <v>1142079.2409932336</v>
      </c>
      <c r="O43" s="26"/>
      <c r="P43" s="80">
        <f t="shared" si="10"/>
        <v>1336639.564297023</v>
      </c>
      <c r="Q43" s="26"/>
    </row>
    <row r="44" spans="2:17">
      <c r="B44" s="27" t="s">
        <v>170</v>
      </c>
      <c r="C44" s="26"/>
      <c r="D44" s="77">
        <v>300367.27964917856</v>
      </c>
      <c r="E44" s="84">
        <f t="shared" si="11"/>
        <v>5.4707999999999997</v>
      </c>
      <c r="F44" s="79">
        <f t="shared" si="7"/>
        <v>1643249.3135047259</v>
      </c>
      <c r="G44" s="26"/>
      <c r="H44" s="77">
        <v>255143.50886992243</v>
      </c>
      <c r="I44" s="84">
        <f t="shared" si="12"/>
        <v>0.70540000000000003</v>
      </c>
      <c r="J44" s="79">
        <f t="shared" si="8"/>
        <v>179978.23115684328</v>
      </c>
      <c r="K44" s="26"/>
      <c r="L44" s="77">
        <v>301242.9807296074</v>
      </c>
      <c r="M44" s="84">
        <f t="shared" si="13"/>
        <v>3.5764</v>
      </c>
      <c r="N44" s="79">
        <f t="shared" si="9"/>
        <v>1077365.3962813679</v>
      </c>
      <c r="O44" s="26"/>
      <c r="P44" s="80">
        <f t="shared" si="10"/>
        <v>1257343.6274382111</v>
      </c>
      <c r="Q44" s="26"/>
    </row>
    <row r="45" spans="2:17">
      <c r="B45" s="27" t="s">
        <v>171</v>
      </c>
      <c r="C45" s="26"/>
      <c r="D45" s="77">
        <v>328835.50685941678</v>
      </c>
      <c r="E45" s="84">
        <f t="shared" si="11"/>
        <v>5.4707999999999997</v>
      </c>
      <c r="F45" s="79">
        <f t="shared" si="7"/>
        <v>1798993.2909264972</v>
      </c>
      <c r="G45" s="26"/>
      <c r="H45" s="77">
        <v>248456.27424097349</v>
      </c>
      <c r="I45" s="84">
        <f t="shared" si="12"/>
        <v>0.70540000000000003</v>
      </c>
      <c r="J45" s="79">
        <f t="shared" si="8"/>
        <v>175261.05584958271</v>
      </c>
      <c r="K45" s="26"/>
      <c r="L45" s="77">
        <v>332465.8866582613</v>
      </c>
      <c r="M45" s="84">
        <f t="shared" si="13"/>
        <v>3.5764</v>
      </c>
      <c r="N45" s="79">
        <f t="shared" si="9"/>
        <v>1189030.9970446057</v>
      </c>
      <c r="O45" s="26"/>
      <c r="P45" s="80">
        <f t="shared" si="10"/>
        <v>1364292.0528941883</v>
      </c>
      <c r="Q45" s="26"/>
    </row>
    <row r="46" spans="2:17">
      <c r="B46" s="27" t="s">
        <v>172</v>
      </c>
      <c r="C46" s="26"/>
      <c r="D46" s="77">
        <v>274224.88932808803</v>
      </c>
      <c r="E46" s="84">
        <f t="shared" si="11"/>
        <v>5.4707999999999997</v>
      </c>
      <c r="F46" s="79">
        <f t="shared" si="7"/>
        <v>1500229.5245361039</v>
      </c>
      <c r="G46" s="26"/>
      <c r="H46" s="77">
        <v>213807.63212719795</v>
      </c>
      <c r="I46" s="84">
        <f t="shared" si="12"/>
        <v>0.70540000000000003</v>
      </c>
      <c r="J46" s="79">
        <f t="shared" si="8"/>
        <v>150819.90370252545</v>
      </c>
      <c r="K46" s="26"/>
      <c r="L46" s="77">
        <v>275679.99221480993</v>
      </c>
      <c r="M46" s="84">
        <f t="shared" si="13"/>
        <v>3.5764</v>
      </c>
      <c r="N46" s="79">
        <f t="shared" si="9"/>
        <v>985941.92415704625</v>
      </c>
      <c r="O46" s="26"/>
      <c r="P46" s="80">
        <f t="shared" si="10"/>
        <v>1136761.8278595717</v>
      </c>
      <c r="Q46" s="26"/>
    </row>
    <row r="47" spans="2:17">
      <c r="B47" s="27" t="s">
        <v>173</v>
      </c>
      <c r="C47" s="26"/>
      <c r="D47" s="77">
        <v>230906.58378383258</v>
      </c>
      <c r="E47" s="84">
        <f t="shared" si="11"/>
        <v>5.4707999999999997</v>
      </c>
      <c r="F47" s="79">
        <f t="shared" si="7"/>
        <v>1263243.7385645912</v>
      </c>
      <c r="G47" s="26"/>
      <c r="H47" s="77">
        <v>183323.57643723598</v>
      </c>
      <c r="I47" s="84">
        <f t="shared" si="12"/>
        <v>0.70540000000000003</v>
      </c>
      <c r="J47" s="79">
        <f t="shared" si="8"/>
        <v>129316.45081882627</v>
      </c>
      <c r="K47" s="26"/>
      <c r="L47" s="77">
        <v>233611.50806616788</v>
      </c>
      <c r="M47" s="84">
        <f t="shared" si="13"/>
        <v>3.5764</v>
      </c>
      <c r="N47" s="79">
        <f t="shared" si="9"/>
        <v>835488.1974478428</v>
      </c>
      <c r="O47" s="26"/>
      <c r="P47" s="80">
        <f t="shared" si="10"/>
        <v>964804.64826666913</v>
      </c>
      <c r="Q47" s="26"/>
    </row>
    <row r="48" spans="2:17">
      <c r="B48" s="27" t="s">
        <v>174</v>
      </c>
      <c r="C48" s="26"/>
      <c r="D48" s="77">
        <v>251031.05062262435</v>
      </c>
      <c r="E48" s="84">
        <f t="shared" si="11"/>
        <v>5.4707999999999997</v>
      </c>
      <c r="F48" s="79">
        <f t="shared" si="7"/>
        <v>1373340.6717462533</v>
      </c>
      <c r="G48" s="26"/>
      <c r="H48" s="77">
        <v>203477.79345901409</v>
      </c>
      <c r="I48" s="84">
        <f t="shared" si="12"/>
        <v>0.70540000000000003</v>
      </c>
      <c r="J48" s="79">
        <f t="shared" si="8"/>
        <v>143533.23550598856</v>
      </c>
      <c r="K48" s="26"/>
      <c r="L48" s="77">
        <v>254763.75222833027</v>
      </c>
      <c r="M48" s="84">
        <f t="shared" si="13"/>
        <v>3.5764</v>
      </c>
      <c r="N48" s="79">
        <f t="shared" si="9"/>
        <v>911137.08346940042</v>
      </c>
      <c r="O48" s="26"/>
      <c r="P48" s="80">
        <f t="shared" si="10"/>
        <v>1054670.318975389</v>
      </c>
      <c r="Q48" s="26"/>
    </row>
    <row r="49" spans="2:20">
      <c r="B49" s="27" t="s">
        <v>175</v>
      </c>
      <c r="C49" s="26"/>
      <c r="D49" s="77">
        <v>258426.49646174157</v>
      </c>
      <c r="E49" s="84">
        <f t="shared" si="11"/>
        <v>5.4707999999999997</v>
      </c>
      <c r="F49" s="79">
        <f t="shared" si="7"/>
        <v>1413799.6768428956</v>
      </c>
      <c r="G49" s="26"/>
      <c r="H49" s="77">
        <v>220873.38947099308</v>
      </c>
      <c r="I49" s="84">
        <f t="shared" si="12"/>
        <v>0.70540000000000003</v>
      </c>
      <c r="J49" s="79">
        <f t="shared" si="8"/>
        <v>155804.08893283852</v>
      </c>
      <c r="K49" s="26"/>
      <c r="L49" s="77">
        <v>264745.48761305888</v>
      </c>
      <c r="M49" s="84">
        <f t="shared" si="13"/>
        <v>3.5764</v>
      </c>
      <c r="N49" s="79">
        <f t="shared" si="9"/>
        <v>946835.76189934381</v>
      </c>
      <c r="O49" s="26"/>
      <c r="P49" s="80">
        <f t="shared" si="10"/>
        <v>1102639.8508321824</v>
      </c>
      <c r="Q49" s="26"/>
    </row>
    <row r="50" spans="2:20">
      <c r="B50" s="26"/>
      <c r="C50" s="26"/>
      <c r="D50" s="26"/>
      <c r="E50" s="26"/>
      <c r="F50" s="26"/>
      <c r="G50" s="26"/>
      <c r="H50" s="26"/>
      <c r="I50" s="26"/>
      <c r="J50" s="26"/>
      <c r="K50" s="26"/>
      <c r="L50" s="26"/>
      <c r="M50" s="26"/>
      <c r="N50" s="26"/>
      <c r="O50" s="26"/>
      <c r="P50" s="26"/>
      <c r="Q50" s="26"/>
    </row>
    <row r="51" spans="2:20" ht="13.9" thickBot="1">
      <c r="B51" s="74" t="s">
        <v>146</v>
      </c>
      <c r="C51" s="26"/>
      <c r="D51" s="81">
        <f>SUM(D38:D49)</f>
        <v>3216076.8578594169</v>
      </c>
      <c r="E51" s="85">
        <f>IF(D51&lt;&gt;0,F51/D51,0)</f>
        <v>5.4708000000000006</v>
      </c>
      <c r="F51" s="83">
        <f>SUM(F38:F49)</f>
        <v>17594513.273977298</v>
      </c>
      <c r="G51" s="26"/>
      <c r="H51" s="81">
        <f>SUM(H38:H49)</f>
        <v>2683725.6508930684</v>
      </c>
      <c r="I51" s="85">
        <f>IF(H51&lt;&gt;0,J51/H51,0)</f>
        <v>0.70540000000000003</v>
      </c>
      <c r="J51" s="83">
        <f>SUM(J38:J49)</f>
        <v>1893100.0741399706</v>
      </c>
      <c r="K51" s="26"/>
      <c r="L51" s="81">
        <f>SUM(L38:L49)</f>
        <v>3265394.3793016616</v>
      </c>
      <c r="M51" s="85">
        <f>IF(L51&lt;&gt;0,N51/L51,0)</f>
        <v>3.5763999999999991</v>
      </c>
      <c r="N51" s="83">
        <f>SUM(N38:N49)</f>
        <v>11678356.458134459</v>
      </c>
      <c r="O51" s="26"/>
      <c r="P51" s="83">
        <f>SUM(P38:P49)</f>
        <v>13571456.532274432</v>
      </c>
      <c r="Q51" s="26"/>
      <c r="R51" s="118"/>
      <c r="S51" s="118"/>
      <c r="T51" s="118"/>
    </row>
    <row r="52" spans="2:20">
      <c r="B52" s="26"/>
      <c r="C52" s="26"/>
      <c r="D52" s="26"/>
      <c r="E52" s="26"/>
      <c r="F52" s="26"/>
      <c r="G52" s="26"/>
      <c r="H52" s="26"/>
      <c r="I52" s="26"/>
      <c r="J52" s="26"/>
      <c r="K52" s="26"/>
      <c r="L52" s="26"/>
      <c r="M52" s="26"/>
      <c r="N52" s="26"/>
      <c r="O52" s="26"/>
      <c r="P52" s="26"/>
      <c r="Q52" s="26"/>
    </row>
    <row r="53" spans="2:20">
      <c r="B53" s="86" t="s">
        <v>177</v>
      </c>
      <c r="C53" s="72"/>
      <c r="D53" s="247" t="s">
        <v>128</v>
      </c>
      <c r="E53" s="247"/>
      <c r="F53" s="247"/>
      <c r="G53" s="72"/>
      <c r="H53" s="247" t="s">
        <v>158</v>
      </c>
      <c r="I53" s="247"/>
      <c r="J53" s="247"/>
      <c r="K53" s="72"/>
      <c r="L53" s="247" t="s">
        <v>159</v>
      </c>
      <c r="M53" s="247"/>
      <c r="N53" s="247"/>
      <c r="O53" s="72"/>
      <c r="P53" s="71" t="s">
        <v>160</v>
      </c>
      <c r="Q53" s="26"/>
    </row>
    <row r="54" spans="2:20" ht="13.9">
      <c r="B54" s="87" t="s">
        <v>178</v>
      </c>
      <c r="C54" s="75"/>
      <c r="D54" s="76"/>
      <c r="E54" s="76"/>
      <c r="F54" s="76"/>
      <c r="G54" s="75"/>
      <c r="H54" s="76"/>
      <c r="I54" s="76"/>
      <c r="J54" s="76"/>
      <c r="K54" s="75"/>
      <c r="L54" s="76"/>
      <c r="M54" s="76"/>
      <c r="N54" s="76"/>
      <c r="O54" s="75"/>
      <c r="P54" s="76"/>
      <c r="Q54" s="26"/>
    </row>
    <row r="55" spans="2:20" ht="13.9">
      <c r="B55" s="74" t="s">
        <v>161</v>
      </c>
      <c r="C55" s="75"/>
      <c r="D55" s="76" t="s">
        <v>162</v>
      </c>
      <c r="E55" s="76" t="s">
        <v>100</v>
      </c>
      <c r="F55" s="76" t="s">
        <v>163</v>
      </c>
      <c r="G55" s="75"/>
      <c r="H55" s="76" t="s">
        <v>162</v>
      </c>
      <c r="I55" s="76" t="s">
        <v>100</v>
      </c>
      <c r="J55" s="76" t="s">
        <v>163</v>
      </c>
      <c r="K55" s="75"/>
      <c r="L55" s="76" t="s">
        <v>162</v>
      </c>
      <c r="M55" s="76" t="s">
        <v>100</v>
      </c>
      <c r="N55" s="76" t="s">
        <v>163</v>
      </c>
      <c r="O55" s="75"/>
      <c r="P55" s="76" t="s">
        <v>163</v>
      </c>
      <c r="Q55" s="26"/>
    </row>
    <row r="56" spans="2:20">
      <c r="B56" s="26"/>
      <c r="C56" s="26"/>
      <c r="D56" s="26"/>
      <c r="E56" s="26"/>
      <c r="F56" s="26"/>
      <c r="G56" s="26"/>
      <c r="H56" s="26"/>
      <c r="I56" s="26"/>
      <c r="J56" s="26"/>
      <c r="K56" s="26"/>
      <c r="L56" s="26"/>
      <c r="M56" s="26"/>
      <c r="N56" s="26"/>
      <c r="O56" s="26"/>
      <c r="P56" s="26"/>
      <c r="Q56" s="26"/>
    </row>
    <row r="57" spans="2:20" ht="13.9">
      <c r="B57" s="27" t="s">
        <v>164</v>
      </c>
      <c r="C57" s="26"/>
      <c r="D57" s="77"/>
      <c r="E57" s="88">
        <f t="shared" ref="E57:E68" si="14">IF(D57&lt;&gt;0,F57/D57,0)</f>
        <v>0</v>
      </c>
      <c r="F57" s="79"/>
      <c r="G57" s="26"/>
      <c r="H57" s="77"/>
      <c r="I57" s="88">
        <f t="shared" ref="I57:I68" si="15">IF(H57&lt;&gt;0,J57/H57,0)</f>
        <v>0</v>
      </c>
      <c r="J57" s="89"/>
      <c r="K57" s="26"/>
      <c r="L57" s="77"/>
      <c r="M57" s="88">
        <f t="shared" ref="M57:M68" si="16">IF(L57&lt;&gt;0,N57/L57,0)</f>
        <v>0</v>
      </c>
      <c r="N57" s="79"/>
      <c r="O57" s="26"/>
      <c r="P57" s="80">
        <f t="shared" ref="P57:P68" si="17">J57+N57</f>
        <v>0</v>
      </c>
      <c r="Q57" s="26"/>
    </row>
    <row r="58" spans="2:20" ht="13.9">
      <c r="B58" s="27" t="s">
        <v>165</v>
      </c>
      <c r="C58" s="26"/>
      <c r="D58" s="77"/>
      <c r="E58" s="88">
        <f t="shared" si="14"/>
        <v>0</v>
      </c>
      <c r="F58" s="79"/>
      <c r="G58" s="26"/>
      <c r="H58" s="77"/>
      <c r="I58" s="88">
        <f t="shared" si="15"/>
        <v>0</v>
      </c>
      <c r="J58" s="89"/>
      <c r="K58" s="26"/>
      <c r="L58" s="77"/>
      <c r="M58" s="88">
        <f t="shared" si="16"/>
        <v>0</v>
      </c>
      <c r="N58" s="79"/>
      <c r="O58" s="26"/>
      <c r="P58" s="80">
        <f t="shared" si="17"/>
        <v>0</v>
      </c>
      <c r="Q58" s="26"/>
    </row>
    <row r="59" spans="2:20" ht="13.9">
      <c r="B59" s="27" t="s">
        <v>166</v>
      </c>
      <c r="C59" s="26"/>
      <c r="D59" s="77"/>
      <c r="E59" s="88">
        <f t="shared" si="14"/>
        <v>0</v>
      </c>
      <c r="F59" s="79"/>
      <c r="G59" s="26"/>
      <c r="H59" s="77"/>
      <c r="I59" s="88">
        <f t="shared" si="15"/>
        <v>0</v>
      </c>
      <c r="J59" s="89"/>
      <c r="K59" s="26"/>
      <c r="L59" s="77"/>
      <c r="M59" s="88">
        <f t="shared" si="16"/>
        <v>0</v>
      </c>
      <c r="N59" s="79"/>
      <c r="O59" s="26"/>
      <c r="P59" s="80">
        <f t="shared" si="17"/>
        <v>0</v>
      </c>
      <c r="Q59" s="26"/>
    </row>
    <row r="60" spans="2:20" ht="13.9">
      <c r="B60" s="27" t="s">
        <v>167</v>
      </c>
      <c r="C60" s="26"/>
      <c r="D60" s="77"/>
      <c r="E60" s="88">
        <f t="shared" si="14"/>
        <v>0</v>
      </c>
      <c r="F60" s="79"/>
      <c r="G60" s="26"/>
      <c r="H60" s="77"/>
      <c r="I60" s="88">
        <f t="shared" si="15"/>
        <v>0</v>
      </c>
      <c r="J60" s="89"/>
      <c r="K60" s="26"/>
      <c r="L60" s="77"/>
      <c r="M60" s="88">
        <f t="shared" si="16"/>
        <v>0</v>
      </c>
      <c r="N60" s="79"/>
      <c r="O60" s="26"/>
      <c r="P60" s="80">
        <f t="shared" si="17"/>
        <v>0</v>
      </c>
      <c r="Q60" s="26"/>
    </row>
    <row r="61" spans="2:20" ht="13.9">
      <c r="B61" s="27" t="s">
        <v>168</v>
      </c>
      <c r="C61" s="26"/>
      <c r="D61" s="77"/>
      <c r="E61" s="88">
        <f t="shared" si="14"/>
        <v>0</v>
      </c>
      <c r="F61" s="79"/>
      <c r="G61" s="26"/>
      <c r="H61" s="77"/>
      <c r="I61" s="88">
        <f t="shared" si="15"/>
        <v>0</v>
      </c>
      <c r="J61" s="89"/>
      <c r="K61" s="26"/>
      <c r="L61" s="77"/>
      <c r="M61" s="88">
        <f t="shared" si="16"/>
        <v>0</v>
      </c>
      <c r="N61" s="79"/>
      <c r="O61" s="26"/>
      <c r="P61" s="80">
        <f t="shared" si="17"/>
        <v>0</v>
      </c>
      <c r="Q61" s="26"/>
    </row>
    <row r="62" spans="2:20" ht="13.9">
      <c r="B62" s="27" t="s">
        <v>169</v>
      </c>
      <c r="C62" s="26"/>
      <c r="D62" s="77"/>
      <c r="E62" s="88">
        <f t="shared" si="14"/>
        <v>0</v>
      </c>
      <c r="F62" s="79"/>
      <c r="G62" s="26"/>
      <c r="H62" s="77"/>
      <c r="I62" s="88">
        <f t="shared" si="15"/>
        <v>0</v>
      </c>
      <c r="J62" s="89"/>
      <c r="K62" s="26"/>
      <c r="L62" s="77"/>
      <c r="M62" s="88">
        <f t="shared" si="16"/>
        <v>0</v>
      </c>
      <c r="N62" s="79"/>
      <c r="O62" s="26"/>
      <c r="P62" s="80">
        <f t="shared" si="17"/>
        <v>0</v>
      </c>
      <c r="Q62" s="26"/>
    </row>
    <row r="63" spans="2:20" ht="13.9">
      <c r="B63" s="27" t="s">
        <v>170</v>
      </c>
      <c r="C63" s="26"/>
      <c r="D63" s="77"/>
      <c r="E63" s="88">
        <f t="shared" si="14"/>
        <v>0</v>
      </c>
      <c r="F63" s="79"/>
      <c r="G63" s="26"/>
      <c r="H63" s="77"/>
      <c r="I63" s="88">
        <f t="shared" si="15"/>
        <v>0</v>
      </c>
      <c r="J63" s="89"/>
      <c r="K63" s="26"/>
      <c r="L63" s="77"/>
      <c r="M63" s="88">
        <f t="shared" si="16"/>
        <v>0</v>
      </c>
      <c r="N63" s="79"/>
      <c r="O63" s="26"/>
      <c r="P63" s="80">
        <f t="shared" si="17"/>
        <v>0</v>
      </c>
      <c r="Q63" s="26"/>
    </row>
    <row r="64" spans="2:20" ht="13.9">
      <c r="B64" s="27" t="s">
        <v>171</v>
      </c>
      <c r="C64" s="26"/>
      <c r="D64" s="77"/>
      <c r="E64" s="88">
        <f t="shared" si="14"/>
        <v>0</v>
      </c>
      <c r="F64" s="79"/>
      <c r="G64" s="26"/>
      <c r="H64" s="77"/>
      <c r="I64" s="88">
        <f t="shared" si="15"/>
        <v>0</v>
      </c>
      <c r="J64" s="89"/>
      <c r="K64" s="26"/>
      <c r="L64" s="77"/>
      <c r="M64" s="88">
        <f t="shared" si="16"/>
        <v>0</v>
      </c>
      <c r="N64" s="79"/>
      <c r="O64" s="26"/>
      <c r="P64" s="80">
        <f t="shared" si="17"/>
        <v>0</v>
      </c>
      <c r="Q64" s="26"/>
    </row>
    <row r="65" spans="2:17" ht="13.9">
      <c r="B65" s="27" t="s">
        <v>172</v>
      </c>
      <c r="C65" s="26"/>
      <c r="D65" s="77"/>
      <c r="E65" s="88">
        <f t="shared" si="14"/>
        <v>0</v>
      </c>
      <c r="F65" s="79"/>
      <c r="G65" s="26"/>
      <c r="H65" s="77"/>
      <c r="I65" s="88">
        <f t="shared" si="15"/>
        <v>0</v>
      </c>
      <c r="J65" s="89"/>
      <c r="K65" s="26"/>
      <c r="L65" s="77"/>
      <c r="M65" s="88">
        <f t="shared" si="16"/>
        <v>0</v>
      </c>
      <c r="N65" s="79"/>
      <c r="O65" s="26"/>
      <c r="P65" s="80">
        <f t="shared" si="17"/>
        <v>0</v>
      </c>
      <c r="Q65" s="26"/>
    </row>
    <row r="66" spans="2:17" ht="13.9">
      <c r="B66" s="27" t="s">
        <v>173</v>
      </c>
      <c r="C66" s="26"/>
      <c r="D66" s="77"/>
      <c r="E66" s="88">
        <f t="shared" si="14"/>
        <v>0</v>
      </c>
      <c r="F66" s="79"/>
      <c r="G66" s="26"/>
      <c r="H66" s="77"/>
      <c r="I66" s="88">
        <f t="shared" si="15"/>
        <v>0</v>
      </c>
      <c r="J66" s="89"/>
      <c r="K66" s="26"/>
      <c r="L66" s="77"/>
      <c r="M66" s="88">
        <f t="shared" si="16"/>
        <v>0</v>
      </c>
      <c r="N66" s="79"/>
      <c r="O66" s="26"/>
      <c r="P66" s="80">
        <f t="shared" si="17"/>
        <v>0</v>
      </c>
      <c r="Q66" s="26"/>
    </row>
    <row r="67" spans="2:17" ht="13.9">
      <c r="B67" s="27" t="s">
        <v>174</v>
      </c>
      <c r="C67" s="26"/>
      <c r="D67" s="77"/>
      <c r="E67" s="88">
        <f t="shared" si="14"/>
        <v>0</v>
      </c>
      <c r="F67" s="79"/>
      <c r="G67" s="26"/>
      <c r="H67" s="77"/>
      <c r="I67" s="88">
        <f t="shared" si="15"/>
        <v>0</v>
      </c>
      <c r="J67" s="89"/>
      <c r="K67" s="26"/>
      <c r="L67" s="77"/>
      <c r="M67" s="88">
        <f t="shared" si="16"/>
        <v>0</v>
      </c>
      <c r="N67" s="79"/>
      <c r="O67" s="26"/>
      <c r="P67" s="80">
        <f t="shared" si="17"/>
        <v>0</v>
      </c>
      <c r="Q67" s="26"/>
    </row>
    <row r="68" spans="2:17" ht="13.9">
      <c r="B68" s="27" t="s">
        <v>175</v>
      </c>
      <c r="C68" s="26"/>
      <c r="D68" s="77"/>
      <c r="E68" s="88">
        <f t="shared" si="14"/>
        <v>0</v>
      </c>
      <c r="F68" s="79"/>
      <c r="G68" s="26"/>
      <c r="H68" s="77"/>
      <c r="I68" s="88">
        <f t="shared" si="15"/>
        <v>0</v>
      </c>
      <c r="J68" s="89"/>
      <c r="K68" s="26"/>
      <c r="L68" s="77"/>
      <c r="M68" s="88">
        <f t="shared" si="16"/>
        <v>0</v>
      </c>
      <c r="N68" s="79"/>
      <c r="O68" s="26"/>
      <c r="P68" s="80">
        <f t="shared" si="17"/>
        <v>0</v>
      </c>
      <c r="Q68" s="26"/>
    </row>
    <row r="69" spans="2:17">
      <c r="B69" s="26"/>
      <c r="C69" s="26"/>
      <c r="D69" s="26"/>
      <c r="E69" s="26"/>
      <c r="F69" s="26"/>
      <c r="G69" s="26"/>
      <c r="H69" s="26"/>
      <c r="I69" s="26"/>
      <c r="J69" s="26"/>
      <c r="K69" s="26"/>
      <c r="L69" s="26"/>
      <c r="M69" s="26"/>
      <c r="N69" s="26"/>
      <c r="O69" s="26"/>
      <c r="P69" s="26"/>
      <c r="Q69" s="26"/>
    </row>
    <row r="70" spans="2:17" ht="13.9" thickBot="1">
      <c r="B70" s="74" t="s">
        <v>146</v>
      </c>
      <c r="C70" s="26"/>
      <c r="D70" s="81">
        <f>SUM(D57:D68)</f>
        <v>0</v>
      </c>
      <c r="E70" s="82">
        <f>IF(D70&lt;&gt;0,F70/D70,0)</f>
        <v>0</v>
      </c>
      <c r="F70" s="83">
        <f>SUM(F57:F68)</f>
        <v>0</v>
      </c>
      <c r="G70" s="26"/>
      <c r="H70" s="81">
        <f>SUM(H57:H68)</f>
        <v>0</v>
      </c>
      <c r="I70" s="82">
        <f>IF(H70&lt;&gt;0,J70/H70,0)</f>
        <v>0</v>
      </c>
      <c r="J70" s="83">
        <f>SUM(J57:J68)</f>
        <v>0</v>
      </c>
      <c r="K70" s="26"/>
      <c r="L70" s="81">
        <f>SUM(L57:L68)</f>
        <v>0</v>
      </c>
      <c r="M70" s="82">
        <f>IF(L70&lt;&gt;0,N70/L70,0)</f>
        <v>0</v>
      </c>
      <c r="N70" s="83">
        <f>SUM(N57:N68)</f>
        <v>0</v>
      </c>
      <c r="O70" s="26"/>
      <c r="P70" s="83">
        <f>SUM(P57:P68)</f>
        <v>0</v>
      </c>
      <c r="Q70" s="26"/>
    </row>
    <row r="71" spans="2:17">
      <c r="B71" s="26"/>
      <c r="C71" s="26"/>
      <c r="D71" s="26"/>
      <c r="E71" s="26"/>
      <c r="F71" s="26"/>
      <c r="G71" s="26"/>
      <c r="H71" s="26"/>
      <c r="I71" s="26"/>
      <c r="J71" s="26"/>
      <c r="K71" s="26"/>
      <c r="L71" s="26"/>
      <c r="M71" s="26"/>
      <c r="N71" s="26"/>
      <c r="O71" s="26"/>
      <c r="P71" s="26"/>
      <c r="Q71" s="26"/>
    </row>
    <row r="72" spans="2:17">
      <c r="B72" s="86" t="s">
        <v>179</v>
      </c>
      <c r="C72" s="72"/>
      <c r="D72" s="247" t="s">
        <v>128</v>
      </c>
      <c r="E72" s="247"/>
      <c r="F72" s="247"/>
      <c r="G72" s="72"/>
      <c r="H72" s="247" t="s">
        <v>158</v>
      </c>
      <c r="I72" s="247"/>
      <c r="J72" s="247"/>
      <c r="K72" s="72"/>
      <c r="L72" s="247" t="s">
        <v>159</v>
      </c>
      <c r="M72" s="247"/>
      <c r="N72" s="247"/>
      <c r="O72" s="72"/>
      <c r="P72" s="71" t="s">
        <v>160</v>
      </c>
      <c r="Q72" s="26"/>
    </row>
    <row r="73" spans="2:17" ht="13.9">
      <c r="B73" s="87" t="s">
        <v>178</v>
      </c>
      <c r="C73" s="75"/>
      <c r="D73" s="76"/>
      <c r="E73" s="76"/>
      <c r="F73" s="76"/>
      <c r="G73" s="75"/>
      <c r="H73" s="76"/>
      <c r="I73" s="76"/>
      <c r="J73" s="76"/>
      <c r="K73" s="75"/>
      <c r="L73" s="76"/>
      <c r="M73" s="76"/>
      <c r="N73" s="76"/>
      <c r="O73" s="75"/>
      <c r="P73" s="76"/>
      <c r="Q73" s="26"/>
    </row>
    <row r="74" spans="2:17" ht="13.9">
      <c r="B74" s="74" t="s">
        <v>161</v>
      </c>
      <c r="C74" s="75"/>
      <c r="D74" s="76" t="s">
        <v>162</v>
      </c>
      <c r="E74" s="76" t="s">
        <v>100</v>
      </c>
      <c r="F74" s="76" t="s">
        <v>163</v>
      </c>
      <c r="G74" s="75"/>
      <c r="H74" s="76" t="s">
        <v>162</v>
      </c>
      <c r="I74" s="76" t="s">
        <v>100</v>
      </c>
      <c r="J74" s="76" t="s">
        <v>163</v>
      </c>
      <c r="K74" s="75"/>
      <c r="L74" s="76" t="s">
        <v>162</v>
      </c>
      <c r="M74" s="76" t="s">
        <v>100</v>
      </c>
      <c r="N74" s="76" t="s">
        <v>163</v>
      </c>
      <c r="O74" s="75"/>
      <c r="P74" s="76" t="s">
        <v>163</v>
      </c>
      <c r="Q74" s="26"/>
    </row>
    <row r="75" spans="2:17">
      <c r="B75" s="26"/>
      <c r="C75" s="26"/>
      <c r="D75" s="26"/>
      <c r="E75" s="26"/>
      <c r="F75" s="26"/>
      <c r="G75" s="26"/>
      <c r="H75" s="26"/>
      <c r="I75" s="26"/>
      <c r="J75" s="26"/>
      <c r="K75" s="26"/>
      <c r="L75" s="26"/>
      <c r="M75" s="26"/>
      <c r="N75" s="26"/>
      <c r="O75" s="26"/>
      <c r="P75" s="26"/>
      <c r="Q75" s="26"/>
    </row>
    <row r="76" spans="2:17" ht="13.9">
      <c r="B76" s="27" t="s">
        <v>164</v>
      </c>
      <c r="C76" s="26"/>
      <c r="D76" s="77"/>
      <c r="E76" s="88">
        <f t="shared" ref="E76:E87" si="18">IF(D76&lt;&gt;0,F76/D76,0)</f>
        <v>0</v>
      </c>
      <c r="F76" s="79"/>
      <c r="G76" s="26"/>
      <c r="H76" s="77"/>
      <c r="I76" s="88">
        <f t="shared" ref="I76:I87" si="19">IF(H76&lt;&gt;0,J76/H76,0)</f>
        <v>0</v>
      </c>
      <c r="J76" s="89"/>
      <c r="K76" s="26"/>
      <c r="L76" s="77"/>
      <c r="M76" s="88">
        <f t="shared" ref="M76:M87" si="20">IF(L76&lt;&gt;0,N76/L76,0)</f>
        <v>0</v>
      </c>
      <c r="N76" s="79"/>
      <c r="O76" s="26"/>
      <c r="P76" s="80">
        <f t="shared" ref="P76:P87" si="21">J76+N76</f>
        <v>0</v>
      </c>
      <c r="Q76" s="26"/>
    </row>
    <row r="77" spans="2:17" ht="13.9">
      <c r="B77" s="27" t="s">
        <v>165</v>
      </c>
      <c r="C77" s="26"/>
      <c r="D77" s="77"/>
      <c r="E77" s="88">
        <f t="shared" si="18"/>
        <v>0</v>
      </c>
      <c r="F77" s="79"/>
      <c r="G77" s="26"/>
      <c r="H77" s="77"/>
      <c r="I77" s="88">
        <f t="shared" si="19"/>
        <v>0</v>
      </c>
      <c r="J77" s="89"/>
      <c r="K77" s="26"/>
      <c r="L77" s="77"/>
      <c r="M77" s="88">
        <f t="shared" si="20"/>
        <v>0</v>
      </c>
      <c r="N77" s="79"/>
      <c r="O77" s="26"/>
      <c r="P77" s="80">
        <f t="shared" si="21"/>
        <v>0</v>
      </c>
      <c r="Q77" s="26"/>
    </row>
    <row r="78" spans="2:17" ht="13.9">
      <c r="B78" s="27" t="s">
        <v>166</v>
      </c>
      <c r="C78" s="26"/>
      <c r="D78" s="77"/>
      <c r="E78" s="88">
        <f t="shared" si="18"/>
        <v>0</v>
      </c>
      <c r="F78" s="79"/>
      <c r="G78" s="26"/>
      <c r="H78" s="77"/>
      <c r="I78" s="88">
        <f t="shared" si="19"/>
        <v>0</v>
      </c>
      <c r="J78" s="89"/>
      <c r="K78" s="26"/>
      <c r="L78" s="77"/>
      <c r="M78" s="88">
        <f t="shared" si="20"/>
        <v>0</v>
      </c>
      <c r="N78" s="79"/>
      <c r="O78" s="26"/>
      <c r="P78" s="80">
        <f t="shared" si="21"/>
        <v>0</v>
      </c>
      <c r="Q78" s="26"/>
    </row>
    <row r="79" spans="2:17" ht="13.9">
      <c r="B79" s="27" t="s">
        <v>167</v>
      </c>
      <c r="C79" s="26"/>
      <c r="D79" s="77"/>
      <c r="E79" s="88">
        <f t="shared" si="18"/>
        <v>0</v>
      </c>
      <c r="F79" s="79"/>
      <c r="G79" s="26"/>
      <c r="H79" s="77"/>
      <c r="I79" s="88">
        <f t="shared" si="19"/>
        <v>0</v>
      </c>
      <c r="J79" s="89"/>
      <c r="K79" s="26"/>
      <c r="L79" s="77"/>
      <c r="M79" s="88">
        <f t="shared" si="20"/>
        <v>0</v>
      </c>
      <c r="N79" s="79"/>
      <c r="O79" s="26"/>
      <c r="P79" s="80">
        <f t="shared" si="21"/>
        <v>0</v>
      </c>
      <c r="Q79" s="26"/>
    </row>
    <row r="80" spans="2:17" ht="13.9">
      <c r="B80" s="27" t="s">
        <v>168</v>
      </c>
      <c r="C80" s="26"/>
      <c r="D80" s="77"/>
      <c r="E80" s="88">
        <f t="shared" si="18"/>
        <v>0</v>
      </c>
      <c r="F80" s="79"/>
      <c r="G80" s="26"/>
      <c r="H80" s="77"/>
      <c r="I80" s="88">
        <f t="shared" si="19"/>
        <v>0</v>
      </c>
      <c r="J80" s="89"/>
      <c r="K80" s="26"/>
      <c r="L80" s="77"/>
      <c r="M80" s="88">
        <f t="shared" si="20"/>
        <v>0</v>
      </c>
      <c r="N80" s="79"/>
      <c r="O80" s="26"/>
      <c r="P80" s="80">
        <f t="shared" si="21"/>
        <v>0</v>
      </c>
      <c r="Q80" s="26"/>
    </row>
    <row r="81" spans="2:17" ht="13.9">
      <c r="B81" s="27" t="s">
        <v>169</v>
      </c>
      <c r="C81" s="26"/>
      <c r="D81" s="77"/>
      <c r="E81" s="88">
        <f t="shared" si="18"/>
        <v>0</v>
      </c>
      <c r="F81" s="79"/>
      <c r="G81" s="26"/>
      <c r="H81" s="77"/>
      <c r="I81" s="88">
        <f t="shared" si="19"/>
        <v>0</v>
      </c>
      <c r="J81" s="89"/>
      <c r="K81" s="26"/>
      <c r="L81" s="77"/>
      <c r="M81" s="88">
        <f t="shared" si="20"/>
        <v>0</v>
      </c>
      <c r="N81" s="79"/>
      <c r="O81" s="26"/>
      <c r="P81" s="80">
        <f t="shared" si="21"/>
        <v>0</v>
      </c>
      <c r="Q81" s="26"/>
    </row>
    <row r="82" spans="2:17" ht="13.9">
      <c r="B82" s="27" t="s">
        <v>170</v>
      </c>
      <c r="C82" s="26"/>
      <c r="D82" s="77"/>
      <c r="E82" s="88">
        <f t="shared" si="18"/>
        <v>0</v>
      </c>
      <c r="F82" s="79"/>
      <c r="G82" s="26"/>
      <c r="H82" s="77"/>
      <c r="I82" s="88">
        <f t="shared" si="19"/>
        <v>0</v>
      </c>
      <c r="J82" s="89"/>
      <c r="K82" s="26"/>
      <c r="L82" s="77"/>
      <c r="M82" s="88">
        <f t="shared" si="20"/>
        <v>0</v>
      </c>
      <c r="N82" s="79"/>
      <c r="O82" s="26"/>
      <c r="P82" s="80">
        <f t="shared" si="21"/>
        <v>0</v>
      </c>
      <c r="Q82" s="26"/>
    </row>
    <row r="83" spans="2:17" ht="13.9">
      <c r="B83" s="27" t="s">
        <v>171</v>
      </c>
      <c r="C83" s="26"/>
      <c r="D83" s="77"/>
      <c r="E83" s="88">
        <f t="shared" si="18"/>
        <v>0</v>
      </c>
      <c r="F83" s="79"/>
      <c r="G83" s="26"/>
      <c r="H83" s="77"/>
      <c r="I83" s="88">
        <f t="shared" si="19"/>
        <v>0</v>
      </c>
      <c r="J83" s="89"/>
      <c r="K83" s="26"/>
      <c r="L83" s="77"/>
      <c r="M83" s="88">
        <f t="shared" si="20"/>
        <v>0</v>
      </c>
      <c r="N83" s="79"/>
      <c r="O83" s="26"/>
      <c r="P83" s="80">
        <f t="shared" si="21"/>
        <v>0</v>
      </c>
      <c r="Q83" s="26"/>
    </row>
    <row r="84" spans="2:17" ht="13.9">
      <c r="B84" s="27" t="s">
        <v>172</v>
      </c>
      <c r="C84" s="26"/>
      <c r="D84" s="77"/>
      <c r="E84" s="88">
        <f t="shared" si="18"/>
        <v>0</v>
      </c>
      <c r="F84" s="79"/>
      <c r="G84" s="26"/>
      <c r="H84" s="77"/>
      <c r="I84" s="88">
        <f t="shared" si="19"/>
        <v>0</v>
      </c>
      <c r="J84" s="89"/>
      <c r="K84" s="26"/>
      <c r="L84" s="77"/>
      <c r="M84" s="88">
        <f t="shared" si="20"/>
        <v>0</v>
      </c>
      <c r="N84" s="79"/>
      <c r="O84" s="26"/>
      <c r="P84" s="80">
        <f t="shared" si="21"/>
        <v>0</v>
      </c>
      <c r="Q84" s="26"/>
    </row>
    <row r="85" spans="2:17" ht="13.9">
      <c r="B85" s="27" t="s">
        <v>173</v>
      </c>
      <c r="C85" s="26"/>
      <c r="D85" s="77"/>
      <c r="E85" s="88">
        <f t="shared" si="18"/>
        <v>0</v>
      </c>
      <c r="F85" s="79"/>
      <c r="G85" s="26"/>
      <c r="H85" s="77"/>
      <c r="I85" s="88">
        <f t="shared" si="19"/>
        <v>0</v>
      </c>
      <c r="J85" s="89"/>
      <c r="K85" s="26"/>
      <c r="L85" s="77"/>
      <c r="M85" s="88">
        <f t="shared" si="20"/>
        <v>0</v>
      </c>
      <c r="N85" s="79"/>
      <c r="O85" s="26"/>
      <c r="P85" s="80">
        <f t="shared" si="21"/>
        <v>0</v>
      </c>
      <c r="Q85" s="26"/>
    </row>
    <row r="86" spans="2:17" ht="13.9">
      <c r="B86" s="27" t="s">
        <v>174</v>
      </c>
      <c r="C86" s="26"/>
      <c r="D86" s="77"/>
      <c r="E86" s="88">
        <f t="shared" si="18"/>
        <v>0</v>
      </c>
      <c r="F86" s="79"/>
      <c r="G86" s="26"/>
      <c r="H86" s="77"/>
      <c r="I86" s="88">
        <f t="shared" si="19"/>
        <v>0</v>
      </c>
      <c r="J86" s="89"/>
      <c r="K86" s="26"/>
      <c r="L86" s="77"/>
      <c r="M86" s="88">
        <f t="shared" si="20"/>
        <v>0</v>
      </c>
      <c r="N86" s="79"/>
      <c r="O86" s="26"/>
      <c r="P86" s="80">
        <f t="shared" si="21"/>
        <v>0</v>
      </c>
      <c r="Q86" s="26"/>
    </row>
    <row r="87" spans="2:17" ht="13.9">
      <c r="B87" s="27" t="s">
        <v>175</v>
      </c>
      <c r="C87" s="26"/>
      <c r="D87" s="77"/>
      <c r="E87" s="88">
        <f t="shared" si="18"/>
        <v>0</v>
      </c>
      <c r="F87" s="79"/>
      <c r="G87" s="26"/>
      <c r="H87" s="77"/>
      <c r="I87" s="88">
        <f t="shared" si="19"/>
        <v>0</v>
      </c>
      <c r="J87" s="89"/>
      <c r="K87" s="26"/>
      <c r="L87" s="77"/>
      <c r="M87" s="88">
        <f t="shared" si="20"/>
        <v>0</v>
      </c>
      <c r="N87" s="79"/>
      <c r="O87" s="26"/>
      <c r="P87" s="80">
        <f t="shared" si="21"/>
        <v>0</v>
      </c>
      <c r="Q87" s="26"/>
    </row>
    <row r="88" spans="2:17">
      <c r="B88" s="26"/>
      <c r="C88" s="26"/>
      <c r="D88" s="26"/>
      <c r="E88" s="26"/>
      <c r="F88" s="26"/>
      <c r="G88" s="26"/>
      <c r="H88" s="26"/>
      <c r="I88" s="26"/>
      <c r="J88" s="26"/>
      <c r="K88" s="26"/>
      <c r="L88" s="26"/>
      <c r="M88" s="26"/>
      <c r="N88" s="26"/>
      <c r="O88" s="26"/>
      <c r="P88" s="26"/>
      <c r="Q88" s="26"/>
    </row>
    <row r="89" spans="2:17" ht="13.9" thickBot="1">
      <c r="B89" s="74" t="s">
        <v>146</v>
      </c>
      <c r="C89" s="26"/>
      <c r="D89" s="81">
        <f>SUM(D76:D87)</f>
        <v>0</v>
      </c>
      <c r="E89" s="82">
        <f>IF(D89&lt;&gt;0,F89/D89,0)</f>
        <v>0</v>
      </c>
      <c r="F89" s="83">
        <f>SUM(F76:F87)</f>
        <v>0</v>
      </c>
      <c r="G89" s="26"/>
      <c r="H89" s="81">
        <f>SUM(H76:H87)</f>
        <v>0</v>
      </c>
      <c r="I89" s="82">
        <f>IF(H89&lt;&gt;0,J89/H89,0)</f>
        <v>0</v>
      </c>
      <c r="J89" s="83">
        <f>SUM(J76:J87)</f>
        <v>0</v>
      </c>
      <c r="K89" s="26"/>
      <c r="L89" s="81">
        <f>SUM(L76:L87)</f>
        <v>0</v>
      </c>
      <c r="M89" s="82">
        <f>IF(L89&lt;&gt;0,N89/L89,0)</f>
        <v>0</v>
      </c>
      <c r="N89" s="83">
        <f>SUM(N76:N87)</f>
        <v>0</v>
      </c>
      <c r="O89" s="26"/>
      <c r="P89" s="83">
        <f>SUM(P76:P87)</f>
        <v>0</v>
      </c>
      <c r="Q89" s="26"/>
    </row>
    <row r="90" spans="2:17">
      <c r="B90" s="26"/>
      <c r="C90" s="26"/>
      <c r="D90" s="26"/>
      <c r="E90" s="26"/>
      <c r="F90" s="26"/>
      <c r="G90" s="26"/>
      <c r="H90" s="26"/>
      <c r="I90" s="26"/>
      <c r="J90" s="26"/>
      <c r="K90" s="26"/>
      <c r="L90" s="26"/>
      <c r="M90" s="26"/>
      <c r="N90" s="26"/>
      <c r="O90" s="26"/>
      <c r="P90" s="26"/>
      <c r="Q90" s="26"/>
    </row>
    <row r="91" spans="2:17">
      <c r="B91" s="71" t="s">
        <v>146</v>
      </c>
      <c r="C91" s="72"/>
      <c r="D91" s="247" t="s">
        <v>128</v>
      </c>
      <c r="E91" s="247"/>
      <c r="F91" s="247"/>
      <c r="G91" s="72"/>
      <c r="H91" s="247" t="s">
        <v>158</v>
      </c>
      <c r="I91" s="247"/>
      <c r="J91" s="247"/>
      <c r="K91" s="72"/>
      <c r="L91" s="247" t="s">
        <v>159</v>
      </c>
      <c r="M91" s="247"/>
      <c r="N91" s="247"/>
      <c r="O91" s="72"/>
      <c r="P91" s="71" t="s">
        <v>160</v>
      </c>
      <c r="Q91" s="26"/>
    </row>
    <row r="92" spans="2:17">
      <c r="B92" s="26"/>
      <c r="C92" s="26"/>
      <c r="D92" s="248"/>
      <c r="E92" s="248"/>
      <c r="F92" s="248"/>
      <c r="G92" s="26"/>
      <c r="H92" s="248"/>
      <c r="I92" s="248"/>
      <c r="J92" s="248"/>
      <c r="K92" s="26"/>
      <c r="L92" s="248"/>
      <c r="M92" s="248"/>
      <c r="N92" s="248"/>
      <c r="O92" s="26"/>
      <c r="P92" s="90"/>
      <c r="Q92" s="26"/>
    </row>
    <row r="93" spans="2:17" ht="13.9">
      <c r="B93" s="74" t="s">
        <v>161</v>
      </c>
      <c r="C93" s="26"/>
      <c r="D93" s="76" t="s">
        <v>162</v>
      </c>
      <c r="E93" s="76" t="s">
        <v>100</v>
      </c>
      <c r="F93" s="76" t="s">
        <v>163</v>
      </c>
      <c r="G93" s="75"/>
      <c r="H93" s="76" t="s">
        <v>162</v>
      </c>
      <c r="I93" s="76" t="s">
        <v>100</v>
      </c>
      <c r="J93" s="76" t="s">
        <v>163</v>
      </c>
      <c r="K93" s="75"/>
      <c r="L93" s="76" t="s">
        <v>162</v>
      </c>
      <c r="M93" s="76" t="s">
        <v>100</v>
      </c>
      <c r="N93" s="76" t="s">
        <v>163</v>
      </c>
      <c r="O93" s="75"/>
      <c r="P93" s="76" t="s">
        <v>163</v>
      </c>
      <c r="Q93" s="26"/>
    </row>
    <row r="94" spans="2:17">
      <c r="B94" s="26"/>
      <c r="C94" s="26"/>
      <c r="D94" s="26"/>
      <c r="E94" s="26"/>
      <c r="F94" s="26"/>
      <c r="G94" s="26"/>
      <c r="H94" s="26"/>
      <c r="I94" s="26"/>
      <c r="J94" s="26"/>
      <c r="K94" s="26"/>
      <c r="L94" s="26"/>
      <c r="M94" s="26"/>
      <c r="N94" s="26"/>
      <c r="O94" s="26"/>
      <c r="P94" s="26"/>
      <c r="Q94" s="26"/>
    </row>
    <row r="95" spans="2:17">
      <c r="B95" s="27" t="s">
        <v>164</v>
      </c>
      <c r="C95" s="26"/>
      <c r="D95" s="91">
        <f>D19+D38+D57+D76</f>
        <v>604857.50592299621</v>
      </c>
      <c r="E95" s="92">
        <f t="shared" ref="E95:E106" si="22">IF(D95&lt;&gt;0,F95/D95,0)</f>
        <v>5.9609313446625238</v>
      </c>
      <c r="F95" s="80">
        <f>F19+F38+F57+F76</f>
        <v>3605514.0661107865</v>
      </c>
      <c r="G95" s="26"/>
      <c r="H95" s="91">
        <f>H19+H38+H57+H76</f>
        <v>423583.04261660716</v>
      </c>
      <c r="I95" s="92">
        <f t="shared" ref="I95:I106" si="23">IF(H95&lt;&gt;0,J95/H95,0)</f>
        <v>0.83328760016020886</v>
      </c>
      <c r="J95" s="80">
        <f>J19+J38+J57+J76</f>
        <v>352966.49705055205</v>
      </c>
      <c r="K95" s="26"/>
      <c r="L95" s="91">
        <f>L19+L38+L57+L76</f>
        <v>641251.12959574768</v>
      </c>
      <c r="M95" s="92">
        <f t="shared" ref="M95:M106" si="24">IF(L95&lt;&gt;0,N95/L95,0)</f>
        <v>3.5193833586719938</v>
      </c>
      <c r="N95" s="80">
        <f>N19+N38+N57+N76</f>
        <v>2256808.5542288925</v>
      </c>
      <c r="O95" s="26"/>
      <c r="P95" s="80">
        <f t="shared" ref="P95:P106" si="25">J95+N95</f>
        <v>2609775.0512794447</v>
      </c>
      <c r="Q95" s="26"/>
    </row>
    <row r="96" spans="2:17">
      <c r="B96" s="27" t="s">
        <v>165</v>
      </c>
      <c r="C96" s="26"/>
      <c r="D96" s="91">
        <f t="shared" ref="D96:D106" si="26">D20+D39+D58+D77</f>
        <v>598908.59868242312</v>
      </c>
      <c r="E96" s="92">
        <f t="shared" si="22"/>
        <v>5.9564943768059422</v>
      </c>
      <c r="F96" s="80">
        <f t="shared" ref="F96:F106" si="27">F20+F39+F58+F77</f>
        <v>3567395.7002725801</v>
      </c>
      <c r="G96" s="26"/>
      <c r="H96" s="91">
        <f t="shared" ref="H96:H106" si="28">H20+H39+H58+H77</f>
        <v>410673.03175151016</v>
      </c>
      <c r="I96" s="92">
        <f t="shared" si="23"/>
        <v>0.84394082360481848</v>
      </c>
      <c r="J96" s="80">
        <f t="shared" ref="J96:J106" si="29">J20+J39+J58+J77</f>
        <v>346583.73664865724</v>
      </c>
      <c r="K96" s="26"/>
      <c r="L96" s="91">
        <f t="shared" ref="L96:L106" si="30">L20+L39+L58+L77</f>
        <v>620217.29011616996</v>
      </c>
      <c r="M96" s="92">
        <f t="shared" si="24"/>
        <v>3.5187199963460518</v>
      </c>
      <c r="N96" s="80">
        <f t="shared" ref="N96:N106" si="31">N20+N39+N58+N77</f>
        <v>2182370.9808113277</v>
      </c>
      <c r="O96" s="26"/>
      <c r="P96" s="80">
        <f t="shared" si="25"/>
        <v>2528954.7174599851</v>
      </c>
      <c r="Q96" s="26"/>
    </row>
    <row r="97" spans="2:17">
      <c r="B97" s="27" t="s">
        <v>166</v>
      </c>
      <c r="C97" s="26"/>
      <c r="D97" s="91">
        <f t="shared" si="26"/>
        <v>548971.28001846396</v>
      </c>
      <c r="E97" s="92">
        <f t="shared" si="22"/>
        <v>5.9920418796097872</v>
      </c>
      <c r="F97" s="80">
        <f t="shared" si="27"/>
        <v>3289458.9005736276</v>
      </c>
      <c r="G97" s="26"/>
      <c r="H97" s="91">
        <f t="shared" si="28"/>
        <v>370316.57913492317</v>
      </c>
      <c r="I97" s="92">
        <f t="shared" si="23"/>
        <v>0.85231637113227388</v>
      </c>
      <c r="J97" s="80">
        <f t="shared" si="29"/>
        <v>315626.88289839524</v>
      </c>
      <c r="K97" s="26"/>
      <c r="L97" s="91">
        <f t="shared" si="30"/>
        <v>562193.40115125559</v>
      </c>
      <c r="M97" s="92">
        <f t="shared" si="24"/>
        <v>3.5158053334631889</v>
      </c>
      <c r="N97" s="80">
        <f t="shared" si="31"/>
        <v>1976562.5582053945</v>
      </c>
      <c r="O97" s="26"/>
      <c r="P97" s="80">
        <f t="shared" si="25"/>
        <v>2292189.44110379</v>
      </c>
      <c r="Q97" s="26"/>
    </row>
    <row r="98" spans="2:17">
      <c r="B98" s="27" t="s">
        <v>167</v>
      </c>
      <c r="C98" s="26"/>
      <c r="D98" s="91">
        <f t="shared" si="26"/>
        <v>512057.98495953111</v>
      </c>
      <c r="E98" s="92">
        <f t="shared" si="22"/>
        <v>6.0145568753412562</v>
      </c>
      <c r="F98" s="80">
        <f t="shared" si="27"/>
        <v>3079801.8740117373</v>
      </c>
      <c r="G98" s="26"/>
      <c r="H98" s="91">
        <f t="shared" si="28"/>
        <v>345174.84066280379</v>
      </c>
      <c r="I98" s="92">
        <f t="shared" si="23"/>
        <v>0.85603057981176867</v>
      </c>
      <c r="J98" s="80">
        <f t="shared" si="29"/>
        <v>295480.2189890148</v>
      </c>
      <c r="K98" s="26"/>
      <c r="L98" s="91">
        <f t="shared" si="30"/>
        <v>518734.59527005674</v>
      </c>
      <c r="M98" s="92">
        <f t="shared" si="24"/>
        <v>3.5137807585168175</v>
      </c>
      <c r="N98" s="80">
        <f t="shared" si="31"/>
        <v>1822719.6396369343</v>
      </c>
      <c r="O98" s="26"/>
      <c r="P98" s="80">
        <f t="shared" si="25"/>
        <v>2118199.8586259489</v>
      </c>
      <c r="Q98" s="26"/>
    </row>
    <row r="99" spans="2:17">
      <c r="B99" s="27" t="s">
        <v>168</v>
      </c>
      <c r="C99" s="26"/>
      <c r="D99" s="91">
        <f t="shared" si="26"/>
        <v>616342.8542467748</v>
      </c>
      <c r="E99" s="92">
        <f t="shared" si="22"/>
        <v>6.0255779302098063</v>
      </c>
      <c r="F99" s="80">
        <f t="shared" si="27"/>
        <v>3713821.8999918858</v>
      </c>
      <c r="G99" s="26"/>
      <c r="H99" s="91">
        <f t="shared" si="28"/>
        <v>416590.75619923091</v>
      </c>
      <c r="I99" s="92">
        <f t="shared" si="23"/>
        <v>0.87180314928041591</v>
      </c>
      <c r="J99" s="80">
        <f t="shared" si="29"/>
        <v>363185.13321559946</v>
      </c>
      <c r="K99" s="26"/>
      <c r="L99" s="91">
        <f t="shared" si="30"/>
        <v>629992.76105119591</v>
      </c>
      <c r="M99" s="92">
        <f t="shared" si="24"/>
        <v>3.5116246731882401</v>
      </c>
      <c r="N99" s="80">
        <f t="shared" si="31"/>
        <v>2212298.1236373628</v>
      </c>
      <c r="O99" s="26"/>
      <c r="P99" s="80">
        <f t="shared" si="25"/>
        <v>2575483.2568529621</v>
      </c>
      <c r="Q99" s="26"/>
    </row>
    <row r="100" spans="2:17">
      <c r="B100" s="27" t="s">
        <v>169</v>
      </c>
      <c r="C100" s="26"/>
      <c r="D100" s="91">
        <f t="shared" si="26"/>
        <v>739742.33635827573</v>
      </c>
      <c r="E100" s="92">
        <f t="shared" si="22"/>
        <v>5.9969393416924364</v>
      </c>
      <c r="F100" s="80">
        <f t="shared" si="27"/>
        <v>4436189.9196224231</v>
      </c>
      <c r="G100" s="26"/>
      <c r="H100" s="91">
        <f t="shared" si="28"/>
        <v>542210.97182933637</v>
      </c>
      <c r="I100" s="92">
        <f t="shared" si="23"/>
        <v>0.86488024407339192</v>
      </c>
      <c r="J100" s="80">
        <f t="shared" si="29"/>
        <v>468947.55765502749</v>
      </c>
      <c r="K100" s="26"/>
      <c r="L100" s="91">
        <f t="shared" si="30"/>
        <v>777220.69666783419</v>
      </c>
      <c r="M100" s="92">
        <f t="shared" si="24"/>
        <v>3.513716705144788</v>
      </c>
      <c r="N100" s="80">
        <f t="shared" si="31"/>
        <v>2730933.3454660391</v>
      </c>
      <c r="O100" s="26"/>
      <c r="P100" s="80">
        <f t="shared" si="25"/>
        <v>3199880.9031210667</v>
      </c>
      <c r="Q100" s="26"/>
    </row>
    <row r="101" spans="2:17">
      <c r="B101" s="27" t="s">
        <v>170</v>
      </c>
      <c r="C101" s="26"/>
      <c r="D101" s="91">
        <f t="shared" si="26"/>
        <v>763599.06560850795</v>
      </c>
      <c r="E101" s="92">
        <f t="shared" si="22"/>
        <v>6.0284259542885836</v>
      </c>
      <c r="F101" s="80">
        <f t="shared" si="27"/>
        <v>4603300.4257848402</v>
      </c>
      <c r="G101" s="26"/>
      <c r="H101" s="91">
        <f t="shared" si="28"/>
        <v>534142.71174645121</v>
      </c>
      <c r="I101" s="92">
        <f t="shared" si="23"/>
        <v>0.87494858554114285</v>
      </c>
      <c r="J101" s="80">
        <f t="shared" si="29"/>
        <v>467347.41011966788</v>
      </c>
      <c r="K101" s="26"/>
      <c r="L101" s="91">
        <f t="shared" si="30"/>
        <v>776299.54943792964</v>
      </c>
      <c r="M101" s="92">
        <f t="shared" si="24"/>
        <v>3.5112885118545241</v>
      </c>
      <c r="N101" s="80">
        <f t="shared" si="31"/>
        <v>2725811.6896992456</v>
      </c>
      <c r="O101" s="26"/>
      <c r="P101" s="80">
        <f t="shared" si="25"/>
        <v>3193159.0998189133</v>
      </c>
      <c r="Q101" s="26"/>
    </row>
    <row r="102" spans="2:17">
      <c r="B102" s="27" t="s">
        <v>171</v>
      </c>
      <c r="C102" s="26"/>
      <c r="D102" s="91">
        <f t="shared" si="26"/>
        <v>779267.91708053672</v>
      </c>
      <c r="E102" s="92">
        <f t="shared" si="22"/>
        <v>6.0021159471859313</v>
      </c>
      <c r="F102" s="80">
        <f t="shared" si="27"/>
        <v>4677256.3922394533</v>
      </c>
      <c r="G102" s="26"/>
      <c r="H102" s="91">
        <f t="shared" si="28"/>
        <v>519003.07890737581</v>
      </c>
      <c r="I102" s="92">
        <f t="shared" si="23"/>
        <v>0.8746080381865845</v>
      </c>
      <c r="J102" s="80">
        <f t="shared" si="29"/>
        <v>453924.26465597708</v>
      </c>
      <c r="K102" s="26"/>
      <c r="L102" s="91">
        <f t="shared" si="30"/>
        <v>800028.96463619056</v>
      </c>
      <c r="M102" s="92">
        <f t="shared" si="24"/>
        <v>3.5142163620369984</v>
      </c>
      <c r="N102" s="80">
        <f t="shared" si="31"/>
        <v>2811474.87762802</v>
      </c>
      <c r="O102" s="26"/>
      <c r="P102" s="80">
        <f t="shared" si="25"/>
        <v>3265399.142283997</v>
      </c>
      <c r="Q102" s="26"/>
    </row>
    <row r="103" spans="2:17">
      <c r="B103" s="27" t="s">
        <v>172</v>
      </c>
      <c r="C103" s="26"/>
      <c r="D103" s="91">
        <f t="shared" si="26"/>
        <v>665805.26796861738</v>
      </c>
      <c r="E103" s="92">
        <f t="shared" si="22"/>
        <v>6.0114095466089639</v>
      </c>
      <c r="F103" s="80">
        <f t="shared" si="27"/>
        <v>4002428.1440490861</v>
      </c>
      <c r="G103" s="26"/>
      <c r="H103" s="91">
        <f t="shared" si="28"/>
        <v>434356.3524659035</v>
      </c>
      <c r="I103" s="92">
        <f t="shared" si="23"/>
        <v>0.87021885027240053</v>
      </c>
      <c r="J103" s="80">
        <f t="shared" si="29"/>
        <v>377985.08565139212</v>
      </c>
      <c r="K103" s="26"/>
      <c r="L103" s="91">
        <f t="shared" si="30"/>
        <v>668303.98008628155</v>
      </c>
      <c r="M103" s="92">
        <f t="shared" si="24"/>
        <v>3.5138907324296782</v>
      </c>
      <c r="N103" s="80">
        <f t="shared" si="31"/>
        <v>2348347.1620710529</v>
      </c>
      <c r="O103" s="26"/>
      <c r="P103" s="80">
        <f t="shared" si="25"/>
        <v>2726332.2477224451</v>
      </c>
      <c r="Q103" s="26"/>
    </row>
    <row r="104" spans="2:17">
      <c r="B104" s="27" t="s">
        <v>173</v>
      </c>
      <c r="C104" s="26"/>
      <c r="D104" s="91">
        <f t="shared" si="26"/>
        <v>551618.78487908479</v>
      </c>
      <c r="E104" s="92">
        <f t="shared" si="22"/>
        <v>6.0052246123006405</v>
      </c>
      <c r="F104" s="80">
        <f t="shared" si="27"/>
        <v>3312594.7035632525</v>
      </c>
      <c r="G104" s="26"/>
      <c r="H104" s="91">
        <f t="shared" si="28"/>
        <v>414059.51233489875</v>
      </c>
      <c r="I104" s="92">
        <f t="shared" si="23"/>
        <v>0.88628434768720743</v>
      </c>
      <c r="J104" s="80">
        <f t="shared" si="29"/>
        <v>366974.46479341894</v>
      </c>
      <c r="K104" s="26"/>
      <c r="L104" s="91">
        <f t="shared" si="30"/>
        <v>569668.32023842051</v>
      </c>
      <c r="M104" s="92">
        <f t="shared" si="24"/>
        <v>3.5136328712255533</v>
      </c>
      <c r="N104" s="80">
        <f t="shared" si="31"/>
        <v>2001605.3356855595</v>
      </c>
      <c r="O104" s="26"/>
      <c r="P104" s="80">
        <f t="shared" si="25"/>
        <v>2368579.8004789785</v>
      </c>
      <c r="Q104" s="26"/>
    </row>
    <row r="105" spans="2:17">
      <c r="B105" s="27" t="s">
        <v>174</v>
      </c>
      <c r="C105" s="26"/>
      <c r="D105" s="91">
        <f t="shared" si="26"/>
        <v>559733.37995698303</v>
      </c>
      <c r="E105" s="92">
        <f t="shared" si="22"/>
        <v>5.9777541879849121</v>
      </c>
      <c r="F105" s="80">
        <f t="shared" si="27"/>
        <v>3345948.5561928055</v>
      </c>
      <c r="G105" s="26"/>
      <c r="H105" s="91">
        <f t="shared" si="28"/>
        <v>378872.11479840404</v>
      </c>
      <c r="I105" s="92">
        <f t="shared" si="23"/>
        <v>0.85566969387034397</v>
      </c>
      <c r="J105" s="80">
        <f t="shared" si="29"/>
        <v>324189.38648556022</v>
      </c>
      <c r="K105" s="26"/>
      <c r="L105" s="91">
        <f t="shared" si="30"/>
        <v>544360.08531164122</v>
      </c>
      <c r="M105" s="92">
        <f t="shared" si="24"/>
        <v>3.5197958317821483</v>
      </c>
      <c r="N105" s="80">
        <f t="shared" si="31"/>
        <v>1916036.3592684893</v>
      </c>
      <c r="O105" s="26"/>
      <c r="P105" s="80">
        <f t="shared" si="25"/>
        <v>2240225.7457540496</v>
      </c>
      <c r="Q105" s="26"/>
    </row>
    <row r="106" spans="2:17">
      <c r="B106" s="27" t="s">
        <v>175</v>
      </c>
      <c r="C106" s="26"/>
      <c r="D106" s="91">
        <f t="shared" si="26"/>
        <v>594625.52391997422</v>
      </c>
      <c r="E106" s="92">
        <f t="shared" si="22"/>
        <v>5.9905122114811844</v>
      </c>
      <c r="F106" s="80">
        <f t="shared" si="27"/>
        <v>3562111.4623010028</v>
      </c>
      <c r="G106" s="26"/>
      <c r="H106" s="91">
        <f t="shared" si="28"/>
        <v>437106.50330058171</v>
      </c>
      <c r="I106" s="92">
        <f t="shared" si="23"/>
        <v>0.86597704065047509</v>
      </c>
      <c r="J106" s="80">
        <f t="shared" si="29"/>
        <v>378524.19617731485</v>
      </c>
      <c r="K106" s="26"/>
      <c r="L106" s="91">
        <f t="shared" si="30"/>
        <v>599840.2552036813</v>
      </c>
      <c r="M106" s="92">
        <f t="shared" si="24"/>
        <v>3.5169607026831913</v>
      </c>
      <c r="N106" s="80">
        <f t="shared" si="31"/>
        <v>2109614.6054388038</v>
      </c>
      <c r="O106" s="26"/>
      <c r="P106" s="80">
        <f t="shared" si="25"/>
        <v>2488138.8016161188</v>
      </c>
      <c r="Q106" s="26"/>
    </row>
    <row r="107" spans="2:17">
      <c r="B107" s="26"/>
      <c r="C107" s="26"/>
      <c r="D107" s="26"/>
      <c r="E107" s="26"/>
      <c r="F107" s="26"/>
      <c r="G107" s="26"/>
      <c r="H107" s="26"/>
      <c r="I107" s="26"/>
      <c r="J107" s="26"/>
      <c r="K107" s="26"/>
      <c r="L107" s="26"/>
      <c r="M107" s="26"/>
      <c r="N107" s="26"/>
      <c r="O107" s="26"/>
      <c r="P107" s="80"/>
      <c r="Q107" s="26"/>
    </row>
    <row r="108" spans="2:17" ht="13.9" thickBot="1">
      <c r="B108" s="74" t="s">
        <v>146</v>
      </c>
      <c r="C108" s="26"/>
      <c r="D108" s="81">
        <f>SUM(D95:D106)</f>
        <v>7535530.4996021688</v>
      </c>
      <c r="E108" s="82">
        <f>IF(D108&lt;&gt;0,F108/D108,0)</f>
        <v>5.9976961206778405</v>
      </c>
      <c r="F108" s="83">
        <f>SUM(F95:F106)</f>
        <v>45195822.044713475</v>
      </c>
      <c r="G108" s="26"/>
      <c r="H108" s="81">
        <f>SUM(H95:H106)</f>
        <v>5226089.4957480272</v>
      </c>
      <c r="I108" s="82">
        <f>IF(H108&lt;&gt;0,J108/H108,0)</f>
        <v>0.86330990657763274</v>
      </c>
      <c r="J108" s="83">
        <f>SUM(J95:J106)</f>
        <v>4511734.834340577</v>
      </c>
      <c r="K108" s="26"/>
      <c r="L108" s="81">
        <f>SUM(L95:L106)</f>
        <v>7708111.0287664058</v>
      </c>
      <c r="M108" s="82">
        <f>IF(L108&lt;&gt;0,N108/L108,0)</f>
        <v>3.5150743328243541</v>
      </c>
      <c r="N108" s="83">
        <f>SUM(N95:N106)</f>
        <v>27094583.23177712</v>
      </c>
      <c r="O108" s="26"/>
      <c r="P108" s="83">
        <f>SUM(P95:P106)</f>
        <v>31606318.066117704</v>
      </c>
      <c r="Q108" s="26"/>
    </row>
    <row r="109" spans="2:17">
      <c r="P109" s="80"/>
    </row>
    <row r="110" spans="2:17">
      <c r="M110" s="93"/>
      <c r="N110" s="94" t="s">
        <v>180</v>
      </c>
      <c r="P110" s="95">
        <v>0</v>
      </c>
    </row>
    <row r="112" spans="2:17" ht="13.9" thickBot="1">
      <c r="N112" s="96" t="s">
        <v>181</v>
      </c>
      <c r="P112" s="83">
        <f>P108+P110</f>
        <v>31606318.066117704</v>
      </c>
    </row>
  </sheetData>
  <mergeCells count="19">
    <mergeCell ref="D91:F91"/>
    <mergeCell ref="H91:J91"/>
    <mergeCell ref="L91:N91"/>
    <mergeCell ref="D92:F92"/>
    <mergeCell ref="H92:J92"/>
    <mergeCell ref="L92:N92"/>
    <mergeCell ref="D53:F53"/>
    <mergeCell ref="H53:J53"/>
    <mergeCell ref="L53:N53"/>
    <mergeCell ref="D72:F72"/>
    <mergeCell ref="H72:J72"/>
    <mergeCell ref="L72:N72"/>
    <mergeCell ref="B13:P13"/>
    <mergeCell ref="D16:F16"/>
    <mergeCell ref="H16:J16"/>
    <mergeCell ref="L16:N16"/>
    <mergeCell ref="D34:F34"/>
    <mergeCell ref="H34:J34"/>
    <mergeCell ref="L34:N3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6a95137c-d42e-468e-9f88-48056057fa51">Ready to be Filed</Status>
    <HasExcelAttachment xmlns="6a95137c-d42e-468e-9f88-48056057fa51">false</HasExcelAttachment>
    <MunishStatus xmlns="6a95137c-d42e-468e-9f88-48056057fa51">N/A</MunishStatus>
    <TorysCounsel xmlns="6a95137c-d42e-468e-9f88-48056057fa51">
      <Value>N/A</Value>
    </TorysCounsel>
    <CrossReference xmlns="6a95137c-d42e-468e-9f88-48056057fa51" xsi:nil="true"/>
    <Issue_x002f_Theme xmlns="6a95137c-d42e-468e-9f88-48056057fa51" xsi:nil="true"/>
    <Attachment xmlns="6a95137c-d42e-468e-9f88-48056057fa51">false</Attachment>
    <ZubairStatus xmlns="6a95137c-d42e-468e-9f88-48056057fa51">N/A</ZubairStatus>
    <ExhibitRef xmlns="6a95137c-d42e-468e-9f88-48056057fa51" xsi:nil="true"/>
    <BBA_DRP xmlns="6a95137c-d42e-468e-9f88-48056057fa51">
      <UserInfo>
        <DisplayName/>
        <AccountId xsi:nil="true"/>
        <AccountType/>
      </UserInfo>
    </BBA_DRP>
    <AnchorIRR xmlns="6a95137c-d42e-468e-9f88-48056057fa51">false</AnchorIRR>
    <StatusNotes xmlns="6a95137c-d42e-468e-9f88-48056057fa51" xsi:nil="true"/>
    <KristonStatus xmlns="6a95137c-d42e-468e-9f88-48056057fa51">N/A</KristonStatus>
    <CynthiaStatus xmlns="6a95137c-d42e-468e-9f88-48056057fa51">N/A</CynthiaStatus>
    <IRR xmlns="6a95137c-d42e-468e-9f88-48056057fa51">false</IRR>
    <ABlairStatus xmlns="6a95137c-d42e-468e-9f88-48056057fa51">Witness sign-off</ABlairStatus>
    <Round2Topic xmlns="6a95137c-d42e-468e-9f88-48056057fa51">false</Round2Topic>
    <IRR_x0020_Label xmlns="6a95137c-d42e-468e-9f88-48056057fa51" xsi:nil="true"/>
    <Intervenor xmlns="6a95137c-d42e-468e-9f88-48056057fa51">VECC</Intervenor>
    <UsmanStatus xmlns="6a95137c-d42e-468e-9f88-48056057fa51">N/A</UsmanStatus>
    <S_x002e_VetsisStatus xmlns="6a95137c-d42e-468e-9f88-48056057fa51">N/A</S_x002e_VetsisStatus>
    <Strategic_x003f_ xmlns="6a95137c-d42e-468e-9f88-48056057fa51">false</Strategic_x003f_>
    <S_x002e_SheehyStatus xmlns="6a95137c-d42e-468e-9f88-48056057fa51">N/A</S_x002e_SheehyStatus>
    <Ex_x002e_ xmlns="6a95137c-d42e-468e-9f88-48056057fa51">Ex 1</Ex_x002e_>
    <LincolnStatus xmlns="6a95137c-d42e-468e-9f88-48056057fa51">N/A</LincolnStatus>
    <BBA_Comments xmlns="6a95137c-d42e-468e-9f88-48056057fa51" xsi:nil="true"/>
    <RegContact xmlns="6a95137c-d42e-468e-9f88-48056057fa51" xsi:nil="true"/>
    <SaadStatus xmlns="6a95137c-d42e-468e-9f88-48056057fa51">N/A</SaadStatus>
    <Witness_x0028_es_x0029_ xmlns="6a95137c-d42e-468e-9f88-48056057fa51" xsi:nil="true"/>
    <GlenWinn xmlns="6a95137c-d42e-468e-9f88-48056057fa51">
      <UserInfo>
        <DisplayName/>
        <AccountId xsi:nil="true"/>
        <AccountType/>
      </UserInfo>
    </GlenWinn>
    <FinanceInputs_x002f_Validation xmlns="6a95137c-d42e-468e-9f88-48056057fa51">N/A</FinanceInputs_x002f_Validation>
    <Confidential xmlns="6a95137c-d42e-468e-9f88-48056057fa51">N/A</Confidential>
    <SME_x0028_s_x0029_ xmlns="6a95137c-d42e-468e-9f88-48056057fa51" xsi:nil="true"/>
    <BradStatus xmlns="6a95137c-d42e-468e-9f88-48056057fa51">N/A</BradStatus>
    <SamStatus xmlns="6a95137c-d42e-468e-9f88-48056057fa51">N/A</SamStatus>
    <ErinIntervention xmlns="6a95137c-d42e-468e-9f88-48056057fa51">false</ErinIntervention>
    <GeneralNotes xmlns="6a95137c-d42e-468e-9f88-48056057fa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167192D49BE74B8E487B64E9012969" ma:contentTypeVersion="46" ma:contentTypeDescription="Create a new document." ma:contentTypeScope="" ma:versionID="2ab638d31771d19a9d2060fda2accbc0">
  <xsd:schema xmlns:xsd="http://www.w3.org/2001/XMLSchema" xmlns:xs="http://www.w3.org/2001/XMLSchema" xmlns:p="http://schemas.microsoft.com/office/2006/metadata/properties" xmlns:ns2="6a95137c-d42e-468e-9f88-48056057fa51" targetNamespace="http://schemas.microsoft.com/office/2006/metadata/properties" ma:root="true" ma:fieldsID="cec26060faadc0b2fed06678648fdcf9" ns2:_="">
    <xsd:import namespace="6a95137c-d42e-468e-9f88-48056057fa51"/>
    <xsd:element name="properties">
      <xsd:complexType>
        <xsd:sequence>
          <xsd:element name="documentManagement">
            <xsd:complexType>
              <xsd:all>
                <xsd:element ref="ns2:IRR_x0020_Label" minOccurs="0"/>
                <xsd:element ref="ns2:Status" minOccurs="0"/>
                <xsd:element ref="ns2:Strategic_x003f_" minOccurs="0"/>
                <xsd:element ref="ns2:Witness_x0028_es_x0029_" minOccurs="0"/>
                <xsd:element ref="ns2:FinanceInputs_x002f_Validation" minOccurs="0"/>
                <xsd:element ref="ns2:Confidential" minOccurs="0"/>
                <xsd:element ref="ns2:TorysCounsel" minOccurs="0"/>
                <xsd:element ref="ns2:AnchorIRR" minOccurs="0"/>
                <xsd:element ref="ns2:CrossReference" minOccurs="0"/>
                <xsd:element ref="ns2:HasExcelAttachment" minOccurs="0"/>
                <xsd:element ref="ns2:RegContact" minOccurs="0"/>
                <xsd:element ref="ns2:Round2Topic" minOccurs="0"/>
                <xsd:element ref="ns2:Issue_x002f_Theme" minOccurs="0"/>
                <xsd:element ref="ns2:MediaServiceMetadata" minOccurs="0"/>
                <xsd:element ref="ns2:MediaServiceFastMetadata" minOccurs="0"/>
                <xsd:element ref="ns2:MediaServiceSearchProperties" minOccurs="0"/>
                <xsd:element ref="ns2:SME_x0028_s_x0029_" minOccurs="0"/>
                <xsd:element ref="ns2:Intervenor" minOccurs="0"/>
                <xsd:element ref="ns2:S_x002e_SheehyStatus" minOccurs="0"/>
                <xsd:element ref="ns2:UsmanStatus" minOccurs="0"/>
                <xsd:element ref="ns2:SaadStatus" minOccurs="0"/>
                <xsd:element ref="ns2:SamStatus" minOccurs="0"/>
                <xsd:element ref="ns2:MunishStatus" minOccurs="0"/>
                <xsd:element ref="ns2:LincolnStatus" minOccurs="0"/>
                <xsd:element ref="ns2:KristonStatus" minOccurs="0"/>
                <xsd:element ref="ns2:BradStatus" minOccurs="0"/>
                <xsd:element ref="ns2:S_x002e_VetsisStatus" minOccurs="0"/>
                <xsd:element ref="ns2:CynthiaStatus" minOccurs="0"/>
                <xsd:element ref="ns2:ZubairStatus" minOccurs="0"/>
                <xsd:element ref="ns2:ExhibitRef" minOccurs="0"/>
                <xsd:element ref="ns2:Ex_x002e_" minOccurs="0"/>
                <xsd:element ref="ns2:BBA_DRP" minOccurs="0"/>
                <xsd:element ref="ns2:ErinIntervention" minOccurs="0"/>
                <xsd:element ref="ns2:Attachment" minOccurs="0"/>
                <xsd:element ref="ns2:GlenWinn" minOccurs="0"/>
                <xsd:element ref="ns2:StatusNotes" minOccurs="0"/>
                <xsd:element ref="ns2:GeneralNotes" minOccurs="0"/>
                <xsd:element ref="ns2:MediaServiceBillingMetadata" minOccurs="0"/>
                <xsd:element ref="ns2:BBA_Comments" minOccurs="0"/>
                <xsd:element ref="ns2:IRR" minOccurs="0"/>
                <xsd:element ref="ns2:ABlair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5137c-d42e-468e-9f88-48056057fa51" elementFormDefault="qualified">
    <xsd:import namespace="http://schemas.microsoft.com/office/2006/documentManagement/types"/>
    <xsd:import namespace="http://schemas.microsoft.com/office/infopath/2007/PartnerControls"/>
    <xsd:element name="IRR_x0020_Label" ma:index="1" nillable="true" ma:displayName="IRR Label" ma:description="Exhibit-Intervenor-#" ma:internalName="IRR_x0020_Label">
      <xsd:simpleType>
        <xsd:restriction base="dms:Text">
          <xsd:maxLength value="255"/>
        </xsd:restriction>
      </xsd:simpleType>
    </xsd:element>
    <xsd:element name="Status" ma:index="2" nillable="true" ma:displayName="Main Status (REG ONLY)" ma:default="Drafting stage" ma:description="Stage of production" ma:format="Dropdown" ma:internalName="Status">
      <xsd:simpleType>
        <xsd:restriction base="dms:Choice">
          <xsd:enumeration value="Drafting stage"/>
          <xsd:enumeration value="Draft - ready for Reg review"/>
          <xsd:enumeration value="Witness signed off"/>
          <xsd:enumeration value="Final - To be redacted"/>
          <xsd:enumeration value="Final - Ready for PDF"/>
          <xsd:enumeration value="Torys review required"/>
          <xsd:enumeration value="Torys review complete"/>
          <xsd:enumeration value="ERIN or Στέφανος to review"/>
          <xsd:enumeration value="Reg review complete - ready for sign off"/>
          <xsd:enumeration value="Deferred to Round 2"/>
        </xsd:restriction>
      </xsd:simpleType>
    </xsd:element>
    <xsd:element name="Strategic_x003f_" ma:index="3" nillable="true" ma:displayName="Strategic?" ma:default="0" ma:description="IRRs that require legal review, tie to broader issues, and/or bear risk due to questions asked" ma:format="Dropdown" ma:internalName="Strategic_x003f_">
      <xsd:simpleType>
        <xsd:restriction base="dms:Boolean"/>
      </xsd:simpleType>
    </xsd:element>
    <xsd:element name="Witness_x0028_es_x0029_" ma:index="4" nillable="true" ma:displayName="Witness(es)" ma:description="All Witnesses responsible for approving responses" ma:format="Dropdown" ma:internalName="Witness_x0028_es_x0029_">
      <xsd:complexType>
        <xsd:complexContent>
          <xsd:extension base="dms:MultiChoice">
            <xsd:sequence>
              <xsd:element name="Value" maxOccurs="unbounded" minOccurs="0" nillable="true">
                <xsd:simpleType>
                  <xsd:restriction base="dms:Choice">
                    <xsd:enumeration value="Cynthia"/>
                    <xsd:enumeration value="Zubair"/>
                    <xsd:enumeration value="S. Sheehy"/>
                    <xsd:enumeration value="S. Vetsis"/>
                    <xsd:enumeration value="Sam"/>
                    <xsd:enumeration value="Usman"/>
                    <xsd:enumeration value="Saad"/>
                    <xsd:enumeration value="Munish"/>
                    <xsd:enumeration value="Kriston"/>
                    <xsd:enumeration value="Lincoln"/>
                    <xsd:enumeration value="Brad"/>
                    <xsd:enumeration value="A. Blair"/>
                    <xsd:enumeration value="S. Fenrick (SV)"/>
                    <xsd:enumeration value="Not Yet Assigned"/>
                  </xsd:restriction>
                </xsd:simpleType>
              </xsd:element>
            </xsd:sequence>
          </xsd:extension>
        </xsd:complexContent>
      </xsd:complexType>
    </xsd:element>
    <xsd:element name="FinanceInputs_x002f_Validation" ma:index="5" nillable="true" ma:displayName="Finance Inputs/Validation" ma:default="N/A" ma:description="Response requires data from Finance, or Finance review and validation" ma:format="Dropdown" ma:internalName="FinanceInputs_x002f_Validation">
      <xsd:simpleType>
        <xsd:restriction base="dms:Choice">
          <xsd:enumeration value="Finance review or inputs outstanding"/>
          <xsd:enumeration value="Ready for Finance review"/>
          <xsd:enumeration value="Finance review/input complete"/>
          <xsd:enumeration value="N/A"/>
        </xsd:restriction>
      </xsd:simpleType>
    </xsd:element>
    <xsd:element name="Confidential" ma:index="6" nillable="true" ma:displayName="Confidential" ma:default="N/A" ma:description="Stage of confidentiality for those requiring that treatment" ma:format="Dropdown" ma:internalName="Confidential">
      <xsd:simpleType>
        <xsd:restriction base="dms:Choice">
          <xsd:enumeration value="Possibly Confidential - Internal review required"/>
          <xsd:enumeration value="Confidential - Redactions needed"/>
          <xsd:enumeration value="Confidential - Proposed redactions ready"/>
          <xsd:enumeration value="Confidential - Torys review required"/>
          <xsd:enumeration value="Confidential - Elexicon input required"/>
          <xsd:enumeration value="Confidential - Ready - Marked-up version"/>
          <xsd:enumeration value="Confidential - Ready - Public version"/>
          <xsd:enumeration value="N/A"/>
          <xsd:enumeration value="Reviewed - Confirmed not confidential"/>
        </xsd:restriction>
      </xsd:simpleType>
    </xsd:element>
    <xsd:element name="TorysCounsel" ma:index="7" nillable="true" ma:displayName="Torys' Counsel" ma:default="N/A" ma:description="Name of lawyer" ma:format="Dropdown" ma:internalName="TorysCounsel">
      <xsd:complexType>
        <xsd:complexContent>
          <xsd:extension base="dms:MultiChoice">
            <xsd:sequence>
              <xsd:element name="Value" maxOccurs="unbounded" minOccurs="0" nillable="true">
                <xsd:simpleType>
                  <xsd:restriction base="dms:Choice">
                    <xsd:enumeration value="Daliana"/>
                    <xsd:enumeration value="Daniel"/>
                    <xsd:enumeration value="Meghan"/>
                    <xsd:enumeration value="Arlen"/>
                    <xsd:enumeration value="Jonathan"/>
                    <xsd:enumeration value="N/A"/>
                  </xsd:restriction>
                </xsd:simpleType>
              </xsd:element>
            </xsd:sequence>
          </xsd:extension>
        </xsd:complexContent>
      </xsd:complexType>
    </xsd:element>
    <xsd:element name="AnchorIRR" ma:index="8" nillable="true" ma:displayName="Anchor IRR" ma:default="0" ma:description="Identifies IRRs that address key topics and are cite in other IR responses" ma:format="Dropdown" ma:internalName="AnchorIRR">
      <xsd:simpleType>
        <xsd:restriction base="dms:Boolean"/>
      </xsd:simpleType>
    </xsd:element>
    <xsd:element name="CrossReference" ma:index="9" nillable="true" ma:displayName="Cross Reference" ma:description="Captures duplicative or related IRRs to Anchor responses" ma:format="Dropdown" ma:internalName="CrossReference">
      <xsd:simpleType>
        <xsd:restriction base="dms:Note">
          <xsd:maxLength value="255"/>
        </xsd:restriction>
      </xsd:simpleType>
    </xsd:element>
    <xsd:element name="HasExcelAttachment" ma:index="10" nillable="true" ma:displayName="Has Excel Attachment" ma:default="0" ma:description="Identifies IRRs that have Excel attachments that need to be reviewed by the Witness" ma:format="Dropdown" ma:internalName="HasExcelAttachment">
      <xsd:simpleType>
        <xsd:restriction base="dms:Boolean"/>
      </xsd:simpleType>
    </xsd:element>
    <xsd:element name="RegContact" ma:index="11" nillable="true" ma:displayName="Reg Contact" ma:description="Regulatory team member responsible for project management / review" ma:format="Dropdown" ma:internalName="RegContact">
      <xsd:complexType>
        <xsd:complexContent>
          <xsd:extension base="dms:MultiChoice">
            <xsd:sequence>
              <xsd:element name="Value" maxOccurs="unbounded" minOccurs="0" nillable="true">
                <xsd:simpleType>
                  <xsd:restriction base="dms:Choice">
                    <xsd:enumeration value="Carlisle"/>
                    <xsd:enumeration value="Jeff"/>
                    <xsd:enumeration value="Susan"/>
                    <xsd:enumeration value="Erin"/>
                    <xsd:enumeration value="Not Yet Assigned"/>
                  </xsd:restriction>
                </xsd:simpleType>
              </xsd:element>
            </xsd:sequence>
          </xsd:extension>
        </xsd:complexContent>
      </xsd:complexType>
    </xsd:element>
    <xsd:element name="Round2Topic" ma:index="12" nillable="true" ma:displayName="Round 2 Topic" ma:default="0" ma:description="IRRs that relate to evidence update items and should be deferred to the second round. " ma:format="Dropdown" ma:internalName="Round2Topic">
      <xsd:simpleType>
        <xsd:restriction base="dms:Boolean"/>
      </xsd:simpleType>
    </xsd:element>
    <xsd:element name="Issue_x002f_Theme" ma:index="13" nillable="true" ma:displayName="Issue/Theme" ma:description="Tag issue/theme to ensure alignment across multiple IRRs" ma:format="Dropdown" ma:internalName="Issue_x002f_Theme">
      <xsd:complexType>
        <xsd:complexContent>
          <xsd:extension base="dms:MultiChoiceFillIn">
            <xsd:sequence>
              <xsd:element name="Value" maxOccurs="unbounded" minOccurs="0" nillable="true">
                <xsd:simpleType>
                  <xsd:union memberTypes="dms:Text">
                    <xsd:simpleType>
                      <xsd:restriction base="dms:Choice">
                        <xsd:enumeration value="Synergies"/>
                        <xsd:enumeration value="Merger"/>
                        <xsd:enumeration value="Productivity and Efficiency"/>
                        <xsd:enumeration value="Modernization and/or Dx NEXT"/>
                        <xsd:enumeration value="Rate Framework and Clearspring"/>
                        <xsd:enumeration value="Stretch Factor"/>
                        <xsd:enumeration value="Inflation"/>
                        <xsd:enumeration value="Benchmarking"/>
                        <xsd:enumeration value="Investment Planning"/>
                        <xsd:enumeration value="Customer Growth"/>
                        <xsd:enumeration value="Stations Investments"/>
                        <xsd:enumeration value="Reactive Captial"/>
                        <xsd:enumeration value="Customer Engagement"/>
                        <xsd:enumeration value="Reliability"/>
                        <xsd:enumeration value="eDSM"/>
                        <xsd:enumeration value="Capacity and Load Forecast"/>
                        <xsd:enumeration value="Asset Condition and ACA"/>
                        <xsd:enumeration value="Execution and Contractors"/>
                        <xsd:enumeration value="NWS and DERs"/>
                        <xsd:enumeration value="DVAs"/>
                        <xsd:enumeration value="New DVAs"/>
                        <xsd:enumeration value="Workforce and Compensation"/>
                        <xsd:enumeration value="Shared Services"/>
                        <xsd:enumeration value="Letters of Comment"/>
                        <xsd:enumeration value="RRWF"/>
                        <xsd:enumeration value="Chapter 2 Appendices"/>
                        <xsd:enumeration value="Application Costs"/>
                        <xsd:enumeration value="Historical ISA"/>
                      </xsd:restriction>
                    </xsd:simpleType>
                  </xsd:union>
                </xsd:simpleType>
              </xsd:element>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SME_x0028_s_x0029_" ma:index="24" nillable="true" ma:displayName="SME(s)" ma:description="Magda Sulzycki" ma:format="Dropdown" ma:internalName="SME_x0028_s_x0029_">
      <xsd:simpleType>
        <xsd:restriction base="dms:Text">
          <xsd:maxLength value="255"/>
        </xsd:restriction>
      </xsd:simpleType>
    </xsd:element>
    <xsd:element name="Intervenor" ma:index="25" nillable="true" ma:displayName="Intervenor" ma:description="Acronym identifying Intervenor" ma:format="Dropdown" ma:internalName="Intervenor">
      <xsd:simpleType>
        <xsd:restriction base="dms:Choice">
          <xsd:enumeration value="OEB Staff"/>
          <xsd:enumeration value="BOMA"/>
          <xsd:enumeration value="CCMBC"/>
          <xsd:enumeration value="CCC"/>
          <xsd:enumeration value="DRC"/>
          <xsd:enumeration value="Energy Probe"/>
          <xsd:enumeration value="Pollution Probe"/>
          <xsd:enumeration value="PWU"/>
          <xsd:enumeration value="QMA"/>
          <xsd:enumeration value="SEC"/>
          <xsd:enumeration value="VECC"/>
          <xsd:enumeration value="N/A"/>
        </xsd:restriction>
      </xsd:simpleType>
    </xsd:element>
    <xsd:element name="S_x002e_SheehyStatus" ma:index="26" nillable="true" ma:displayName="S. Sheehy Status" ma:default="N/A" ma:format="Dropdown" ma:internalName="S_x002e_Sheehy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UsmanStatus" ma:index="27" nillable="true" ma:displayName="Usman Status" ma:default="N/A" ma:format="Dropdown" ma:internalName="Usma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adStatus" ma:index="28" nillable="true" ma:displayName="Saad Status" ma:default="N/A" ma:format="Dropdown" ma:internalName="Sa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mStatus" ma:index="29" nillable="true" ma:displayName="Sam Status" ma:default="N/A" ma:format="Dropdown" ma:internalName="Sam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MunishStatus" ma:index="30" nillable="true" ma:displayName="Munish Status" ma:default="N/A" ma:format="Dropdown" ma:internalName="Munish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LincolnStatus" ma:index="31" nillable="true" ma:displayName="Lincoln Status" ma:default="N/A" ma:format="Dropdown" ma:internalName="Lincol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KristonStatus" ma:index="32" nillable="true" ma:displayName="Kriston Status" ma:default="N/A" ma:format="Dropdown" ma:internalName="Kristo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BradStatus" ma:index="33" nillable="true" ma:displayName="Brad Status" ma:default="N/A" ma:format="Dropdown" ma:internalName="Br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_x002e_VetsisStatus" ma:index="34" nillable="true" ma:displayName="Στέφανος" ma:default="N/A" ma:format="Dropdown" ma:internalName="S_x002e_Vetsis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CynthiaStatus" ma:index="35" nillable="true" ma:displayName="Cynthia Status" ma:default="N/A" ma:format="Dropdown" ma:internalName="Cynthia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ady for sign-off"/>
          <xsd:enumeration value="Witness signed off"/>
          <xsd:enumeration value="N/A"/>
        </xsd:restriction>
      </xsd:simpleType>
    </xsd:element>
    <xsd:element name="ZubairStatus" ma:index="36" nillable="true" ma:displayName="Zubair Status" ma:default="N/A" ma:format="Dropdown" ma:internalName="Zubair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ExhibitRef" ma:index="37" nillable="true" ma:displayName="Exhibit Ref" ma:format="Dropdown" ma:internalName="ExhibitRef">
      <xsd:simpleType>
        <xsd:restriction base="dms:Text">
          <xsd:maxLength value="255"/>
        </xsd:restriction>
      </xsd:simpleType>
    </xsd:element>
    <xsd:element name="Ex_x002e_" ma:index="38" nillable="true" ma:displayName="Ex." ma:default="Ex 1" ma:format="RadioButtons" ma:internalName="Ex_x002e_">
      <xsd:simpleType>
        <xsd:restriction base="dms:Choice">
          <xsd:enumeration value="Ex 1"/>
          <xsd:enumeration value="Ex 2"/>
          <xsd:enumeration value="Ex 3"/>
          <xsd:enumeration value="Ex 4"/>
          <xsd:enumeration value="Ex 5"/>
          <xsd:enumeration value="Ex 6"/>
          <xsd:enumeration value="Ex 7"/>
          <xsd:enumeration value="Ex 8"/>
          <xsd:enumeration value="Ex 9"/>
          <xsd:enumeration value="Ex 10"/>
        </xsd:restriction>
      </xsd:simpleType>
    </xsd:element>
    <xsd:element name="BBA_DRP" ma:index="39" nillable="true" ma:displayName="BBA_DRP" ma:format="Dropdown" ma:list="UserInfo" ma:SharePointGroup="0" ma:internalName="BBA_DR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nIntervention" ma:index="40" nillable="true" ma:displayName="Erin Intervention" ma:default="0" ma:format="Dropdown" ma:internalName="ErinIntervention">
      <xsd:simpleType>
        <xsd:restriction base="dms:Boolean"/>
      </xsd:simpleType>
    </xsd:element>
    <xsd:element name="Attachment" ma:index="41" nillable="true" ma:displayName="Attachment" ma:default="0" ma:format="Dropdown" ma:internalName="Attachment">
      <xsd:simpleType>
        <xsd:restriction base="dms:Boolean"/>
      </xsd:simpleType>
    </xsd:element>
    <xsd:element name="GlenWinn" ma:index="42" nillable="true" ma:displayName="Glen Winn" ma:format="Dropdown" ma:list="UserInfo" ma:SharePointGroup="0" ma:internalName="GlenWin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Notes" ma:index="43" nillable="true" ma:displayName="Status Notes" ma:format="Dropdown" ma:internalName="StatusNotes">
      <xsd:simpleType>
        <xsd:restriction base="dms:Note">
          <xsd:maxLength value="255"/>
        </xsd:restriction>
      </xsd:simpleType>
    </xsd:element>
    <xsd:element name="GeneralNotes" ma:index="44" nillable="true" ma:displayName="General Notes" ma:description="General notes to aid in completion of IRs" ma:format="Dropdown" ma:internalName="GeneralNotes">
      <xsd:simpleType>
        <xsd:restriction base="dms:Note">
          <xsd:maxLength value="255"/>
        </xsd:restriction>
      </xsd:simpleType>
    </xsd:element>
    <xsd:element name="MediaServiceBillingMetadata" ma:index="45" nillable="true" ma:displayName="MediaServiceBillingMetadata" ma:hidden="true" ma:internalName="MediaServiceBillingMetadata" ma:readOnly="true">
      <xsd:simpleType>
        <xsd:restriction base="dms:Note"/>
      </xsd:simpleType>
    </xsd:element>
    <xsd:element name="BBA_Comments" ma:index="46" nillable="true" ma:displayName="BBA_Comments" ma:format="Dropdown" ma:internalName="BBA_Comments">
      <xsd:simpleType>
        <xsd:restriction base="dms:Note">
          <xsd:maxLength value="255"/>
        </xsd:restriction>
      </xsd:simpleType>
    </xsd:element>
    <xsd:element name="IRR" ma:index="47" nillable="true" ma:displayName="Item (not IRR)" ma:default="0" ma:format="Dropdown" ma:internalName="IRR">
      <xsd:simpleType>
        <xsd:restriction base="dms:Boolean"/>
      </xsd:simpleType>
    </xsd:element>
    <xsd:element name="ABlairStatus" ma:index="48" nillable="true" ma:displayName="A Blair Status" ma:default="N/A" ma:format="Dropdown" ma:internalName="ABlairStatus">
      <xsd:simpleType>
        <xsd:restriction base="dms:Choice">
          <xsd:enumeration value="Draft - with DRP"/>
          <xsd:enumeration value="Draft - Ready for Review"/>
          <xsd:enumeration value="DRP/SME input required"/>
          <xsd:enumeration value="Revised draft - with DRP"/>
          <xsd:enumeration value="Revised draft ready for review"/>
          <xsd:enumeration value="Reg done ready for Witness Sign-off"/>
          <xsd:enumeration value="Witness sign-off"/>
          <xsd:enumeration value="AB done - ready for SK"/>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0AB553-3B88-43B5-9B67-9E434DD7F604}"/>
</file>

<file path=customXml/itemProps2.xml><?xml version="1.0" encoding="utf-8"?>
<ds:datastoreItem xmlns:ds="http://schemas.openxmlformats.org/officeDocument/2006/customXml" ds:itemID="{4A4F4A8E-2AFA-46F1-AC60-0963D324BBDC}"/>
</file>

<file path=customXml/itemProps3.xml><?xml version="1.0" encoding="utf-8"?>
<ds:datastoreItem xmlns:ds="http://schemas.openxmlformats.org/officeDocument/2006/customXml" ds:itemID="{F9B7B1A3-78FC-4EC4-9451-393BCCCCA3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Blair</dc:creator>
  <cp:keywords/>
  <dc:description/>
  <cp:lastModifiedBy>Andrew Hermans</cp:lastModifiedBy>
  <cp:revision/>
  <dcterms:created xsi:type="dcterms:W3CDTF">2025-08-22T17:46:52Z</dcterms:created>
  <dcterms:modified xsi:type="dcterms:W3CDTF">2026-05-08T13:30:15Z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0x01010078167192D49BE74B8E487B64E9012969</vt:lpwstr>
  </property>
  <property fmtid="{D5CDD505-2E9C-101B-9397-08002B2CF9AE}" pid="3" name="MediaServiceImageTags">
    <vt:lpwstr/>
  </property>
</Properties>
</file>