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I:\OEB APPLICATION\EB-2025-0297 COS\Interrogatories - Working Folder\Documents to be filed May 20 2026\Staff Expert Set\"/>
    </mc:Choice>
  </mc:AlternateContent>
  <xr:revisionPtr revIDLastSave="0" documentId="8_{5A645EA9-3721-46C4-BC21-40945973D87A}" xr6:coauthVersionLast="47" xr6:coauthVersionMax="47" xr10:uidLastSave="{00000000-0000-0000-0000-000000000000}"/>
  <bookViews>
    <workbookView xWindow="28680" yWindow="-120" windowWidth="29040" windowHeight="15720" tabRatio="903" xr2:uid="{00000000-000D-0000-FFFF-FFFF00000000}"/>
  </bookViews>
  <sheets>
    <sheet name="I-factor weights" sheetId="31" r:id="rId1"/>
    <sheet name="TFP_Calcs" sheetId="12" r:id="rId2"/>
    <sheet name="TFP_dataset" sheetId="2" r:id="rId3"/>
    <sheet name="OPG hydro peers" sheetId="5" r:id="rId4"/>
    <sheet name="NA comb O&amp;M price indexes" sheetId="26" r:id="rId5"/>
    <sheet name="Can O&amp;M price indexes" sheetId="3" r:id="rId6"/>
    <sheet name="US O&amp;M price indexes" sheetId="24" r:id="rId7"/>
    <sheet name="EUCG L share" sheetId="23" r:id="rId8"/>
    <sheet name="StatsCan CANSIM tables" sheetId="4" r:id="rId9"/>
    <sheet name="US BLS &amp; BEA tables" sheetId="25" r:id="rId10"/>
  </sheets>
  <definedNames>
    <definedName name="_xlnm._FilterDatabase" localSheetId="1" hidden="1">TFP_Calcs!$B$5:$J$17</definedName>
    <definedName name="_xlnm._FilterDatabase" localSheetId="2" hidden="1">TFP_dataset!$D$4:$F$4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TFP_Calcs!$A$1:$K$196</definedName>
    <definedName name="_xlnm.Print_Area" localSheetId="2">TFP_dataset!$B$2:$T$510</definedName>
    <definedName name="TableName">"Dummy"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1" l="1"/>
  <c r="C7" i="31"/>
  <c r="C8" i="31"/>
  <c r="C9" i="31"/>
  <c r="C10" i="31"/>
  <c r="C11" i="31"/>
  <c r="C12" i="31"/>
  <c r="C13" i="31"/>
  <c r="C14" i="31"/>
  <c r="C15" i="31"/>
  <c r="C16" i="31"/>
  <c r="C17" i="31"/>
  <c r="C18" i="31"/>
  <c r="C19" i="31"/>
  <c r="C20" i="31"/>
  <c r="C21" i="31"/>
  <c r="C22" i="31"/>
  <c r="C23" i="31"/>
  <c r="C24" i="31"/>
  <c r="C25" i="31"/>
  <c r="C6" i="31"/>
  <c r="G5" i="31"/>
  <c r="G6" i="31"/>
  <c r="G7" i="31"/>
  <c r="G8" i="31"/>
  <c r="G9" i="31"/>
  <c r="G10" i="31"/>
  <c r="G11" i="31"/>
  <c r="G12" i="31"/>
  <c r="I12" i="31" s="1"/>
  <c r="G13" i="31"/>
  <c r="I13" i="31" s="1"/>
  <c r="G14" i="31"/>
  <c r="G26" i="31" s="1"/>
  <c r="G15" i="31"/>
  <c r="I15" i="31" s="1"/>
  <c r="G16" i="31"/>
  <c r="G17" i="31"/>
  <c r="G18" i="31"/>
  <c r="G19" i="31"/>
  <c r="G20" i="31"/>
  <c r="I20" i="31" s="1"/>
  <c r="G21" i="31"/>
  <c r="I21" i="31" s="1"/>
  <c r="G22" i="31"/>
  <c r="I22" i="31" s="1"/>
  <c r="G23" i="31"/>
  <c r="I23" i="31" s="1"/>
  <c r="G24" i="31"/>
  <c r="I24" i="31" s="1"/>
  <c r="G25" i="31"/>
  <c r="I25" i="31" s="1"/>
  <c r="G4" i="31"/>
  <c r="F26" i="31"/>
  <c r="F5" i="31"/>
  <c r="F6" i="31"/>
  <c r="F7" i="31"/>
  <c r="F8" i="31"/>
  <c r="F9" i="31"/>
  <c r="F10" i="31"/>
  <c r="F11" i="31"/>
  <c r="F12" i="31"/>
  <c r="F13" i="31"/>
  <c r="F14" i="31"/>
  <c r="F15" i="31"/>
  <c r="F16" i="31"/>
  <c r="F17" i="31"/>
  <c r="F18" i="31"/>
  <c r="F19" i="31"/>
  <c r="F20" i="31"/>
  <c r="F21" i="31"/>
  <c r="F22" i="31"/>
  <c r="F23" i="31"/>
  <c r="F24" i="31"/>
  <c r="F25" i="31"/>
  <c r="F4" i="31"/>
  <c r="I19" i="31"/>
  <c r="H19" i="31"/>
  <c r="I18" i="31"/>
  <c r="H18" i="31"/>
  <c r="I17" i="31"/>
  <c r="H17" i="31"/>
  <c r="I16" i="31"/>
  <c r="H16" i="31"/>
  <c r="H12" i="31"/>
  <c r="I11" i="31"/>
  <c r="H11" i="31"/>
  <c r="I10" i="31"/>
  <c r="H10" i="31"/>
  <c r="I9" i="31"/>
  <c r="H9" i="31"/>
  <c r="I8" i="31"/>
  <c r="H8" i="31"/>
  <c r="I7" i="31"/>
  <c r="H7" i="31"/>
  <c r="I6" i="31"/>
  <c r="H6" i="31"/>
  <c r="I5" i="31"/>
  <c r="H5" i="31"/>
  <c r="I4" i="31"/>
  <c r="H4" i="31"/>
  <c r="W17" i="4"/>
  <c r="C76" i="4"/>
  <c r="G28" i="12"/>
  <c r="F28" i="12"/>
  <c r="D28" i="12"/>
  <c r="C28" i="12"/>
  <c r="G27" i="12"/>
  <c r="F27" i="12"/>
  <c r="D27" i="12"/>
  <c r="C27" i="12"/>
  <c r="G26" i="12"/>
  <c r="F26" i="12"/>
  <c r="D26" i="12"/>
  <c r="C26" i="12"/>
  <c r="G25" i="12"/>
  <c r="F25" i="12"/>
  <c r="D25" i="12"/>
  <c r="C25" i="12"/>
  <c r="G24" i="12"/>
  <c r="F24" i="12"/>
  <c r="D24" i="12"/>
  <c r="C24" i="12"/>
  <c r="G23" i="12"/>
  <c r="F23" i="12"/>
  <c r="D23" i="12"/>
  <c r="C23" i="12"/>
  <c r="G22" i="12"/>
  <c r="F22" i="12"/>
  <c r="D22" i="12"/>
  <c r="C22" i="12"/>
  <c r="G21" i="12"/>
  <c r="F21" i="12"/>
  <c r="D21" i="12"/>
  <c r="C21" i="12"/>
  <c r="G20" i="12"/>
  <c r="F20" i="12"/>
  <c r="D20" i="12"/>
  <c r="C20" i="12"/>
  <c r="G19" i="12"/>
  <c r="F19" i="12"/>
  <c r="D19" i="12"/>
  <c r="C19" i="12"/>
  <c r="G18" i="12"/>
  <c r="F18" i="12"/>
  <c r="D18" i="12"/>
  <c r="C18" i="12"/>
  <c r="G17" i="12"/>
  <c r="F17" i="12"/>
  <c r="D17" i="12"/>
  <c r="C17" i="12"/>
  <c r="G16" i="12"/>
  <c r="F16" i="12"/>
  <c r="D16" i="12"/>
  <c r="C16" i="12"/>
  <c r="G15" i="12"/>
  <c r="F15" i="12"/>
  <c r="D15" i="12"/>
  <c r="C15" i="12"/>
  <c r="G14" i="12"/>
  <c r="F14" i="12"/>
  <c r="D14" i="12"/>
  <c r="C14" i="12"/>
  <c r="G13" i="12"/>
  <c r="F13" i="12"/>
  <c r="D13" i="12"/>
  <c r="C13" i="12"/>
  <c r="G12" i="12"/>
  <c r="F12" i="12"/>
  <c r="D12" i="12"/>
  <c r="C12" i="12"/>
  <c r="G11" i="12"/>
  <c r="F11" i="12"/>
  <c r="D11" i="12"/>
  <c r="C11" i="12"/>
  <c r="G10" i="12"/>
  <c r="F10" i="12"/>
  <c r="D10" i="12"/>
  <c r="C10" i="12"/>
  <c r="G9" i="12"/>
  <c r="F9" i="12"/>
  <c r="D9" i="12"/>
  <c r="C9" i="12"/>
  <c r="G8" i="12"/>
  <c r="F8" i="12"/>
  <c r="D8" i="12"/>
  <c r="C8" i="12"/>
  <c r="G7" i="12"/>
  <c r="F7" i="12"/>
  <c r="D7" i="12"/>
  <c r="C7" i="12"/>
  <c r="N512" i="2"/>
  <c r="N513" i="2"/>
  <c r="N514" i="2"/>
  <c r="N515" i="2"/>
  <c r="N516" i="2"/>
  <c r="N517" i="2"/>
  <c r="N518" i="2"/>
  <c r="N519" i="2"/>
  <c r="N520" i="2"/>
  <c r="N521" i="2"/>
  <c r="N522" i="2"/>
  <c r="N523" i="2"/>
  <c r="N524" i="2"/>
  <c r="N525" i="2"/>
  <c r="N526" i="2"/>
  <c r="N527" i="2"/>
  <c r="N528" i="2"/>
  <c r="N529" i="2"/>
  <c r="N530" i="2"/>
  <c r="N531" i="2"/>
  <c r="N532" i="2"/>
  <c r="N511" i="2"/>
  <c r="M512" i="2"/>
  <c r="M513" i="2"/>
  <c r="M514" i="2"/>
  <c r="M515" i="2"/>
  <c r="M516" i="2"/>
  <c r="M517" i="2"/>
  <c r="M518" i="2"/>
  <c r="M519" i="2"/>
  <c r="M520" i="2"/>
  <c r="M521" i="2"/>
  <c r="M522" i="2"/>
  <c r="M523" i="2"/>
  <c r="M524" i="2"/>
  <c r="M525" i="2"/>
  <c r="M526" i="2"/>
  <c r="M527" i="2"/>
  <c r="M528" i="2"/>
  <c r="M529" i="2"/>
  <c r="M530" i="2"/>
  <c r="M531" i="2"/>
  <c r="M532" i="2"/>
  <c r="M511" i="2"/>
  <c r="J512" i="2"/>
  <c r="J513" i="2"/>
  <c r="J514" i="2"/>
  <c r="J515" i="2"/>
  <c r="J516" i="2"/>
  <c r="J517" i="2"/>
  <c r="J518" i="2"/>
  <c r="J519" i="2"/>
  <c r="J520" i="2"/>
  <c r="J521" i="2"/>
  <c r="J522" i="2"/>
  <c r="J523" i="2"/>
  <c r="J524" i="2"/>
  <c r="J525" i="2"/>
  <c r="J526" i="2"/>
  <c r="J527" i="2"/>
  <c r="J528" i="2"/>
  <c r="J529" i="2"/>
  <c r="J530" i="2"/>
  <c r="J531" i="2"/>
  <c r="J532" i="2"/>
  <c r="J511" i="2"/>
  <c r="F512" i="2"/>
  <c r="F513" i="2"/>
  <c r="F514" i="2"/>
  <c r="F515" i="2"/>
  <c r="F516" i="2"/>
  <c r="F517" i="2"/>
  <c r="F518" i="2"/>
  <c r="F519" i="2"/>
  <c r="F520" i="2"/>
  <c r="F521" i="2"/>
  <c r="F522" i="2"/>
  <c r="F523" i="2"/>
  <c r="F524" i="2"/>
  <c r="F525" i="2"/>
  <c r="F526" i="2"/>
  <c r="F527" i="2"/>
  <c r="F528" i="2"/>
  <c r="F529" i="2"/>
  <c r="F530" i="2"/>
  <c r="F531" i="2"/>
  <c r="F532" i="2"/>
  <c r="F511" i="2"/>
  <c r="T510" i="2"/>
  <c r="H22" i="31" l="1"/>
  <c r="H13" i="31"/>
  <c r="H24" i="31"/>
  <c r="H20" i="31"/>
  <c r="H21" i="31"/>
  <c r="H14" i="31"/>
  <c r="H25" i="31"/>
  <c r="H23" i="31"/>
  <c r="I14" i="31"/>
  <c r="I26" i="31" s="1"/>
  <c r="H15" i="31"/>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T346" i="2"/>
  <c r="T347" i="2"/>
  <c r="T348" i="2"/>
  <c r="T349" i="2"/>
  <c r="T350" i="2"/>
  <c r="T351" i="2"/>
  <c r="T352" i="2"/>
  <c r="T353" i="2"/>
  <c r="T354" i="2"/>
  <c r="T355" i="2"/>
  <c r="T356" i="2"/>
  <c r="T357" i="2"/>
  <c r="T358" i="2"/>
  <c r="T359" i="2"/>
  <c r="T360" i="2"/>
  <c r="T361" i="2"/>
  <c r="T362" i="2"/>
  <c r="T363" i="2"/>
  <c r="T364" i="2"/>
  <c r="T365" i="2"/>
  <c r="T366" i="2"/>
  <c r="T367" i="2"/>
  <c r="T368" i="2"/>
  <c r="T369" i="2"/>
  <c r="T370" i="2"/>
  <c r="T371" i="2"/>
  <c r="T372" i="2"/>
  <c r="T373" i="2"/>
  <c r="T374" i="2"/>
  <c r="T375" i="2"/>
  <c r="T376" i="2"/>
  <c r="T377" i="2"/>
  <c r="T378" i="2"/>
  <c r="T379" i="2"/>
  <c r="T380" i="2"/>
  <c r="T381" i="2"/>
  <c r="T382" i="2"/>
  <c r="T383" i="2"/>
  <c r="T384" i="2"/>
  <c r="T385" i="2"/>
  <c r="T386" i="2"/>
  <c r="T387" i="2"/>
  <c r="T388" i="2"/>
  <c r="T389" i="2"/>
  <c r="T390" i="2"/>
  <c r="T391" i="2"/>
  <c r="T392" i="2"/>
  <c r="T393" i="2"/>
  <c r="T394" i="2"/>
  <c r="T395" i="2"/>
  <c r="T396" i="2"/>
  <c r="T397" i="2"/>
  <c r="T398" i="2"/>
  <c r="T399" i="2"/>
  <c r="T400" i="2"/>
  <c r="T401" i="2"/>
  <c r="T402" i="2"/>
  <c r="T403" i="2"/>
  <c r="T404" i="2"/>
  <c r="T405" i="2"/>
  <c r="T406" i="2"/>
  <c r="T407" i="2"/>
  <c r="T408" i="2"/>
  <c r="T409" i="2"/>
  <c r="T410" i="2"/>
  <c r="T411" i="2"/>
  <c r="T412" i="2"/>
  <c r="T413" i="2"/>
  <c r="T414" i="2"/>
  <c r="T415" i="2"/>
  <c r="T416" i="2"/>
  <c r="T417" i="2"/>
  <c r="T418" i="2"/>
  <c r="T419" i="2"/>
  <c r="T420" i="2"/>
  <c r="T421" i="2"/>
  <c r="T422" i="2"/>
  <c r="T423" i="2"/>
  <c r="T424" i="2"/>
  <c r="T425" i="2"/>
  <c r="T426" i="2"/>
  <c r="T427" i="2"/>
  <c r="T428" i="2"/>
  <c r="T429" i="2"/>
  <c r="T430" i="2"/>
  <c r="T431" i="2"/>
  <c r="T432" i="2"/>
  <c r="T433" i="2"/>
  <c r="T434" i="2"/>
  <c r="T435" i="2"/>
  <c r="T436" i="2"/>
  <c r="T437" i="2"/>
  <c r="T438" i="2"/>
  <c r="T439" i="2"/>
  <c r="T440" i="2"/>
  <c r="T441" i="2"/>
  <c r="T442" i="2"/>
  <c r="T443" i="2"/>
  <c r="T444" i="2"/>
  <c r="T445" i="2"/>
  <c r="T446" i="2"/>
  <c r="T447" i="2"/>
  <c r="T448" i="2"/>
  <c r="T449" i="2"/>
  <c r="T450" i="2"/>
  <c r="T451" i="2"/>
  <c r="T452" i="2"/>
  <c r="T453" i="2"/>
  <c r="T454" i="2"/>
  <c r="T455" i="2"/>
  <c r="T456" i="2"/>
  <c r="T457" i="2"/>
  <c r="T458" i="2"/>
  <c r="T459" i="2"/>
  <c r="T460" i="2"/>
  <c r="T461" i="2"/>
  <c r="T462" i="2"/>
  <c r="T463" i="2"/>
  <c r="T464" i="2"/>
  <c r="T465" i="2"/>
  <c r="T466" i="2"/>
  <c r="T467" i="2"/>
  <c r="T468" i="2"/>
  <c r="T469" i="2"/>
  <c r="T470" i="2"/>
  <c r="T471" i="2"/>
  <c r="T472" i="2"/>
  <c r="T473" i="2"/>
  <c r="T474" i="2"/>
  <c r="T475" i="2"/>
  <c r="T476" i="2"/>
  <c r="T477" i="2"/>
  <c r="T478" i="2"/>
  <c r="T479" i="2"/>
  <c r="T480" i="2"/>
  <c r="T481" i="2"/>
  <c r="T482" i="2"/>
  <c r="T483" i="2"/>
  <c r="T484" i="2"/>
  <c r="T485" i="2"/>
  <c r="T486" i="2"/>
  <c r="T487" i="2"/>
  <c r="T488" i="2"/>
  <c r="T489" i="2"/>
  <c r="T490" i="2"/>
  <c r="T491" i="2"/>
  <c r="T492" i="2"/>
  <c r="T493" i="2"/>
  <c r="T494" i="2"/>
  <c r="T495" i="2"/>
  <c r="T496" i="2"/>
  <c r="T497" i="2"/>
  <c r="T498" i="2"/>
  <c r="T499" i="2"/>
  <c r="T500" i="2"/>
  <c r="T501" i="2"/>
  <c r="T502" i="2"/>
  <c r="T503" i="2"/>
  <c r="T504" i="2"/>
  <c r="T505" i="2"/>
  <c r="T506" i="2"/>
  <c r="T507" i="2"/>
  <c r="T508" i="2"/>
  <c r="T509" i="2"/>
  <c r="K512" i="2"/>
  <c r="K513" i="2"/>
  <c r="K514" i="2"/>
  <c r="K515" i="2"/>
  <c r="K516" i="2"/>
  <c r="K517" i="2"/>
  <c r="K518" i="2"/>
  <c r="K519" i="2"/>
  <c r="K520" i="2"/>
  <c r="K521" i="2"/>
  <c r="K522" i="2"/>
  <c r="K523" i="2"/>
  <c r="K524" i="2"/>
  <c r="K525" i="2"/>
  <c r="K526" i="2"/>
  <c r="K527" i="2"/>
  <c r="K528" i="2"/>
  <c r="K529" i="2"/>
  <c r="K530" i="2"/>
  <c r="K531" i="2"/>
  <c r="K532" i="2"/>
  <c r="K511" i="2"/>
  <c r="O526" i="2"/>
  <c r="P526" i="2" s="1"/>
  <c r="Q526" i="2" s="1"/>
  <c r="O511" i="2"/>
  <c r="P511" i="2" s="1"/>
  <c r="Q511" i="2" s="1"/>
  <c r="G518" i="2"/>
  <c r="G522" i="2"/>
  <c r="G524" i="2"/>
  <c r="G525" i="2"/>
  <c r="G526" i="2"/>
  <c r="G528" i="2"/>
  <c r="G529" i="2"/>
  <c r="G532" i="2"/>
  <c r="G511" i="2"/>
  <c r="D511" i="2"/>
  <c r="C511" i="2" s="1"/>
  <c r="O527" i="2"/>
  <c r="P527" i="2" s="1"/>
  <c r="Q527" i="2" s="1"/>
  <c r="O522" i="2"/>
  <c r="P522" i="2" s="1"/>
  <c r="Q522" i="2" s="1"/>
  <c r="O521" i="2"/>
  <c r="P521" i="2" s="1"/>
  <c r="Q521" i="2" s="1"/>
  <c r="G521" i="2"/>
  <c r="O520" i="2"/>
  <c r="P520" i="2" s="1"/>
  <c r="Q520" i="2" s="1"/>
  <c r="O519" i="2"/>
  <c r="P519" i="2" s="1"/>
  <c r="Q519" i="2" s="1"/>
  <c r="G519" i="2"/>
  <c r="O517" i="2"/>
  <c r="P517" i="2" s="1"/>
  <c r="Q517" i="2" s="1"/>
  <c r="G517" i="2"/>
  <c r="O516" i="2"/>
  <c r="P516" i="2" s="1"/>
  <c r="Q516" i="2" s="1"/>
  <c r="G516" i="2"/>
  <c r="O515" i="2"/>
  <c r="P515" i="2" s="1"/>
  <c r="Q515" i="2" s="1"/>
  <c r="G515" i="2"/>
  <c r="O514" i="2"/>
  <c r="P514" i="2" s="1"/>
  <c r="Q514" i="2" s="1"/>
  <c r="G514" i="2"/>
  <c r="G513" i="2"/>
  <c r="O512" i="2"/>
  <c r="P512" i="2" s="1"/>
  <c r="Q512" i="2" s="1"/>
  <c r="G512" i="2"/>
  <c r="D512" i="2"/>
  <c r="B511" i="2"/>
  <c r="B512" i="2" s="1"/>
  <c r="B513" i="2" s="1"/>
  <c r="B514" i="2" s="1"/>
  <c r="B515" i="2" s="1"/>
  <c r="B516" i="2" s="1"/>
  <c r="B517" i="2" s="1"/>
  <c r="B518" i="2" s="1"/>
  <c r="B519" i="2" s="1"/>
  <c r="B520" i="2" s="1"/>
  <c r="B521" i="2" s="1"/>
  <c r="B522" i="2" s="1"/>
  <c r="B523" i="2" s="1"/>
  <c r="B524" i="2" s="1"/>
  <c r="B525" i="2" s="1"/>
  <c r="B526" i="2" s="1"/>
  <c r="B527" i="2" s="1"/>
  <c r="B528" i="2" s="1"/>
  <c r="B529" i="2" s="1"/>
  <c r="B530" i="2" s="1"/>
  <c r="B531" i="2" s="1"/>
  <c r="B532" i="2" s="1"/>
  <c r="C498" i="2"/>
  <c r="D489" i="2"/>
  <c r="C26" i="5"/>
  <c r="C27" i="5"/>
  <c r="H26" i="31" l="1"/>
  <c r="O528" i="2"/>
  <c r="P528" i="2" s="1"/>
  <c r="Q528" i="2" s="1"/>
  <c r="R528" i="2" s="1"/>
  <c r="O529" i="2"/>
  <c r="P529" i="2" s="1"/>
  <c r="Q529" i="2" s="1"/>
  <c r="R529" i="2" s="1"/>
  <c r="O523" i="2"/>
  <c r="P523" i="2" s="1"/>
  <c r="Q523" i="2" s="1"/>
  <c r="R523" i="2" s="1"/>
  <c r="O530" i="2"/>
  <c r="P530" i="2" s="1"/>
  <c r="Q530" i="2" s="1"/>
  <c r="R530" i="2" s="1"/>
  <c r="O524" i="2"/>
  <c r="P524" i="2" s="1"/>
  <c r="Q524" i="2" s="1"/>
  <c r="O531" i="2"/>
  <c r="P531" i="2" s="1"/>
  <c r="Q531" i="2" s="1"/>
  <c r="R531" i="2" s="1"/>
  <c r="O518" i="2"/>
  <c r="P518" i="2" s="1"/>
  <c r="Q518" i="2" s="1"/>
  <c r="R518" i="2" s="1"/>
  <c r="O525" i="2"/>
  <c r="P525" i="2" s="1"/>
  <c r="Q525" i="2" s="1"/>
  <c r="R525" i="2" s="1"/>
  <c r="O532" i="2"/>
  <c r="P532" i="2" s="1"/>
  <c r="Q532" i="2" s="1"/>
  <c r="O513" i="2"/>
  <c r="P513" i="2" s="1"/>
  <c r="Q513" i="2" s="1"/>
  <c r="R513" i="2" s="1"/>
  <c r="G530" i="2"/>
  <c r="G520" i="2"/>
  <c r="G531" i="2"/>
  <c r="G527" i="2"/>
  <c r="G523" i="2"/>
  <c r="R515" i="2"/>
  <c r="R524" i="2"/>
  <c r="R520" i="2"/>
  <c r="R512" i="2"/>
  <c r="S512" i="2" s="1"/>
  <c r="R516" i="2"/>
  <c r="R521" i="2"/>
  <c r="R526" i="2"/>
  <c r="R517" i="2"/>
  <c r="R522" i="2"/>
  <c r="R514" i="2"/>
  <c r="C512" i="2"/>
  <c r="D513" i="2"/>
  <c r="R527" i="2"/>
  <c r="S527" i="2"/>
  <c r="R511" i="2"/>
  <c r="R519" i="2"/>
  <c r="R532" i="2"/>
  <c r="L40" i="25"/>
  <c r="N510" i="2"/>
  <c r="O510" i="2" s="1"/>
  <c r="P510" i="2" s="1"/>
  <c r="Q510" i="2" s="1"/>
  <c r="K510" i="2"/>
  <c r="J510" i="2"/>
  <c r="F510" i="2"/>
  <c r="N509" i="2"/>
  <c r="K509" i="2"/>
  <c r="J509" i="2"/>
  <c r="O509" i="2" s="1"/>
  <c r="P509" i="2" s="1"/>
  <c r="Q509" i="2" s="1"/>
  <c r="F509" i="2"/>
  <c r="N508" i="2"/>
  <c r="O508" i="2" s="1"/>
  <c r="P508" i="2" s="1"/>
  <c r="Q508" i="2" s="1"/>
  <c r="K508" i="2"/>
  <c r="J508" i="2"/>
  <c r="F508" i="2"/>
  <c r="N507" i="2"/>
  <c r="K507" i="2"/>
  <c r="J507" i="2"/>
  <c r="O507" i="2" s="1"/>
  <c r="P507" i="2" s="1"/>
  <c r="Q507" i="2" s="1"/>
  <c r="F507" i="2"/>
  <c r="N506" i="2"/>
  <c r="K506" i="2"/>
  <c r="J506" i="2"/>
  <c r="O506" i="2" s="1"/>
  <c r="P506" i="2" s="1"/>
  <c r="Q506" i="2" s="1"/>
  <c r="F506" i="2"/>
  <c r="N505" i="2"/>
  <c r="K505" i="2"/>
  <c r="J505" i="2"/>
  <c r="O505" i="2" s="1"/>
  <c r="P505" i="2" s="1"/>
  <c r="Q505" i="2" s="1"/>
  <c r="F505" i="2"/>
  <c r="N504" i="2"/>
  <c r="O504" i="2" s="1"/>
  <c r="P504" i="2" s="1"/>
  <c r="Q504" i="2" s="1"/>
  <c r="K504" i="2"/>
  <c r="J504" i="2"/>
  <c r="F504" i="2"/>
  <c r="N503" i="2"/>
  <c r="K503" i="2"/>
  <c r="J503" i="2"/>
  <c r="O503" i="2" s="1"/>
  <c r="P503" i="2" s="1"/>
  <c r="Q503" i="2" s="1"/>
  <c r="F503" i="2"/>
  <c r="N502" i="2"/>
  <c r="K502" i="2"/>
  <c r="J502" i="2"/>
  <c r="O502" i="2" s="1"/>
  <c r="P502" i="2" s="1"/>
  <c r="Q502" i="2" s="1"/>
  <c r="F502" i="2"/>
  <c r="N501" i="2"/>
  <c r="K501" i="2"/>
  <c r="J501" i="2"/>
  <c r="O501" i="2" s="1"/>
  <c r="P501" i="2" s="1"/>
  <c r="Q501" i="2" s="1"/>
  <c r="F501" i="2"/>
  <c r="N500" i="2"/>
  <c r="O500" i="2" s="1"/>
  <c r="P500" i="2" s="1"/>
  <c r="Q500" i="2" s="1"/>
  <c r="K500" i="2"/>
  <c r="J500" i="2"/>
  <c r="F500" i="2"/>
  <c r="N499" i="2"/>
  <c r="K499" i="2"/>
  <c r="J499" i="2"/>
  <c r="O499" i="2" s="1"/>
  <c r="P499" i="2" s="1"/>
  <c r="Q499" i="2" s="1"/>
  <c r="F499" i="2"/>
  <c r="N498" i="2"/>
  <c r="K498" i="2"/>
  <c r="J498" i="2"/>
  <c r="O498" i="2" s="1"/>
  <c r="P498" i="2" s="1"/>
  <c r="Q498" i="2" s="1"/>
  <c r="F498" i="2"/>
  <c r="O497" i="2"/>
  <c r="P497" i="2" s="1"/>
  <c r="Q497" i="2" s="1"/>
  <c r="N497" i="2"/>
  <c r="K497" i="2"/>
  <c r="J497" i="2"/>
  <c r="F497" i="2"/>
  <c r="N496" i="2"/>
  <c r="O496" i="2" s="1"/>
  <c r="P496" i="2" s="1"/>
  <c r="Q496" i="2" s="1"/>
  <c r="K496" i="2"/>
  <c r="J496" i="2"/>
  <c r="F496" i="2"/>
  <c r="N495" i="2"/>
  <c r="K495" i="2"/>
  <c r="J495" i="2"/>
  <c r="O495" i="2" s="1"/>
  <c r="P495" i="2" s="1"/>
  <c r="Q495" i="2" s="1"/>
  <c r="F495" i="2"/>
  <c r="N494" i="2"/>
  <c r="K494" i="2"/>
  <c r="J494" i="2"/>
  <c r="O494" i="2" s="1"/>
  <c r="P494" i="2" s="1"/>
  <c r="Q494" i="2" s="1"/>
  <c r="F494" i="2"/>
  <c r="O493" i="2"/>
  <c r="P493" i="2" s="1"/>
  <c r="Q493" i="2" s="1"/>
  <c r="N493" i="2"/>
  <c r="K493" i="2"/>
  <c r="J493" i="2"/>
  <c r="F493" i="2"/>
  <c r="N492" i="2"/>
  <c r="O492" i="2" s="1"/>
  <c r="P492" i="2" s="1"/>
  <c r="Q492" i="2" s="1"/>
  <c r="K492" i="2"/>
  <c r="J492" i="2"/>
  <c r="F492" i="2"/>
  <c r="N491" i="2"/>
  <c r="K491" i="2"/>
  <c r="J491" i="2"/>
  <c r="O491" i="2" s="1"/>
  <c r="P491" i="2" s="1"/>
  <c r="Q491" i="2" s="1"/>
  <c r="F491" i="2"/>
  <c r="N490" i="2"/>
  <c r="K490" i="2"/>
  <c r="J490" i="2"/>
  <c r="O490" i="2" s="1"/>
  <c r="P490" i="2" s="1"/>
  <c r="Q490" i="2" s="1"/>
  <c r="F490" i="2"/>
  <c r="S489" i="2"/>
  <c r="R489" i="2"/>
  <c r="Q489" i="2"/>
  <c r="P489" i="2"/>
  <c r="O489" i="2"/>
  <c r="N489" i="2"/>
  <c r="K489" i="2"/>
  <c r="J489" i="2"/>
  <c r="F489" i="2"/>
  <c r="N488" i="2"/>
  <c r="O488" i="2" s="1"/>
  <c r="P488" i="2" s="1"/>
  <c r="Q488" i="2" s="1"/>
  <c r="M488" i="2"/>
  <c r="G488" i="2" s="1"/>
  <c r="J488" i="2"/>
  <c r="F488" i="2"/>
  <c r="O487" i="2"/>
  <c r="P487" i="2" s="1"/>
  <c r="Q487" i="2" s="1"/>
  <c r="N487" i="2"/>
  <c r="M487" i="2"/>
  <c r="G487" i="2" s="1"/>
  <c r="J487" i="2"/>
  <c r="F487" i="2"/>
  <c r="N486" i="2"/>
  <c r="O486" i="2" s="1"/>
  <c r="P486" i="2" s="1"/>
  <c r="Q486" i="2" s="1"/>
  <c r="M486" i="2"/>
  <c r="M508" i="2" s="1"/>
  <c r="G508" i="2" s="1"/>
  <c r="J486" i="2"/>
  <c r="F486" i="2"/>
  <c r="N485" i="2"/>
  <c r="O485" i="2" s="1"/>
  <c r="P485" i="2" s="1"/>
  <c r="Q485" i="2" s="1"/>
  <c r="M485" i="2"/>
  <c r="M507" i="2" s="1"/>
  <c r="J485" i="2"/>
  <c r="F485" i="2"/>
  <c r="P484" i="2"/>
  <c r="Q484" i="2" s="1"/>
  <c r="O484" i="2"/>
  <c r="N484" i="2"/>
  <c r="M484" i="2"/>
  <c r="G484" i="2" s="1"/>
  <c r="J484" i="2"/>
  <c r="F484" i="2"/>
  <c r="N483" i="2"/>
  <c r="M483" i="2"/>
  <c r="M505" i="2" s="1"/>
  <c r="J483" i="2"/>
  <c r="O483" i="2" s="1"/>
  <c r="P483" i="2" s="1"/>
  <c r="Q483" i="2" s="1"/>
  <c r="F483" i="2"/>
  <c r="O482" i="2"/>
  <c r="P482" i="2" s="1"/>
  <c r="Q482" i="2" s="1"/>
  <c r="N482" i="2"/>
  <c r="M482" i="2"/>
  <c r="M504" i="2" s="1"/>
  <c r="G504" i="2" s="1"/>
  <c r="J482" i="2"/>
  <c r="F482" i="2"/>
  <c r="O481" i="2"/>
  <c r="P481" i="2" s="1"/>
  <c r="Q481" i="2" s="1"/>
  <c r="N481" i="2"/>
  <c r="M481" i="2"/>
  <c r="G481" i="2" s="1"/>
  <c r="J481" i="2"/>
  <c r="F481" i="2"/>
  <c r="O480" i="2"/>
  <c r="P480" i="2" s="1"/>
  <c r="Q480" i="2" s="1"/>
  <c r="N480" i="2"/>
  <c r="M480" i="2"/>
  <c r="G480" i="2" s="1"/>
  <c r="J480" i="2"/>
  <c r="F480" i="2"/>
  <c r="N479" i="2"/>
  <c r="M479" i="2"/>
  <c r="M501" i="2" s="1"/>
  <c r="J479" i="2"/>
  <c r="O479" i="2" s="1"/>
  <c r="P479" i="2" s="1"/>
  <c r="Q479" i="2" s="1"/>
  <c r="F479" i="2"/>
  <c r="N478" i="2"/>
  <c r="O478" i="2" s="1"/>
  <c r="P478" i="2" s="1"/>
  <c r="Q478" i="2" s="1"/>
  <c r="M478" i="2"/>
  <c r="M500" i="2" s="1"/>
  <c r="G500" i="2" s="1"/>
  <c r="J478" i="2"/>
  <c r="F478" i="2"/>
  <c r="N477" i="2"/>
  <c r="O477" i="2" s="1"/>
  <c r="P477" i="2" s="1"/>
  <c r="Q477" i="2" s="1"/>
  <c r="M477" i="2"/>
  <c r="G477" i="2" s="1"/>
  <c r="J477" i="2"/>
  <c r="F477" i="2"/>
  <c r="N476" i="2"/>
  <c r="O476" i="2" s="1"/>
  <c r="P476" i="2" s="1"/>
  <c r="Q476" i="2" s="1"/>
  <c r="M476" i="2"/>
  <c r="G476" i="2" s="1"/>
  <c r="J476" i="2"/>
  <c r="F476" i="2"/>
  <c r="O475" i="2"/>
  <c r="P475" i="2" s="1"/>
  <c r="Q475" i="2" s="1"/>
  <c r="N475" i="2"/>
  <c r="M475" i="2"/>
  <c r="M497" i="2" s="1"/>
  <c r="J475" i="2"/>
  <c r="F475" i="2"/>
  <c r="N474" i="2"/>
  <c r="O474" i="2" s="1"/>
  <c r="P474" i="2" s="1"/>
  <c r="Q474" i="2" s="1"/>
  <c r="M474" i="2"/>
  <c r="M496" i="2" s="1"/>
  <c r="G496" i="2" s="1"/>
  <c r="J474" i="2"/>
  <c r="F474" i="2"/>
  <c r="N473" i="2"/>
  <c r="O473" i="2" s="1"/>
  <c r="P473" i="2" s="1"/>
  <c r="Q473" i="2" s="1"/>
  <c r="M473" i="2"/>
  <c r="M495" i="2" s="1"/>
  <c r="J473" i="2"/>
  <c r="F473" i="2"/>
  <c r="O472" i="2"/>
  <c r="P472" i="2" s="1"/>
  <c r="Q472" i="2" s="1"/>
  <c r="N472" i="2"/>
  <c r="M472" i="2"/>
  <c r="G472" i="2" s="1"/>
  <c r="J472" i="2"/>
  <c r="F472" i="2"/>
  <c r="N471" i="2"/>
  <c r="M471" i="2"/>
  <c r="G471" i="2" s="1"/>
  <c r="J471" i="2"/>
  <c r="O471" i="2" s="1"/>
  <c r="P471" i="2" s="1"/>
  <c r="Q471" i="2" s="1"/>
  <c r="F471" i="2"/>
  <c r="N470" i="2"/>
  <c r="O470" i="2" s="1"/>
  <c r="P470" i="2" s="1"/>
  <c r="Q470" i="2" s="1"/>
  <c r="M470" i="2"/>
  <c r="G470" i="2" s="1"/>
  <c r="J470" i="2"/>
  <c r="F470" i="2"/>
  <c r="N469" i="2"/>
  <c r="O469" i="2" s="1"/>
  <c r="P469" i="2" s="1"/>
  <c r="Q469" i="2" s="1"/>
  <c r="M469" i="2"/>
  <c r="G469" i="2" s="1"/>
  <c r="J469" i="2"/>
  <c r="F469" i="2"/>
  <c r="N468" i="2"/>
  <c r="O468" i="2" s="1"/>
  <c r="P468" i="2" s="1"/>
  <c r="Q468" i="2" s="1"/>
  <c r="M468" i="2"/>
  <c r="G468" i="2" s="1"/>
  <c r="J468" i="2"/>
  <c r="F468" i="2"/>
  <c r="J467" i="2"/>
  <c r="O467" i="2" s="1"/>
  <c r="P467" i="2" s="1"/>
  <c r="Q467" i="2" s="1"/>
  <c r="N467" i="2"/>
  <c r="M467" i="2"/>
  <c r="M489" i="2" s="1"/>
  <c r="G489" i="2" s="1"/>
  <c r="S529" i="2" l="1"/>
  <c r="T529" i="2"/>
  <c r="S523" i="2"/>
  <c r="T523" i="2"/>
  <c r="S528" i="2"/>
  <c r="T528" i="2"/>
  <c r="S517" i="2"/>
  <c r="T517" i="2"/>
  <c r="S515" i="2"/>
  <c r="T515" i="2"/>
  <c r="S526" i="2"/>
  <c r="T526" i="2" s="1"/>
  <c r="S521" i="2"/>
  <c r="T521" i="2" s="1"/>
  <c r="S520" i="2"/>
  <c r="T520" i="2" s="1"/>
  <c r="S532" i="2"/>
  <c r="T532" i="2"/>
  <c r="S516" i="2"/>
  <c r="T516" i="2"/>
  <c r="T512" i="2"/>
  <c r="S524" i="2"/>
  <c r="T524" i="2"/>
  <c r="S519" i="2"/>
  <c r="T519" i="2"/>
  <c r="T527" i="2"/>
  <c r="S513" i="2"/>
  <c r="T513" i="2"/>
  <c r="S531" i="2"/>
  <c r="T531" i="2" s="1"/>
  <c r="S525" i="2"/>
  <c r="T525" i="2"/>
  <c r="S518" i="2"/>
  <c r="T518" i="2" s="1"/>
  <c r="S514" i="2"/>
  <c r="T514" i="2" s="1"/>
  <c r="S530" i="2"/>
  <c r="T530" i="2"/>
  <c r="S522" i="2"/>
  <c r="T522" i="2"/>
  <c r="S511" i="2"/>
  <c r="T511" i="2"/>
  <c r="D514" i="2"/>
  <c r="C513" i="2"/>
  <c r="G486" i="2"/>
  <c r="M502" i="2"/>
  <c r="G502" i="2" s="1"/>
  <c r="G507" i="2"/>
  <c r="G482" i="2"/>
  <c r="M498" i="2"/>
  <c r="G498" i="2" s="1"/>
  <c r="G467" i="2"/>
  <c r="G473" i="2"/>
  <c r="G478" i="2"/>
  <c r="M494" i="2"/>
  <c r="G494" i="2" s="1"/>
  <c r="M490" i="2"/>
  <c r="G490" i="2" s="1"/>
  <c r="G495" i="2"/>
  <c r="M503" i="2"/>
  <c r="G503" i="2" s="1"/>
  <c r="G483" i="2"/>
  <c r="G474" i="2"/>
  <c r="M499" i="2"/>
  <c r="G499" i="2" s="1"/>
  <c r="G479" i="2"/>
  <c r="M491" i="2"/>
  <c r="G491" i="2" s="1"/>
  <c r="G475" i="2"/>
  <c r="G505" i="2"/>
  <c r="M509" i="2"/>
  <c r="G509" i="2" s="1"/>
  <c r="M492" i="2"/>
  <c r="G492" i="2" s="1"/>
  <c r="G501" i="2"/>
  <c r="G497" i="2"/>
  <c r="G485" i="2"/>
  <c r="M510" i="2"/>
  <c r="G510" i="2" s="1"/>
  <c r="M493" i="2"/>
  <c r="G493" i="2" s="1"/>
  <c r="M506" i="2"/>
  <c r="G506" i="2" s="1"/>
  <c r="R498" i="2"/>
  <c r="S498" i="2"/>
  <c r="R499" i="2"/>
  <c r="R509" i="2"/>
  <c r="S509" i="2" s="1"/>
  <c r="R495" i="2"/>
  <c r="S495" i="2" s="1"/>
  <c r="R505" i="2"/>
  <c r="S505" i="2"/>
  <c r="R502" i="2"/>
  <c r="R508" i="2"/>
  <c r="R506" i="2"/>
  <c r="S506" i="2" s="1"/>
  <c r="R504" i="2"/>
  <c r="R492" i="2"/>
  <c r="S492" i="2" s="1"/>
  <c r="R490" i="2"/>
  <c r="S490" i="2"/>
  <c r="R496" i="2"/>
  <c r="S496" i="2" s="1"/>
  <c r="R493" i="2"/>
  <c r="S493" i="2"/>
  <c r="R503" i="2"/>
  <c r="S503" i="2" s="1"/>
  <c r="R491" i="2"/>
  <c r="S491" i="2" s="1"/>
  <c r="R494" i="2"/>
  <c r="S494" i="2"/>
  <c r="R500" i="2"/>
  <c r="R507" i="2"/>
  <c r="S507" i="2" s="1"/>
  <c r="R497" i="2"/>
  <c r="S497" i="2"/>
  <c r="R501" i="2"/>
  <c r="S501" i="2"/>
  <c r="R510" i="2"/>
  <c r="R475" i="2"/>
  <c r="S475" i="2"/>
  <c r="R468" i="2"/>
  <c r="S468" i="2" s="1"/>
  <c r="R479" i="2"/>
  <c r="S479" i="2" s="1"/>
  <c r="R472" i="2"/>
  <c r="S472" i="2" s="1"/>
  <c r="R486" i="2"/>
  <c r="S486" i="2" s="1"/>
  <c r="R485" i="2"/>
  <c r="S485" i="2" s="1"/>
  <c r="R482" i="2"/>
  <c r="S482" i="2" s="1"/>
  <c r="R476" i="2"/>
  <c r="S476" i="2" s="1"/>
  <c r="R483" i="2"/>
  <c r="S483" i="2" s="1"/>
  <c r="R469" i="2"/>
  <c r="S469" i="2" s="1"/>
  <c r="R473" i="2"/>
  <c r="S473" i="2" s="1"/>
  <c r="R480" i="2"/>
  <c r="S480" i="2" s="1"/>
  <c r="R477" i="2"/>
  <c r="S477" i="2" s="1"/>
  <c r="R470" i="2"/>
  <c r="S470" i="2" s="1"/>
  <c r="R487" i="2"/>
  <c r="S487" i="2" s="1"/>
  <c r="R474" i="2"/>
  <c r="S474" i="2" s="1"/>
  <c r="R471" i="2"/>
  <c r="S471" i="2" s="1"/>
  <c r="R484" i="2"/>
  <c r="S484" i="2" s="1"/>
  <c r="R478" i="2"/>
  <c r="S478" i="2" s="1"/>
  <c r="R481" i="2"/>
  <c r="S481" i="2" s="1"/>
  <c r="R488" i="2"/>
  <c r="S488" i="2" s="1"/>
  <c r="S467" i="2"/>
  <c r="R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5" i="2"/>
  <c r="C514" i="2" l="1"/>
  <c r="D515" i="2"/>
  <c r="S510" i="2"/>
  <c r="S508" i="2"/>
  <c r="S502" i="2"/>
  <c r="S499" i="2"/>
  <c r="S500" i="2"/>
  <c r="S504" i="2"/>
  <c r="K484" i="2"/>
  <c r="K482" i="2"/>
  <c r="K487" i="2"/>
  <c r="K488" i="2"/>
  <c r="K483" i="2"/>
  <c r="K485" i="2"/>
  <c r="K486" i="2"/>
  <c r="K467" i="2"/>
  <c r="O48" i="2"/>
  <c r="P48" i="2" s="1"/>
  <c r="Q48" i="2" s="1"/>
  <c r="G48" i="2"/>
  <c r="O47" i="2"/>
  <c r="P47" i="2" s="1"/>
  <c r="Q47" i="2" s="1"/>
  <c r="G47" i="2"/>
  <c r="O46" i="2"/>
  <c r="P46" i="2" s="1"/>
  <c r="Q46" i="2" s="1"/>
  <c r="G46" i="2"/>
  <c r="F467" i="2"/>
  <c r="D445" i="2"/>
  <c r="D446" i="2" s="1"/>
  <c r="D447" i="2" s="1"/>
  <c r="D448" i="2" s="1"/>
  <c r="O466" i="2"/>
  <c r="P466" i="2" s="1"/>
  <c r="Q466" i="2" s="1"/>
  <c r="G466" i="2"/>
  <c r="O465" i="2"/>
  <c r="P465" i="2" s="1"/>
  <c r="Q465" i="2" s="1"/>
  <c r="G465" i="2"/>
  <c r="O464" i="2"/>
  <c r="P464" i="2" s="1"/>
  <c r="Q464" i="2" s="1"/>
  <c r="G464" i="2"/>
  <c r="O463" i="2"/>
  <c r="P463" i="2" s="1"/>
  <c r="Q463" i="2" s="1"/>
  <c r="G463" i="2"/>
  <c r="O462" i="2"/>
  <c r="P462" i="2" s="1"/>
  <c r="Q462" i="2" s="1"/>
  <c r="G462" i="2"/>
  <c r="O461" i="2"/>
  <c r="P461" i="2" s="1"/>
  <c r="Q461" i="2" s="1"/>
  <c r="G461" i="2"/>
  <c r="O460" i="2"/>
  <c r="P460" i="2" s="1"/>
  <c r="Q460" i="2" s="1"/>
  <c r="G460" i="2"/>
  <c r="O459" i="2"/>
  <c r="P459" i="2" s="1"/>
  <c r="Q459" i="2" s="1"/>
  <c r="G459" i="2"/>
  <c r="O458" i="2"/>
  <c r="P458" i="2" s="1"/>
  <c r="Q458" i="2" s="1"/>
  <c r="G458" i="2"/>
  <c r="O457" i="2"/>
  <c r="P457" i="2" s="1"/>
  <c r="Q457" i="2" s="1"/>
  <c r="G457" i="2"/>
  <c r="O456" i="2"/>
  <c r="P456" i="2" s="1"/>
  <c r="Q456" i="2" s="1"/>
  <c r="G456" i="2"/>
  <c r="O455" i="2"/>
  <c r="P455" i="2" s="1"/>
  <c r="Q455" i="2" s="1"/>
  <c r="G455" i="2"/>
  <c r="O454" i="2"/>
  <c r="P454" i="2" s="1"/>
  <c r="Q454" i="2" s="1"/>
  <c r="G454" i="2"/>
  <c r="O453" i="2"/>
  <c r="P453" i="2" s="1"/>
  <c r="Q453" i="2" s="1"/>
  <c r="G453" i="2"/>
  <c r="O452" i="2"/>
  <c r="P452" i="2" s="1"/>
  <c r="Q452" i="2" s="1"/>
  <c r="G452" i="2"/>
  <c r="O451" i="2"/>
  <c r="P451" i="2" s="1"/>
  <c r="Q451" i="2" s="1"/>
  <c r="G451" i="2"/>
  <c r="O450" i="2"/>
  <c r="P450" i="2" s="1"/>
  <c r="Q450" i="2" s="1"/>
  <c r="G450" i="2"/>
  <c r="O449" i="2"/>
  <c r="P449" i="2" s="1"/>
  <c r="Q449" i="2" s="1"/>
  <c r="G449" i="2"/>
  <c r="O448" i="2"/>
  <c r="P448" i="2" s="1"/>
  <c r="Q448" i="2" s="1"/>
  <c r="G448" i="2"/>
  <c r="O447" i="2"/>
  <c r="P447" i="2" s="1"/>
  <c r="Q447" i="2" s="1"/>
  <c r="G447" i="2"/>
  <c r="O446" i="2"/>
  <c r="P446" i="2" s="1"/>
  <c r="Q446" i="2" s="1"/>
  <c r="G446" i="2"/>
  <c r="O445" i="2"/>
  <c r="P445" i="2" s="1"/>
  <c r="Q445" i="2" s="1"/>
  <c r="G445" i="2"/>
  <c r="C515" i="2" l="1"/>
  <c r="D516" i="2"/>
  <c r="R46" i="2"/>
  <c r="R47" i="2"/>
  <c r="R48" i="2"/>
  <c r="S48" i="2" s="1"/>
  <c r="R453" i="2"/>
  <c r="R455" i="2"/>
  <c r="R445" i="2"/>
  <c r="S445" i="2"/>
  <c r="R457" i="2"/>
  <c r="R447" i="2"/>
  <c r="R459" i="2"/>
  <c r="R449" i="2"/>
  <c r="R461" i="2"/>
  <c r="S461" i="2"/>
  <c r="R451" i="2"/>
  <c r="R463" i="2"/>
  <c r="R450" i="2"/>
  <c r="R452" i="2"/>
  <c r="R462" i="2"/>
  <c r="R448" i="2"/>
  <c r="S448" i="2" s="1"/>
  <c r="R458" i="2"/>
  <c r="D449" i="2"/>
  <c r="R454" i="2"/>
  <c r="R464" i="2"/>
  <c r="R460" i="2"/>
  <c r="R446" i="2"/>
  <c r="R465" i="2"/>
  <c r="R456" i="2"/>
  <c r="R466" i="2"/>
  <c r="J22" i="2"/>
  <c r="J23" i="2"/>
  <c r="J24" i="2"/>
  <c r="L24" i="2" s="1"/>
  <c r="J25" i="2"/>
  <c r="J26" i="2"/>
  <c r="E20" i="24"/>
  <c r="E21" i="24"/>
  <c r="D517" i="2" l="1"/>
  <c r="C516" i="2"/>
  <c r="S47" i="2"/>
  <c r="S46" i="2"/>
  <c r="S462" i="2"/>
  <c r="S466" i="2"/>
  <c r="S455" i="2"/>
  <c r="S452" i="2"/>
  <c r="S456" i="2"/>
  <c r="S453" i="2"/>
  <c r="S450" i="2"/>
  <c r="S465" i="2"/>
  <c r="S463" i="2"/>
  <c r="S446" i="2"/>
  <c r="S451" i="2"/>
  <c r="S460" i="2"/>
  <c r="S464" i="2"/>
  <c r="S449" i="2"/>
  <c r="S454" i="2"/>
  <c r="S459" i="2"/>
  <c r="D450" i="2"/>
  <c r="S447" i="2"/>
  <c r="S458" i="2"/>
  <c r="S457" i="2"/>
  <c r="L23" i="2"/>
  <c r="C22" i="23" s="1"/>
  <c r="L22" i="2"/>
  <c r="L26" i="2"/>
  <c r="C25" i="23" s="1"/>
  <c r="L25" i="2"/>
  <c r="C24" i="23" s="1"/>
  <c r="O291" i="2"/>
  <c r="P291" i="2"/>
  <c r="Q291" i="2" s="1"/>
  <c r="O115" i="2"/>
  <c r="P115" i="2" s="1"/>
  <c r="Q115" i="2" s="1"/>
  <c r="O116" i="2"/>
  <c r="P116" i="2"/>
  <c r="Q116" i="2" s="1"/>
  <c r="O117" i="2"/>
  <c r="P117" i="2" s="1"/>
  <c r="Q117" i="2" s="1"/>
  <c r="R117" i="2" s="1"/>
  <c r="O118" i="2"/>
  <c r="P118" i="2" s="1"/>
  <c r="Q118" i="2" s="1"/>
  <c r="O119" i="2"/>
  <c r="P119" i="2" s="1"/>
  <c r="Q119" i="2" s="1"/>
  <c r="O120" i="2"/>
  <c r="P120" i="2" s="1"/>
  <c r="Q120" i="2" s="1"/>
  <c r="R120" i="2" s="1"/>
  <c r="O121" i="2"/>
  <c r="P121" i="2"/>
  <c r="Q121" i="2" s="1"/>
  <c r="R121" i="2" s="1"/>
  <c r="O122" i="2"/>
  <c r="P122" i="2" s="1"/>
  <c r="Q122" i="2" s="1"/>
  <c r="O123" i="2"/>
  <c r="P123" i="2"/>
  <c r="Q123" i="2" s="1"/>
  <c r="O124" i="2"/>
  <c r="P124" i="2"/>
  <c r="Q124" i="2" s="1"/>
  <c r="O125" i="2"/>
  <c r="P125" i="2"/>
  <c r="Q125" i="2" s="1"/>
  <c r="O126" i="2"/>
  <c r="P126" i="2"/>
  <c r="Q126" i="2"/>
  <c r="R126" i="2"/>
  <c r="O127" i="2"/>
  <c r="P127" i="2" s="1"/>
  <c r="Q127" i="2" s="1"/>
  <c r="O128" i="2"/>
  <c r="P128" i="2"/>
  <c r="Q128" i="2"/>
  <c r="R128" i="2"/>
  <c r="O129" i="2"/>
  <c r="P129" i="2" s="1"/>
  <c r="Q129" i="2" s="1"/>
  <c r="O130" i="2"/>
  <c r="P130" i="2" s="1"/>
  <c r="Q130" i="2" s="1"/>
  <c r="O131" i="2"/>
  <c r="P131" i="2"/>
  <c r="Q131" i="2" s="1"/>
  <c r="R131" i="2" s="1"/>
  <c r="O132" i="2"/>
  <c r="P132" i="2"/>
  <c r="Q132" i="2" s="1"/>
  <c r="O133" i="2"/>
  <c r="P133" i="2"/>
  <c r="Q133" i="2" s="1"/>
  <c r="R133" i="2" s="1"/>
  <c r="S133" i="2" s="1"/>
  <c r="O134" i="2"/>
  <c r="P134" i="2"/>
  <c r="Q134" i="2"/>
  <c r="R134" i="2"/>
  <c r="O135" i="2"/>
  <c r="P135" i="2"/>
  <c r="Q135" i="2"/>
  <c r="S135" i="2" s="1"/>
  <c r="R135" i="2"/>
  <c r="O136" i="2"/>
  <c r="P136" i="2" s="1"/>
  <c r="Q136" i="2" s="1"/>
  <c r="O71" i="2"/>
  <c r="P71" i="2" s="1"/>
  <c r="Q71" i="2" s="1"/>
  <c r="F395" i="2"/>
  <c r="K12" i="24"/>
  <c r="J6" i="24"/>
  <c r="O26" i="3"/>
  <c r="O25" i="3"/>
  <c r="O24" i="3"/>
  <c r="O23" i="3"/>
  <c r="O22" i="3"/>
  <c r="O21" i="3"/>
  <c r="O20" i="3"/>
  <c r="C92" i="4"/>
  <c r="C91" i="4"/>
  <c r="C90" i="4"/>
  <c r="C89" i="4"/>
  <c r="C88" i="4"/>
  <c r="C87" i="4"/>
  <c r="C86" i="4"/>
  <c r="C85" i="4"/>
  <c r="C84" i="4"/>
  <c r="C83" i="4"/>
  <c r="C82" i="4"/>
  <c r="C81" i="4"/>
  <c r="C80" i="4"/>
  <c r="C79" i="4"/>
  <c r="C78" i="4"/>
  <c r="E5" i="3" s="1"/>
  <c r="C77" i="4"/>
  <c r="C99" i="4"/>
  <c r="E26" i="3" s="1"/>
  <c r="C98" i="4"/>
  <c r="E25" i="3" s="1"/>
  <c r="C97" i="4"/>
  <c r="E24" i="3" s="1"/>
  <c r="C96" i="4"/>
  <c r="E23" i="3" s="1"/>
  <c r="C95" i="4"/>
  <c r="E22" i="3" s="1"/>
  <c r="C94" i="4"/>
  <c r="E21" i="3" s="1"/>
  <c r="C93" i="4"/>
  <c r="C23" i="23"/>
  <c r="F25" i="3" l="1"/>
  <c r="D518" i="2"/>
  <c r="C517" i="2"/>
  <c r="S134" i="2"/>
  <c r="S126" i="2"/>
  <c r="S128" i="2"/>
  <c r="R129" i="2"/>
  <c r="S129" i="2" s="1"/>
  <c r="R119" i="2"/>
  <c r="S119" i="2"/>
  <c r="R118" i="2"/>
  <c r="S118" i="2"/>
  <c r="R116" i="2"/>
  <c r="S116" i="2"/>
  <c r="R115" i="2"/>
  <c r="S115" i="2"/>
  <c r="R123" i="2"/>
  <c r="S123" i="2" s="1"/>
  <c r="R130" i="2"/>
  <c r="S130" i="2" s="1"/>
  <c r="S117" i="2"/>
  <c r="D451" i="2"/>
  <c r="R127" i="2"/>
  <c r="R122" i="2"/>
  <c r="S122" i="2" s="1"/>
  <c r="S131" i="2"/>
  <c r="S121" i="2"/>
  <c r="S120" i="2"/>
  <c r="R125" i="2"/>
  <c r="S125" i="2" s="1"/>
  <c r="R124" i="2"/>
  <c r="S124" i="2"/>
  <c r="R291" i="2"/>
  <c r="S291" i="2"/>
  <c r="R132" i="2"/>
  <c r="S132" i="2"/>
  <c r="R136" i="2"/>
  <c r="S136" i="2"/>
  <c r="R71" i="2"/>
  <c r="F22" i="3"/>
  <c r="F23" i="3"/>
  <c r="F24" i="3"/>
  <c r="F26" i="3"/>
  <c r="C21" i="23"/>
  <c r="H16" i="24"/>
  <c r="D26" i="24"/>
  <c r="G40" i="25"/>
  <c r="C518" i="2" l="1"/>
  <c r="D519" i="2"/>
  <c r="D452" i="2"/>
  <c r="S127" i="2"/>
  <c r="S71" i="2"/>
  <c r="G110" i="2"/>
  <c r="G92" i="2"/>
  <c r="G68" i="2"/>
  <c r="G69" i="2"/>
  <c r="G70" i="2"/>
  <c r="O154" i="2"/>
  <c r="P154" i="2" s="1"/>
  <c r="Q154" i="2" s="1"/>
  <c r="O374" i="2"/>
  <c r="P374" i="2" s="1"/>
  <c r="Q374" i="2" s="1"/>
  <c r="O375" i="2"/>
  <c r="P375" i="2" s="1"/>
  <c r="Q375" i="2" s="1"/>
  <c r="O376" i="2"/>
  <c r="P376" i="2" s="1"/>
  <c r="Q376" i="2" s="1"/>
  <c r="O377" i="2"/>
  <c r="P377" i="2" s="1"/>
  <c r="Q377" i="2" s="1"/>
  <c r="R377" i="2" s="1"/>
  <c r="O378" i="2"/>
  <c r="P378" i="2" s="1"/>
  <c r="Q378" i="2" s="1"/>
  <c r="R378" i="2" s="1"/>
  <c r="O352" i="2"/>
  <c r="P352" i="2" s="1"/>
  <c r="Q352" i="2" s="1"/>
  <c r="O353" i="2"/>
  <c r="P353" i="2" s="1"/>
  <c r="Q353" i="2" s="1"/>
  <c r="O354" i="2"/>
  <c r="P354" i="2" s="1"/>
  <c r="Q354" i="2" s="1"/>
  <c r="O355" i="2"/>
  <c r="P355" i="2" s="1"/>
  <c r="Q355" i="2" s="1"/>
  <c r="R355" i="2" s="1"/>
  <c r="O356" i="2"/>
  <c r="P356" i="2" s="1"/>
  <c r="Q356" i="2" s="1"/>
  <c r="O330" i="2"/>
  <c r="P330" i="2" s="1"/>
  <c r="Q330" i="2" s="1"/>
  <c r="R330" i="2" s="1"/>
  <c r="O331" i="2"/>
  <c r="P331" i="2" s="1"/>
  <c r="Q331" i="2" s="1"/>
  <c r="O332" i="2"/>
  <c r="P332" i="2" s="1"/>
  <c r="Q332" i="2" s="1"/>
  <c r="O333" i="2"/>
  <c r="P333" i="2" s="1"/>
  <c r="Q333" i="2" s="1"/>
  <c r="O334" i="2"/>
  <c r="P334" i="2" s="1"/>
  <c r="Q334" i="2" s="1"/>
  <c r="R334" i="2" s="1"/>
  <c r="O308" i="2"/>
  <c r="P308" i="2" s="1"/>
  <c r="Q308" i="2" s="1"/>
  <c r="O309" i="2"/>
  <c r="P309" i="2"/>
  <c r="Q309" i="2" s="1"/>
  <c r="O310" i="2"/>
  <c r="P310" i="2" s="1"/>
  <c r="Q310" i="2" s="1"/>
  <c r="R310" i="2" s="1"/>
  <c r="O311" i="2"/>
  <c r="P311" i="2" s="1"/>
  <c r="Q311" i="2" s="1"/>
  <c r="O312" i="2"/>
  <c r="P312" i="2" s="1"/>
  <c r="Q312" i="2" s="1"/>
  <c r="O286" i="2"/>
  <c r="P286" i="2" s="1"/>
  <c r="Q286" i="2" s="1"/>
  <c r="O287" i="2"/>
  <c r="P287" i="2" s="1"/>
  <c r="Q287" i="2" s="1"/>
  <c r="R287" i="2" s="1"/>
  <c r="O288" i="2"/>
  <c r="P288" i="2" s="1"/>
  <c r="Q288" i="2" s="1"/>
  <c r="O289" i="2"/>
  <c r="P289" i="2"/>
  <c r="Q289" i="2" s="1"/>
  <c r="O290" i="2"/>
  <c r="P290" i="2" s="1"/>
  <c r="Q290" i="2" s="1"/>
  <c r="R290" i="2" s="1"/>
  <c r="O264" i="2"/>
  <c r="P264" i="2" s="1"/>
  <c r="Q264" i="2" s="1"/>
  <c r="R264" i="2" s="1"/>
  <c r="O265" i="2"/>
  <c r="P265" i="2" s="1"/>
  <c r="Q265" i="2" s="1"/>
  <c r="O266" i="2"/>
  <c r="P266" i="2" s="1"/>
  <c r="Q266" i="2" s="1"/>
  <c r="R266" i="2" s="1"/>
  <c r="O267" i="2"/>
  <c r="P267" i="2" s="1"/>
  <c r="Q267" i="2" s="1"/>
  <c r="O268" i="2"/>
  <c r="P268" i="2" s="1"/>
  <c r="Q268" i="2" s="1"/>
  <c r="R268" i="2" s="1"/>
  <c r="O242" i="2"/>
  <c r="P242" i="2"/>
  <c r="Q242" i="2" s="1"/>
  <c r="O243" i="2"/>
  <c r="P243" i="2" s="1"/>
  <c r="Q243" i="2" s="1"/>
  <c r="O244" i="2"/>
  <c r="P244" i="2"/>
  <c r="Q244" i="2"/>
  <c r="R244" i="2" s="1"/>
  <c r="O245" i="2"/>
  <c r="P245" i="2" s="1"/>
  <c r="Q245" i="2" s="1"/>
  <c r="R245" i="2" s="1"/>
  <c r="O246" i="2"/>
  <c r="P246" i="2" s="1"/>
  <c r="Q246" i="2" s="1"/>
  <c r="O220" i="2"/>
  <c r="P220" i="2" s="1"/>
  <c r="Q220" i="2" s="1"/>
  <c r="O221" i="2"/>
  <c r="P221" i="2" s="1"/>
  <c r="Q221" i="2" s="1"/>
  <c r="O222" i="2"/>
  <c r="P222" i="2" s="1"/>
  <c r="Q222" i="2" s="1"/>
  <c r="R222" i="2" s="1"/>
  <c r="O223" i="2"/>
  <c r="P223" i="2" s="1"/>
  <c r="Q223" i="2" s="1"/>
  <c r="O224" i="2"/>
  <c r="P224" i="2" s="1"/>
  <c r="Q224" i="2" s="1"/>
  <c r="R224" i="2" s="1"/>
  <c r="O198" i="2"/>
  <c r="P198" i="2" s="1"/>
  <c r="Q198" i="2" s="1"/>
  <c r="O199" i="2"/>
  <c r="P199" i="2" s="1"/>
  <c r="Q199" i="2" s="1"/>
  <c r="O200" i="2"/>
  <c r="P200" i="2" s="1"/>
  <c r="Q200" i="2" s="1"/>
  <c r="R200" i="2" s="1"/>
  <c r="O201" i="2"/>
  <c r="P201" i="2" s="1"/>
  <c r="Q201" i="2" s="1"/>
  <c r="R201" i="2" s="1"/>
  <c r="O202" i="2"/>
  <c r="P202" i="2" s="1"/>
  <c r="Q202" i="2" s="1"/>
  <c r="R202" i="2" s="1"/>
  <c r="O176" i="2"/>
  <c r="P176" i="2" s="1"/>
  <c r="Q176" i="2" s="1"/>
  <c r="O177" i="2"/>
  <c r="P177" i="2" s="1"/>
  <c r="Q177" i="2" s="1"/>
  <c r="O178" i="2"/>
  <c r="P178" i="2" s="1"/>
  <c r="Q178" i="2" s="1"/>
  <c r="R178" i="2" s="1"/>
  <c r="O179" i="2"/>
  <c r="P179" i="2" s="1"/>
  <c r="Q179" i="2" s="1"/>
  <c r="O180" i="2"/>
  <c r="P180" i="2"/>
  <c r="Q180" i="2" s="1"/>
  <c r="R180" i="2" s="1"/>
  <c r="O155" i="2"/>
  <c r="P155" i="2" s="1"/>
  <c r="Q155" i="2" s="1"/>
  <c r="O156" i="2"/>
  <c r="P156" i="2" s="1"/>
  <c r="Q156" i="2" s="1"/>
  <c r="O157" i="2"/>
  <c r="P157" i="2"/>
  <c r="Q157" i="2" s="1"/>
  <c r="R157" i="2" s="1"/>
  <c r="O158" i="2"/>
  <c r="P158" i="2" s="1"/>
  <c r="Q158" i="2" s="1"/>
  <c r="O110" i="2"/>
  <c r="P110" i="2" s="1"/>
  <c r="Q110" i="2" s="1"/>
  <c r="O111" i="2"/>
  <c r="P111" i="2" s="1"/>
  <c r="Q111" i="2" s="1"/>
  <c r="O112" i="2"/>
  <c r="P112" i="2" s="1"/>
  <c r="Q112" i="2" s="1"/>
  <c r="R112" i="2" s="1"/>
  <c r="O113" i="2"/>
  <c r="P113" i="2" s="1"/>
  <c r="Q113" i="2" s="1"/>
  <c r="O114" i="2"/>
  <c r="P114" i="2" s="1"/>
  <c r="Q114" i="2" s="1"/>
  <c r="R114" i="2" s="1"/>
  <c r="O66" i="2"/>
  <c r="P66" i="2" s="1"/>
  <c r="Q66" i="2" s="1"/>
  <c r="O67" i="2"/>
  <c r="P67" i="2" s="1"/>
  <c r="Q67" i="2" s="1"/>
  <c r="O68" i="2"/>
  <c r="P68" i="2" s="1"/>
  <c r="Q68" i="2" s="1"/>
  <c r="R68" i="2" s="1"/>
  <c r="O69" i="2"/>
  <c r="P69" i="2" s="1"/>
  <c r="Q69" i="2" s="1"/>
  <c r="R69" i="2" s="1"/>
  <c r="O70" i="2"/>
  <c r="P70" i="2" s="1"/>
  <c r="Q70" i="2" s="1"/>
  <c r="O44" i="2"/>
  <c r="P44" i="2" s="1"/>
  <c r="Q44" i="2" s="1"/>
  <c r="O45" i="2"/>
  <c r="P45" i="2" s="1"/>
  <c r="Q45" i="2" s="1"/>
  <c r="O88" i="2"/>
  <c r="P88" i="2" s="1"/>
  <c r="Q88" i="2" s="1"/>
  <c r="O89" i="2"/>
  <c r="P89" i="2" s="1"/>
  <c r="Q89" i="2" s="1"/>
  <c r="O90" i="2"/>
  <c r="P90" i="2" s="1"/>
  <c r="Q90" i="2" s="1"/>
  <c r="O91" i="2"/>
  <c r="P91" i="2" s="1"/>
  <c r="Q91" i="2" s="1"/>
  <c r="R91" i="2" s="1"/>
  <c r="O92" i="2"/>
  <c r="P92" i="2" s="1"/>
  <c r="Q92" i="2" s="1"/>
  <c r="G180" i="2"/>
  <c r="G286" i="2"/>
  <c r="G287" i="2"/>
  <c r="G288" i="2"/>
  <c r="G289" i="2"/>
  <c r="G290" i="2"/>
  <c r="G308" i="2"/>
  <c r="G309" i="2"/>
  <c r="G310" i="2"/>
  <c r="G311" i="2"/>
  <c r="G312" i="2"/>
  <c r="G334" i="2"/>
  <c r="G330" i="2"/>
  <c r="G331" i="2"/>
  <c r="G332" i="2"/>
  <c r="G333" i="2"/>
  <c r="G352" i="2"/>
  <c r="G353" i="2"/>
  <c r="G354" i="2"/>
  <c r="G355" i="2"/>
  <c r="G356" i="2"/>
  <c r="G374" i="2"/>
  <c r="G375" i="2"/>
  <c r="G376" i="2"/>
  <c r="G377" i="2"/>
  <c r="G378" i="2"/>
  <c r="G264" i="2"/>
  <c r="G265" i="2"/>
  <c r="G266" i="2"/>
  <c r="G267" i="2"/>
  <c r="G268" i="2"/>
  <c r="G242" i="2"/>
  <c r="G243" i="2"/>
  <c r="G244" i="2"/>
  <c r="G245" i="2"/>
  <c r="G246" i="2"/>
  <c r="G220" i="2"/>
  <c r="G221" i="2"/>
  <c r="G222" i="2"/>
  <c r="G223" i="2"/>
  <c r="G224" i="2"/>
  <c r="G198" i="2"/>
  <c r="G199" i="2"/>
  <c r="G200" i="2"/>
  <c r="G201" i="2"/>
  <c r="G202" i="2"/>
  <c r="G176" i="2"/>
  <c r="G177" i="2"/>
  <c r="G178" i="2"/>
  <c r="G179" i="2"/>
  <c r="G154" i="2"/>
  <c r="G155" i="2"/>
  <c r="G156" i="2"/>
  <c r="G157" i="2"/>
  <c r="G158" i="2"/>
  <c r="G132" i="2"/>
  <c r="G133" i="2"/>
  <c r="G134" i="2"/>
  <c r="G135" i="2"/>
  <c r="G136" i="2"/>
  <c r="G111" i="2"/>
  <c r="G112" i="2"/>
  <c r="G113" i="2"/>
  <c r="G114" i="2"/>
  <c r="G88" i="2"/>
  <c r="G89" i="2"/>
  <c r="G90" i="2"/>
  <c r="G91" i="2"/>
  <c r="G66" i="2"/>
  <c r="G67" i="2"/>
  <c r="G45" i="2"/>
  <c r="G44" i="2"/>
  <c r="D520" i="2" l="1"/>
  <c r="C519" i="2"/>
  <c r="D453" i="2"/>
  <c r="R199" i="2"/>
  <c r="R67" i="2"/>
  <c r="R44" i="2"/>
  <c r="S44" i="2"/>
  <c r="S330" i="2"/>
  <c r="R242" i="2"/>
  <c r="S242" i="2"/>
  <c r="S264" i="2"/>
  <c r="R45" i="2"/>
  <c r="R92" i="2"/>
  <c r="S92" i="2" s="1"/>
  <c r="S201" i="2"/>
  <c r="S112" i="2"/>
  <c r="R374" i="2"/>
  <c r="S374" i="2" s="1"/>
  <c r="R332" i="2"/>
  <c r="S332" i="2" s="1"/>
  <c r="R331" i="2"/>
  <c r="R309" i="2"/>
  <c r="R288" i="2"/>
  <c r="R286" i="2"/>
  <c r="S287" i="2"/>
  <c r="R246" i="2"/>
  <c r="S246" i="2" s="1"/>
  <c r="S244" i="2"/>
  <c r="R223" i="2"/>
  <c r="S223" i="2"/>
  <c r="R176" i="2"/>
  <c r="S176" i="2"/>
  <c r="S180" i="2"/>
  <c r="R198" i="2"/>
  <c r="S198" i="2" s="1"/>
  <c r="S200" i="2"/>
  <c r="R158" i="2"/>
  <c r="S158" i="2" s="1"/>
  <c r="R156" i="2"/>
  <c r="S156" i="2" s="1"/>
  <c r="S157" i="2"/>
  <c r="R110" i="2"/>
  <c r="S110" i="2" s="1"/>
  <c r="S114" i="2"/>
  <c r="R90" i="2"/>
  <c r="R88" i="2"/>
  <c r="S88" i="2" s="1"/>
  <c r="R66" i="2"/>
  <c r="S66" i="2" s="1"/>
  <c r="R70" i="2"/>
  <c r="S69" i="2"/>
  <c r="S68" i="2"/>
  <c r="S378" i="2"/>
  <c r="S377" i="2"/>
  <c r="R356" i="2"/>
  <c r="R354" i="2"/>
  <c r="S355" i="2"/>
  <c r="R353" i="2"/>
  <c r="S353" i="2" s="1"/>
  <c r="R352" i="2"/>
  <c r="S352" i="2"/>
  <c r="R333" i="2"/>
  <c r="S334" i="2"/>
  <c r="R311" i="2"/>
  <c r="R312" i="2"/>
  <c r="R308" i="2"/>
  <c r="S308" i="2"/>
  <c r="R289" i="2"/>
  <c r="R267" i="2"/>
  <c r="S267" i="2" s="1"/>
  <c r="S268" i="2"/>
  <c r="S266" i="2"/>
  <c r="R265" i="2"/>
  <c r="S265" i="2" s="1"/>
  <c r="S245" i="2"/>
  <c r="S224" i="2"/>
  <c r="S222" i="2"/>
  <c r="R220" i="2"/>
  <c r="S220" i="2" s="1"/>
  <c r="R221" i="2"/>
  <c r="S202" i="2"/>
  <c r="R179" i="2"/>
  <c r="R177" i="2"/>
  <c r="S177" i="2" s="1"/>
  <c r="R154" i="2"/>
  <c r="S154" i="2" s="1"/>
  <c r="R111" i="2"/>
  <c r="S111" i="2"/>
  <c r="S91" i="2"/>
  <c r="R376" i="2"/>
  <c r="S376" i="2" s="1"/>
  <c r="R375" i="2"/>
  <c r="S375" i="2" s="1"/>
  <c r="S310" i="2"/>
  <c r="S290" i="2"/>
  <c r="R243" i="2"/>
  <c r="S243" i="2" s="1"/>
  <c r="S178" i="2"/>
  <c r="R155" i="2"/>
  <c r="S155" i="2"/>
  <c r="R113" i="2"/>
  <c r="R89" i="2"/>
  <c r="S89" i="2" s="1"/>
  <c r="D523" i="2" l="1"/>
  <c r="C520" i="2"/>
  <c r="D521" i="2"/>
  <c r="D454" i="2"/>
  <c r="S199" i="2"/>
  <c r="S67" i="2"/>
  <c r="S45" i="2"/>
  <c r="S331" i="2"/>
  <c r="S309" i="2"/>
  <c r="S286" i="2"/>
  <c r="S288" i="2"/>
  <c r="S90" i="2"/>
  <c r="S70" i="2"/>
  <c r="S354" i="2"/>
  <c r="S356" i="2"/>
  <c r="S333" i="2"/>
  <c r="S312" i="2"/>
  <c r="S311" i="2"/>
  <c r="S289" i="2"/>
  <c r="S221" i="2"/>
  <c r="S179" i="2"/>
  <c r="S113" i="2"/>
  <c r="B187" i="12"/>
  <c r="B188" i="12"/>
  <c r="B189" i="12"/>
  <c r="B190" i="12"/>
  <c r="B191" i="12"/>
  <c r="B192" i="12"/>
  <c r="W23" i="26"/>
  <c r="W24" i="26"/>
  <c r="W25" i="26"/>
  <c r="W26" i="26"/>
  <c r="W22" i="26"/>
  <c r="V22" i="26"/>
  <c r="V23" i="26"/>
  <c r="V24" i="26"/>
  <c r="V25" i="26"/>
  <c r="V26" i="26"/>
  <c r="V27" i="26"/>
  <c r="Q22" i="26"/>
  <c r="Q23" i="26"/>
  <c r="Q24" i="26"/>
  <c r="Q25" i="26"/>
  <c r="Q26" i="26"/>
  <c r="Q27" i="26"/>
  <c r="L22" i="26"/>
  <c r="L23" i="26"/>
  <c r="L24" i="26"/>
  <c r="L25" i="26"/>
  <c r="L26" i="26"/>
  <c r="L27" i="26"/>
  <c r="G22" i="26"/>
  <c r="G23" i="26"/>
  <c r="G24" i="26"/>
  <c r="G25" i="26"/>
  <c r="G26" i="26"/>
  <c r="G27" i="26"/>
  <c r="V72" i="4"/>
  <c r="W72" i="4"/>
  <c r="X72" i="4"/>
  <c r="Y72" i="4"/>
  <c r="Z72" i="4"/>
  <c r="N21" i="3"/>
  <c r="N22" i="3"/>
  <c r="N23" i="3"/>
  <c r="N24" i="3"/>
  <c r="N25" i="3"/>
  <c r="N26" i="3"/>
  <c r="Y17" i="4"/>
  <c r="T17" i="4"/>
  <c r="U17" i="4"/>
  <c r="V17" i="4"/>
  <c r="X17" i="4"/>
  <c r="X18" i="4" l="1"/>
  <c r="C42" i="4"/>
  <c r="C25" i="3" s="1"/>
  <c r="C38" i="4"/>
  <c r="C21" i="3" s="1"/>
  <c r="C41" i="4"/>
  <c r="C24" i="3" s="1"/>
  <c r="C40" i="4"/>
  <c r="C23" i="3" s="1"/>
  <c r="C43" i="4"/>
  <c r="C26" i="3" s="1"/>
  <c r="C39" i="4"/>
  <c r="C22" i="3" s="1"/>
  <c r="C521" i="2"/>
  <c r="D522" i="2"/>
  <c r="D524" i="2"/>
  <c r="D526" i="2"/>
  <c r="D455" i="2"/>
  <c r="D457" i="2"/>
  <c r="AA72" i="4"/>
  <c r="V18" i="4"/>
  <c r="W18" i="4"/>
  <c r="Y18" i="4"/>
  <c r="U18" i="4"/>
  <c r="D22" i="3" l="1"/>
  <c r="P22" i="3" s="1"/>
  <c r="D23" i="3"/>
  <c r="P23" i="3" s="1"/>
  <c r="D24" i="3"/>
  <c r="P24" i="3" s="1"/>
  <c r="D25" i="3"/>
  <c r="P25" i="3" s="1"/>
  <c r="D26" i="3"/>
  <c r="D529" i="2"/>
  <c r="D527" i="2"/>
  <c r="C522" i="2"/>
  <c r="C523" i="2" s="1"/>
  <c r="C524" i="2" s="1"/>
  <c r="D525" i="2"/>
  <c r="D466" i="2"/>
  <c r="D461" i="2"/>
  <c r="D458" i="2"/>
  <c r="D456" i="2"/>
  <c r="Z18" i="4"/>
  <c r="P26" i="3" l="1"/>
  <c r="R27" i="26"/>
  <c r="C525" i="2"/>
  <c r="D528" i="2"/>
  <c r="D530" i="2"/>
  <c r="D532" i="2"/>
  <c r="C526" i="2"/>
  <c r="C527" i="2" s="1"/>
  <c r="D460" i="2"/>
  <c r="D459" i="2"/>
  <c r="D462" i="2"/>
  <c r="D465" i="2"/>
  <c r="L18" i="25"/>
  <c r="L19" i="25"/>
  <c r="L20" i="25"/>
  <c r="L21" i="25"/>
  <c r="L22" i="25"/>
  <c r="L23" i="25"/>
  <c r="L24" i="25"/>
  <c r="L25" i="25"/>
  <c r="L26" i="25"/>
  <c r="L27" i="25"/>
  <c r="L28" i="25"/>
  <c r="L29" i="25"/>
  <c r="L30" i="25"/>
  <c r="L31" i="25"/>
  <c r="L32" i="25"/>
  <c r="L33" i="25"/>
  <c r="L34" i="25"/>
  <c r="L35" i="25"/>
  <c r="L36" i="25"/>
  <c r="E22" i="24" s="1"/>
  <c r="L37" i="25"/>
  <c r="E23" i="24" s="1"/>
  <c r="L38" i="25"/>
  <c r="L39" i="25"/>
  <c r="E26" i="24"/>
  <c r="L17" i="25"/>
  <c r="G37" i="25"/>
  <c r="C23" i="24" s="1"/>
  <c r="G38" i="25"/>
  <c r="C24" i="24" s="1"/>
  <c r="G39" i="25"/>
  <c r="C25" i="24" s="1"/>
  <c r="C26" i="24"/>
  <c r="O22" i="2"/>
  <c r="P22" i="2" s="1"/>
  <c r="O23" i="2"/>
  <c r="P23" i="2" s="1"/>
  <c r="O24" i="2"/>
  <c r="P24" i="2" s="1"/>
  <c r="O25" i="2"/>
  <c r="P25" i="2" s="1"/>
  <c r="O26" i="2"/>
  <c r="P26" i="2" s="1"/>
  <c r="C528" i="2" l="1"/>
  <c r="C529" i="2" s="1"/>
  <c r="C530" i="2" s="1"/>
  <c r="D531" i="2"/>
  <c r="D464" i="2"/>
  <c r="D463" i="2"/>
  <c r="E24" i="24"/>
  <c r="F24" i="24" s="1"/>
  <c r="X25" i="26" s="1"/>
  <c r="E25" i="24"/>
  <c r="F25" i="24" s="1"/>
  <c r="X26" i="26" s="1"/>
  <c r="Q23" i="2"/>
  <c r="D22" i="23"/>
  <c r="Q24" i="2"/>
  <c r="D23" i="23"/>
  <c r="Q26" i="2"/>
  <c r="D25" i="23"/>
  <c r="Q22" i="2"/>
  <c r="D21" i="23"/>
  <c r="Q25" i="2"/>
  <c r="D24" i="23"/>
  <c r="F26" i="24"/>
  <c r="F23" i="24"/>
  <c r="X24" i="26" s="1"/>
  <c r="W27" i="26"/>
  <c r="H40" i="25"/>
  <c r="D25" i="24"/>
  <c r="D24" i="24"/>
  <c r="H39" i="25"/>
  <c r="H38" i="25"/>
  <c r="C54" i="23"/>
  <c r="C53" i="23"/>
  <c r="C52" i="23"/>
  <c r="C531" i="2" l="1"/>
  <c r="C532" i="2" s="1"/>
  <c r="J26" i="24"/>
  <c r="Y27" i="26" s="1"/>
  <c r="X27" i="26"/>
  <c r="R25" i="2"/>
  <c r="F24" i="23" s="1"/>
  <c r="E24" i="23"/>
  <c r="R22" i="2"/>
  <c r="E21" i="23"/>
  <c r="R26" i="2"/>
  <c r="E25" i="23"/>
  <c r="R24" i="2"/>
  <c r="E23" i="23"/>
  <c r="R23" i="2"/>
  <c r="E22" i="23"/>
  <c r="S25" i="2" l="1"/>
  <c r="G24" i="23" s="1"/>
  <c r="S23" i="2"/>
  <c r="G22" i="23" s="1"/>
  <c r="F22" i="23"/>
  <c r="F25" i="23"/>
  <c r="S26" i="2"/>
  <c r="G25" i="23" s="1"/>
  <c r="S22" i="2"/>
  <c r="G21" i="23" s="1"/>
  <c r="F21" i="23"/>
  <c r="F23" i="23"/>
  <c r="S24" i="2"/>
  <c r="G23" i="23" s="1"/>
  <c r="D291" i="2"/>
  <c r="O373" i="2" l="1"/>
  <c r="P373" i="2" s="1"/>
  <c r="Q373" i="2" s="1"/>
  <c r="G373" i="2"/>
  <c r="G440" i="2"/>
  <c r="G441" i="2"/>
  <c r="G442" i="2"/>
  <c r="G443" i="2"/>
  <c r="G444" i="2"/>
  <c r="O351" i="2"/>
  <c r="P351" i="2" s="1"/>
  <c r="Q351" i="2" s="1"/>
  <c r="G351" i="2"/>
  <c r="O329" i="2"/>
  <c r="P329" i="2" s="1"/>
  <c r="Q329" i="2" s="1"/>
  <c r="G329" i="2"/>
  <c r="O307" i="2"/>
  <c r="P307" i="2" s="1"/>
  <c r="Q307" i="2" s="1"/>
  <c r="G307" i="2"/>
  <c r="O285" i="2"/>
  <c r="P285" i="2" s="1"/>
  <c r="Q285" i="2" s="1"/>
  <c r="G285" i="2"/>
  <c r="O263" i="2"/>
  <c r="P263" i="2" s="1"/>
  <c r="Q263" i="2" s="1"/>
  <c r="G263" i="2"/>
  <c r="O241" i="2"/>
  <c r="P241" i="2" s="1"/>
  <c r="Q241" i="2" s="1"/>
  <c r="G241" i="2"/>
  <c r="O219" i="2"/>
  <c r="P219" i="2" s="1"/>
  <c r="Q219" i="2" s="1"/>
  <c r="G219" i="2"/>
  <c r="O197" i="2"/>
  <c r="P197" i="2" s="1"/>
  <c r="Q197" i="2" s="1"/>
  <c r="G197" i="2"/>
  <c r="O175" i="2"/>
  <c r="P175" i="2" s="1"/>
  <c r="Q175" i="2" s="1"/>
  <c r="G175" i="2"/>
  <c r="O153" i="2"/>
  <c r="P153" i="2" s="1"/>
  <c r="Q153" i="2" s="1"/>
  <c r="G153" i="2"/>
  <c r="G131" i="2"/>
  <c r="O109" i="2"/>
  <c r="P109" i="2" s="1"/>
  <c r="Q109" i="2" s="1"/>
  <c r="G109" i="2"/>
  <c r="O87" i="2"/>
  <c r="P87" i="2" s="1"/>
  <c r="Q87" i="2" s="1"/>
  <c r="G87" i="2"/>
  <c r="O65" i="2"/>
  <c r="P65" i="2" s="1"/>
  <c r="Q65" i="2" s="1"/>
  <c r="G65" i="2"/>
  <c r="O43" i="2"/>
  <c r="P43" i="2" s="1"/>
  <c r="Q43" i="2" s="1"/>
  <c r="G43" i="2"/>
  <c r="G22" i="2"/>
  <c r="G23" i="2"/>
  <c r="G24" i="2"/>
  <c r="G25" i="2"/>
  <c r="G26" i="2"/>
  <c r="J21" i="2"/>
  <c r="O21" i="2" s="1"/>
  <c r="P21" i="2" s="1"/>
  <c r="G21" i="2"/>
  <c r="O396" i="2"/>
  <c r="P396" i="2" s="1"/>
  <c r="Q396" i="2" s="1"/>
  <c r="O397" i="2"/>
  <c r="P397" i="2" s="1"/>
  <c r="Q397" i="2" s="1"/>
  <c r="R397" i="2" s="1"/>
  <c r="O398" i="2"/>
  <c r="P398" i="2" s="1"/>
  <c r="Q398" i="2" s="1"/>
  <c r="O399" i="2"/>
  <c r="P399" i="2" s="1"/>
  <c r="Q399" i="2" s="1"/>
  <c r="R399" i="2" s="1"/>
  <c r="O400" i="2"/>
  <c r="P400" i="2" s="1"/>
  <c r="Q400" i="2" s="1"/>
  <c r="G396" i="2"/>
  <c r="G397" i="2"/>
  <c r="G398" i="2"/>
  <c r="G399" i="2"/>
  <c r="G400" i="2"/>
  <c r="O395" i="2"/>
  <c r="P395" i="2" s="1"/>
  <c r="Q395" i="2" s="1"/>
  <c r="G395" i="2"/>
  <c r="O440" i="2"/>
  <c r="P440" i="2" s="1"/>
  <c r="Q440" i="2" s="1"/>
  <c r="O441" i="2"/>
  <c r="P441" i="2" s="1"/>
  <c r="Q441" i="2" s="1"/>
  <c r="O442" i="2"/>
  <c r="P442" i="2" s="1"/>
  <c r="Q442" i="2" s="1"/>
  <c r="R442" i="2" s="1"/>
  <c r="O443" i="2"/>
  <c r="P443" i="2" s="1"/>
  <c r="Q443" i="2" s="1"/>
  <c r="O444" i="2"/>
  <c r="P444" i="2" s="1"/>
  <c r="Q444" i="2" s="1"/>
  <c r="O439" i="2"/>
  <c r="P439" i="2" s="1"/>
  <c r="Q439" i="2" s="1"/>
  <c r="G439" i="2"/>
  <c r="O420" i="2"/>
  <c r="P420" i="2" s="1"/>
  <c r="Q420" i="2" s="1"/>
  <c r="O418" i="2"/>
  <c r="P418" i="2" s="1"/>
  <c r="Q418" i="2" s="1"/>
  <c r="O419" i="2"/>
  <c r="P419" i="2" s="1"/>
  <c r="Q419" i="2" s="1"/>
  <c r="O421" i="2"/>
  <c r="P421" i="2" s="1"/>
  <c r="Q421" i="2" s="1"/>
  <c r="O422" i="2"/>
  <c r="P422" i="2" s="1"/>
  <c r="Q422" i="2" s="1"/>
  <c r="G418" i="2"/>
  <c r="G419" i="2"/>
  <c r="G420" i="2"/>
  <c r="G421" i="2"/>
  <c r="G422" i="2"/>
  <c r="D20" i="23" l="1"/>
  <c r="Q21" i="2"/>
  <c r="E20" i="23" s="1"/>
  <c r="R373" i="2"/>
  <c r="R351" i="2"/>
  <c r="R329" i="2"/>
  <c r="R307" i="2"/>
  <c r="R285" i="2"/>
  <c r="R263" i="2"/>
  <c r="R241" i="2"/>
  <c r="R219" i="2"/>
  <c r="R197" i="2"/>
  <c r="R175" i="2"/>
  <c r="R153" i="2"/>
  <c r="R109" i="2"/>
  <c r="R87" i="2"/>
  <c r="R65" i="2"/>
  <c r="R43" i="2"/>
  <c r="S399" i="2"/>
  <c r="L21" i="2"/>
  <c r="R398" i="2"/>
  <c r="R400" i="2"/>
  <c r="R396" i="2"/>
  <c r="S396" i="2" s="1"/>
  <c r="S397" i="2"/>
  <c r="R395" i="2"/>
  <c r="S395" i="2" s="1"/>
  <c r="R441" i="2"/>
  <c r="S441" i="2" s="1"/>
  <c r="S442" i="2"/>
  <c r="R444" i="2"/>
  <c r="S444" i="2" s="1"/>
  <c r="R443" i="2"/>
  <c r="S443" i="2" s="1"/>
  <c r="R440" i="2"/>
  <c r="S440" i="2" s="1"/>
  <c r="R439" i="2"/>
  <c r="S439" i="2" s="1"/>
  <c r="R422" i="2"/>
  <c r="S422" i="2" s="1"/>
  <c r="R421" i="2"/>
  <c r="R419" i="2"/>
  <c r="R420" i="2"/>
  <c r="R418" i="2"/>
  <c r="R21" i="2" l="1"/>
  <c r="C20" i="23"/>
  <c r="S373" i="2"/>
  <c r="S351" i="2"/>
  <c r="S329" i="2"/>
  <c r="S307" i="2"/>
  <c r="S285" i="2"/>
  <c r="S263" i="2"/>
  <c r="S241" i="2"/>
  <c r="S219" i="2"/>
  <c r="S197" i="2"/>
  <c r="S175" i="2"/>
  <c r="S153" i="2"/>
  <c r="S109" i="2"/>
  <c r="S87" i="2"/>
  <c r="S65" i="2"/>
  <c r="S43" i="2"/>
  <c r="S398" i="2"/>
  <c r="S400" i="2"/>
  <c r="S420" i="2"/>
  <c r="S419" i="2"/>
  <c r="S421" i="2"/>
  <c r="S418" i="2"/>
  <c r="S21" i="2" l="1"/>
  <c r="G20" i="23" s="1"/>
  <c r="F20" i="23"/>
  <c r="O417" i="2"/>
  <c r="P417" i="2" s="1"/>
  <c r="Q417" i="2" s="1"/>
  <c r="G417" i="2"/>
  <c r="R417" i="2" l="1"/>
  <c r="S417" i="2" l="1"/>
  <c r="G6" i="2" l="1"/>
  <c r="G7" i="2"/>
  <c r="G8" i="2"/>
  <c r="G9" i="2"/>
  <c r="G10" i="2"/>
  <c r="G13" i="2"/>
  <c r="G14" i="2"/>
  <c r="G15" i="2"/>
  <c r="G16" i="2"/>
  <c r="G17" i="2"/>
  <c r="G18" i="2"/>
  <c r="G19" i="2"/>
  <c r="G20" i="2"/>
  <c r="G27" i="2"/>
  <c r="G28" i="2"/>
  <c r="G29" i="2"/>
  <c r="G30" i="2"/>
  <c r="G31" i="2"/>
  <c r="G32" i="2"/>
  <c r="G33" i="2"/>
  <c r="G34" i="2"/>
  <c r="G35" i="2"/>
  <c r="G36" i="2"/>
  <c r="G37" i="2"/>
  <c r="G38" i="2"/>
  <c r="G39" i="2"/>
  <c r="G40" i="2"/>
  <c r="G41" i="2"/>
  <c r="G42" i="2"/>
  <c r="G49" i="2"/>
  <c r="G50" i="2"/>
  <c r="G51" i="2"/>
  <c r="G52" i="2"/>
  <c r="G53" i="2"/>
  <c r="G54" i="2"/>
  <c r="G55" i="2"/>
  <c r="G56" i="2"/>
  <c r="G57" i="2"/>
  <c r="G58" i="2"/>
  <c r="G59" i="2"/>
  <c r="G60" i="2"/>
  <c r="G61" i="2"/>
  <c r="G62" i="2"/>
  <c r="G63" i="2"/>
  <c r="G64" i="2"/>
  <c r="G71" i="2"/>
  <c r="G72" i="2"/>
  <c r="G73" i="2"/>
  <c r="G74" i="2"/>
  <c r="G75" i="2"/>
  <c r="G76" i="2"/>
  <c r="G77" i="2"/>
  <c r="G78" i="2"/>
  <c r="G79" i="2"/>
  <c r="G80" i="2"/>
  <c r="G81" i="2"/>
  <c r="G82" i="2"/>
  <c r="G83" i="2"/>
  <c r="G84" i="2"/>
  <c r="G85" i="2"/>
  <c r="G86" i="2"/>
  <c r="G93" i="2"/>
  <c r="G94" i="2"/>
  <c r="G95" i="2"/>
  <c r="G96" i="2"/>
  <c r="G97" i="2"/>
  <c r="G98" i="2"/>
  <c r="G99" i="2"/>
  <c r="G100" i="2"/>
  <c r="G101" i="2"/>
  <c r="G102" i="2"/>
  <c r="G103" i="2"/>
  <c r="G104" i="2"/>
  <c r="G105" i="2"/>
  <c r="G106" i="2"/>
  <c r="G107" i="2"/>
  <c r="G108" i="2"/>
  <c r="G115" i="2"/>
  <c r="G116" i="2"/>
  <c r="G117" i="2"/>
  <c r="G118" i="2"/>
  <c r="G119" i="2"/>
  <c r="G120" i="2"/>
  <c r="G121" i="2"/>
  <c r="G122" i="2"/>
  <c r="G123" i="2"/>
  <c r="G124" i="2"/>
  <c r="G125" i="2"/>
  <c r="G126" i="2"/>
  <c r="G127" i="2"/>
  <c r="G128" i="2"/>
  <c r="G129" i="2"/>
  <c r="G130" i="2"/>
  <c r="G137" i="2"/>
  <c r="G138" i="2"/>
  <c r="G139" i="2"/>
  <c r="G140" i="2"/>
  <c r="G141" i="2"/>
  <c r="G142" i="2"/>
  <c r="G143" i="2"/>
  <c r="G144" i="2"/>
  <c r="G145" i="2"/>
  <c r="G146" i="2"/>
  <c r="G147" i="2"/>
  <c r="G148" i="2"/>
  <c r="G149" i="2"/>
  <c r="G150" i="2"/>
  <c r="G151" i="2"/>
  <c r="G152" i="2"/>
  <c r="G159" i="2"/>
  <c r="G160" i="2"/>
  <c r="G161" i="2"/>
  <c r="G162" i="2"/>
  <c r="G163" i="2"/>
  <c r="G164" i="2"/>
  <c r="G165" i="2"/>
  <c r="G166" i="2"/>
  <c r="G167" i="2"/>
  <c r="G168" i="2"/>
  <c r="G169" i="2"/>
  <c r="G170" i="2"/>
  <c r="G171" i="2"/>
  <c r="G172" i="2"/>
  <c r="G173" i="2"/>
  <c r="G174" i="2"/>
  <c r="G181" i="2"/>
  <c r="G182" i="2"/>
  <c r="G183" i="2"/>
  <c r="G184" i="2"/>
  <c r="G185" i="2"/>
  <c r="G186" i="2"/>
  <c r="G187" i="2"/>
  <c r="G188" i="2"/>
  <c r="G189" i="2"/>
  <c r="G190" i="2"/>
  <c r="G191" i="2"/>
  <c r="G192" i="2"/>
  <c r="G193" i="2"/>
  <c r="G194" i="2"/>
  <c r="G195" i="2"/>
  <c r="G196" i="2"/>
  <c r="G203" i="2"/>
  <c r="G204" i="2"/>
  <c r="G205" i="2"/>
  <c r="G206" i="2"/>
  <c r="G207" i="2"/>
  <c r="G208" i="2"/>
  <c r="G209" i="2"/>
  <c r="G210" i="2"/>
  <c r="G211" i="2"/>
  <c r="G212" i="2"/>
  <c r="G213" i="2"/>
  <c r="G214" i="2"/>
  <c r="G215" i="2"/>
  <c r="G216" i="2"/>
  <c r="G217" i="2"/>
  <c r="G218" i="2"/>
  <c r="G225" i="2"/>
  <c r="G226" i="2"/>
  <c r="G227" i="2"/>
  <c r="G228" i="2"/>
  <c r="G229" i="2"/>
  <c r="G230" i="2"/>
  <c r="G231" i="2"/>
  <c r="G232" i="2"/>
  <c r="G233" i="2"/>
  <c r="G234" i="2"/>
  <c r="G235" i="2"/>
  <c r="G236" i="2"/>
  <c r="G237" i="2"/>
  <c r="G238" i="2"/>
  <c r="G239" i="2"/>
  <c r="G240" i="2"/>
  <c r="G247" i="2"/>
  <c r="G248" i="2"/>
  <c r="G249" i="2"/>
  <c r="G250" i="2"/>
  <c r="G251" i="2"/>
  <c r="G252" i="2"/>
  <c r="G253" i="2"/>
  <c r="G254" i="2"/>
  <c r="G255" i="2"/>
  <c r="G256" i="2"/>
  <c r="G257" i="2"/>
  <c r="G258" i="2"/>
  <c r="G259" i="2"/>
  <c r="G260" i="2"/>
  <c r="G261" i="2"/>
  <c r="G262" i="2"/>
  <c r="G269" i="2"/>
  <c r="G270" i="2"/>
  <c r="G271" i="2"/>
  <c r="G272" i="2"/>
  <c r="G273" i="2"/>
  <c r="G274" i="2"/>
  <c r="G275" i="2"/>
  <c r="G276" i="2"/>
  <c r="G277" i="2"/>
  <c r="G278" i="2"/>
  <c r="G279" i="2"/>
  <c r="G280" i="2"/>
  <c r="G281" i="2"/>
  <c r="G282" i="2"/>
  <c r="G283" i="2"/>
  <c r="G284" i="2"/>
  <c r="G291" i="2"/>
  <c r="G292" i="2"/>
  <c r="G293" i="2"/>
  <c r="G294" i="2"/>
  <c r="G295" i="2"/>
  <c r="G296" i="2"/>
  <c r="G297" i="2"/>
  <c r="G298" i="2"/>
  <c r="G299" i="2"/>
  <c r="G300" i="2"/>
  <c r="G301" i="2"/>
  <c r="G302" i="2"/>
  <c r="G303" i="2"/>
  <c r="G304" i="2"/>
  <c r="G305" i="2"/>
  <c r="G306" i="2"/>
  <c r="G313" i="2"/>
  <c r="G314" i="2"/>
  <c r="G315" i="2"/>
  <c r="G316" i="2"/>
  <c r="G317" i="2"/>
  <c r="G318" i="2"/>
  <c r="G319" i="2"/>
  <c r="G320" i="2"/>
  <c r="G321" i="2"/>
  <c r="G322" i="2"/>
  <c r="G323" i="2"/>
  <c r="G324" i="2"/>
  <c r="G325" i="2"/>
  <c r="G326" i="2"/>
  <c r="G327" i="2"/>
  <c r="G328" i="2"/>
  <c r="G335" i="2"/>
  <c r="G336" i="2"/>
  <c r="G337" i="2"/>
  <c r="G338" i="2"/>
  <c r="G339" i="2"/>
  <c r="G340" i="2"/>
  <c r="G341" i="2"/>
  <c r="G342" i="2"/>
  <c r="G343" i="2"/>
  <c r="G344" i="2"/>
  <c r="G345" i="2"/>
  <c r="G346" i="2"/>
  <c r="G347" i="2"/>
  <c r="G348" i="2"/>
  <c r="G349" i="2"/>
  <c r="G350" i="2"/>
  <c r="G357" i="2"/>
  <c r="G358" i="2"/>
  <c r="G359" i="2"/>
  <c r="G360" i="2"/>
  <c r="G361" i="2"/>
  <c r="G362" i="2"/>
  <c r="G363" i="2"/>
  <c r="G364" i="2"/>
  <c r="G365" i="2"/>
  <c r="G366" i="2"/>
  <c r="G367" i="2"/>
  <c r="G368" i="2"/>
  <c r="G369" i="2"/>
  <c r="G370" i="2"/>
  <c r="G371" i="2"/>
  <c r="G372" i="2"/>
  <c r="G379" i="2"/>
  <c r="G380" i="2"/>
  <c r="G381" i="2"/>
  <c r="G382" i="2"/>
  <c r="G383" i="2"/>
  <c r="G384" i="2"/>
  <c r="G385" i="2"/>
  <c r="G386" i="2"/>
  <c r="G387" i="2"/>
  <c r="G388" i="2"/>
  <c r="G389" i="2"/>
  <c r="G390" i="2"/>
  <c r="G391" i="2"/>
  <c r="G392" i="2"/>
  <c r="G393" i="2"/>
  <c r="G394" i="2"/>
  <c r="G401" i="2"/>
  <c r="G402" i="2"/>
  <c r="G403" i="2"/>
  <c r="G404" i="2"/>
  <c r="G405" i="2"/>
  <c r="G406" i="2"/>
  <c r="G407" i="2"/>
  <c r="G408" i="2"/>
  <c r="G409" i="2"/>
  <c r="G410" i="2"/>
  <c r="G411" i="2"/>
  <c r="G412" i="2"/>
  <c r="G413" i="2"/>
  <c r="G414" i="2"/>
  <c r="G415" i="2"/>
  <c r="G416" i="2"/>
  <c r="G423" i="2"/>
  <c r="G424" i="2"/>
  <c r="G425" i="2"/>
  <c r="G426" i="2"/>
  <c r="G427" i="2"/>
  <c r="G428" i="2"/>
  <c r="G429" i="2"/>
  <c r="G430" i="2"/>
  <c r="G431" i="2"/>
  <c r="G432" i="2"/>
  <c r="G433" i="2"/>
  <c r="G434" i="2"/>
  <c r="G435" i="2"/>
  <c r="G436" i="2"/>
  <c r="G437" i="2"/>
  <c r="G438" i="2"/>
  <c r="G5" i="2"/>
  <c r="O27" i="2"/>
  <c r="P27" i="2" s="1"/>
  <c r="Q27" i="2" s="1"/>
  <c r="O28" i="2"/>
  <c r="P28" i="2" s="1"/>
  <c r="Q28" i="2" s="1"/>
  <c r="O29" i="2"/>
  <c r="P29" i="2" s="1"/>
  <c r="Q29" i="2" s="1"/>
  <c r="O30" i="2"/>
  <c r="P30" i="2" s="1"/>
  <c r="Q30" i="2" s="1"/>
  <c r="O31" i="2"/>
  <c r="P31" i="2" s="1"/>
  <c r="Q31" i="2" s="1"/>
  <c r="O32" i="2"/>
  <c r="P32" i="2" s="1"/>
  <c r="Q32" i="2" s="1"/>
  <c r="O33" i="2"/>
  <c r="P33" i="2" s="1"/>
  <c r="Q33" i="2" s="1"/>
  <c r="O34" i="2"/>
  <c r="P34" i="2" s="1"/>
  <c r="Q34" i="2" s="1"/>
  <c r="O35" i="2"/>
  <c r="P35" i="2" s="1"/>
  <c r="Q35" i="2" s="1"/>
  <c r="O36" i="2"/>
  <c r="P36" i="2" s="1"/>
  <c r="Q36" i="2" s="1"/>
  <c r="O37" i="2"/>
  <c r="P37" i="2" s="1"/>
  <c r="Q37" i="2" s="1"/>
  <c r="O38" i="2"/>
  <c r="P38" i="2" s="1"/>
  <c r="Q38" i="2" s="1"/>
  <c r="O39" i="2"/>
  <c r="P39" i="2" s="1"/>
  <c r="Q39" i="2" s="1"/>
  <c r="O40" i="2"/>
  <c r="P40" i="2" s="1"/>
  <c r="Q40" i="2" s="1"/>
  <c r="O41" i="2"/>
  <c r="P41" i="2" s="1"/>
  <c r="Q41" i="2" s="1"/>
  <c r="O42" i="2"/>
  <c r="P42" i="2" s="1"/>
  <c r="Q42" i="2" s="1"/>
  <c r="O49" i="2"/>
  <c r="P49" i="2" s="1"/>
  <c r="Q49" i="2" s="1"/>
  <c r="O50" i="2"/>
  <c r="P50" i="2" s="1"/>
  <c r="Q50" i="2" s="1"/>
  <c r="O51" i="2"/>
  <c r="P51" i="2" s="1"/>
  <c r="Q51" i="2" s="1"/>
  <c r="O52" i="2"/>
  <c r="P52" i="2" s="1"/>
  <c r="Q52" i="2" s="1"/>
  <c r="O53" i="2"/>
  <c r="P53" i="2" s="1"/>
  <c r="Q53" i="2" s="1"/>
  <c r="O54" i="2"/>
  <c r="P54" i="2" s="1"/>
  <c r="Q54" i="2" s="1"/>
  <c r="O55" i="2"/>
  <c r="P55" i="2" s="1"/>
  <c r="Q55" i="2" s="1"/>
  <c r="O56" i="2"/>
  <c r="P56" i="2" s="1"/>
  <c r="Q56" i="2" s="1"/>
  <c r="O57" i="2"/>
  <c r="P57" i="2" s="1"/>
  <c r="Q57" i="2" s="1"/>
  <c r="O58" i="2"/>
  <c r="P58" i="2" s="1"/>
  <c r="Q58" i="2" s="1"/>
  <c r="O59" i="2"/>
  <c r="P59" i="2" s="1"/>
  <c r="Q59" i="2" s="1"/>
  <c r="O60" i="2"/>
  <c r="P60" i="2" s="1"/>
  <c r="Q60" i="2" s="1"/>
  <c r="O61" i="2"/>
  <c r="P61" i="2" s="1"/>
  <c r="Q61" i="2" s="1"/>
  <c r="O62" i="2"/>
  <c r="P62" i="2" s="1"/>
  <c r="Q62" i="2" s="1"/>
  <c r="O63" i="2"/>
  <c r="P63" i="2" s="1"/>
  <c r="Q63" i="2" s="1"/>
  <c r="O64" i="2"/>
  <c r="P64" i="2" s="1"/>
  <c r="Q64" i="2" s="1"/>
  <c r="O72" i="2"/>
  <c r="P72" i="2" s="1"/>
  <c r="Q72" i="2" s="1"/>
  <c r="O73" i="2"/>
  <c r="P73" i="2" s="1"/>
  <c r="Q73" i="2" s="1"/>
  <c r="O74" i="2"/>
  <c r="P74" i="2" s="1"/>
  <c r="Q74" i="2" s="1"/>
  <c r="O75" i="2"/>
  <c r="P75" i="2" s="1"/>
  <c r="Q75" i="2" s="1"/>
  <c r="O76" i="2"/>
  <c r="P76" i="2" s="1"/>
  <c r="Q76" i="2" s="1"/>
  <c r="O77" i="2"/>
  <c r="P77" i="2" s="1"/>
  <c r="Q77" i="2" s="1"/>
  <c r="O78" i="2"/>
  <c r="P78" i="2" s="1"/>
  <c r="Q78" i="2" s="1"/>
  <c r="O79" i="2"/>
  <c r="P79" i="2" s="1"/>
  <c r="Q79" i="2" s="1"/>
  <c r="O80" i="2"/>
  <c r="P80" i="2" s="1"/>
  <c r="Q80" i="2" s="1"/>
  <c r="O81" i="2"/>
  <c r="P81" i="2" s="1"/>
  <c r="Q81" i="2" s="1"/>
  <c r="O82" i="2"/>
  <c r="P82" i="2" s="1"/>
  <c r="Q82" i="2" s="1"/>
  <c r="O83" i="2"/>
  <c r="P83" i="2" s="1"/>
  <c r="Q83" i="2" s="1"/>
  <c r="O84" i="2"/>
  <c r="P84" i="2" s="1"/>
  <c r="Q84" i="2" s="1"/>
  <c r="O85" i="2"/>
  <c r="P85" i="2" s="1"/>
  <c r="Q85" i="2" s="1"/>
  <c r="O86" i="2"/>
  <c r="P86" i="2" s="1"/>
  <c r="Q86" i="2" s="1"/>
  <c r="O93" i="2"/>
  <c r="P93" i="2" s="1"/>
  <c r="Q93" i="2" s="1"/>
  <c r="O94" i="2"/>
  <c r="P94" i="2" s="1"/>
  <c r="Q94" i="2" s="1"/>
  <c r="O95" i="2"/>
  <c r="P95" i="2" s="1"/>
  <c r="Q95" i="2" s="1"/>
  <c r="O96" i="2"/>
  <c r="P96" i="2" s="1"/>
  <c r="Q96" i="2" s="1"/>
  <c r="O97" i="2"/>
  <c r="P97" i="2" s="1"/>
  <c r="Q97" i="2" s="1"/>
  <c r="O98" i="2"/>
  <c r="P98" i="2" s="1"/>
  <c r="Q98" i="2" s="1"/>
  <c r="O99" i="2"/>
  <c r="P99" i="2" s="1"/>
  <c r="Q99" i="2" s="1"/>
  <c r="O100" i="2"/>
  <c r="P100" i="2" s="1"/>
  <c r="Q100" i="2" s="1"/>
  <c r="O101" i="2"/>
  <c r="P101" i="2" s="1"/>
  <c r="Q101" i="2" s="1"/>
  <c r="O102" i="2"/>
  <c r="P102" i="2" s="1"/>
  <c r="Q102" i="2" s="1"/>
  <c r="O103" i="2"/>
  <c r="P103" i="2" s="1"/>
  <c r="Q103" i="2" s="1"/>
  <c r="O104" i="2"/>
  <c r="P104" i="2" s="1"/>
  <c r="Q104" i="2" s="1"/>
  <c r="O105" i="2"/>
  <c r="P105" i="2" s="1"/>
  <c r="Q105" i="2" s="1"/>
  <c r="O106" i="2"/>
  <c r="P106" i="2" s="1"/>
  <c r="Q106" i="2" s="1"/>
  <c r="O107" i="2"/>
  <c r="P107" i="2" s="1"/>
  <c r="Q107" i="2" s="1"/>
  <c r="O108" i="2"/>
  <c r="P108" i="2" s="1"/>
  <c r="Q108" i="2" s="1"/>
  <c r="O137" i="2"/>
  <c r="P137" i="2" s="1"/>
  <c r="Q137" i="2" s="1"/>
  <c r="R137" i="2" s="1"/>
  <c r="O138" i="2"/>
  <c r="P138" i="2" s="1"/>
  <c r="Q138" i="2" s="1"/>
  <c r="O139" i="2"/>
  <c r="P139" i="2" s="1"/>
  <c r="Q139" i="2" s="1"/>
  <c r="O140" i="2"/>
  <c r="P140" i="2" s="1"/>
  <c r="Q140" i="2" s="1"/>
  <c r="O141" i="2"/>
  <c r="P141" i="2" s="1"/>
  <c r="Q141" i="2" s="1"/>
  <c r="O142" i="2"/>
  <c r="P142" i="2" s="1"/>
  <c r="Q142" i="2" s="1"/>
  <c r="O143" i="2"/>
  <c r="P143" i="2" s="1"/>
  <c r="Q143" i="2" s="1"/>
  <c r="R143" i="2" s="1"/>
  <c r="O144" i="2"/>
  <c r="P144" i="2" s="1"/>
  <c r="Q144" i="2" s="1"/>
  <c r="O145" i="2"/>
  <c r="P145" i="2" s="1"/>
  <c r="Q145" i="2" s="1"/>
  <c r="R145" i="2" s="1"/>
  <c r="O146" i="2"/>
  <c r="P146" i="2" s="1"/>
  <c r="Q146" i="2" s="1"/>
  <c r="O147" i="2"/>
  <c r="P147" i="2" s="1"/>
  <c r="Q147" i="2" s="1"/>
  <c r="O148" i="2"/>
  <c r="P148" i="2" s="1"/>
  <c r="Q148" i="2" s="1"/>
  <c r="O149" i="2"/>
  <c r="P149" i="2" s="1"/>
  <c r="Q149" i="2" s="1"/>
  <c r="O150" i="2"/>
  <c r="P150" i="2" s="1"/>
  <c r="Q150" i="2" s="1"/>
  <c r="O151" i="2"/>
  <c r="P151" i="2" s="1"/>
  <c r="Q151" i="2" s="1"/>
  <c r="R151" i="2" s="1"/>
  <c r="O152" i="2"/>
  <c r="P152" i="2" s="1"/>
  <c r="Q152" i="2" s="1"/>
  <c r="O159" i="2"/>
  <c r="P159" i="2" s="1"/>
  <c r="Q159" i="2" s="1"/>
  <c r="O160" i="2"/>
  <c r="P160" i="2" s="1"/>
  <c r="Q160" i="2" s="1"/>
  <c r="O161" i="2"/>
  <c r="P161" i="2" s="1"/>
  <c r="Q161" i="2" s="1"/>
  <c r="O162" i="2"/>
  <c r="P162" i="2" s="1"/>
  <c r="Q162" i="2" s="1"/>
  <c r="O163" i="2"/>
  <c r="P163" i="2" s="1"/>
  <c r="Q163" i="2" s="1"/>
  <c r="O164" i="2"/>
  <c r="P164" i="2" s="1"/>
  <c r="Q164" i="2" s="1"/>
  <c r="R164" i="2" s="1"/>
  <c r="O165" i="2"/>
  <c r="P165" i="2" s="1"/>
  <c r="Q165" i="2" s="1"/>
  <c r="O166" i="2"/>
  <c r="P166" i="2" s="1"/>
  <c r="Q166" i="2" s="1"/>
  <c r="R166" i="2" s="1"/>
  <c r="O167" i="2"/>
  <c r="P167" i="2" s="1"/>
  <c r="Q167" i="2" s="1"/>
  <c r="O168" i="2"/>
  <c r="P168" i="2" s="1"/>
  <c r="Q168" i="2" s="1"/>
  <c r="O169" i="2"/>
  <c r="P169" i="2" s="1"/>
  <c r="Q169" i="2" s="1"/>
  <c r="O170" i="2"/>
  <c r="P170" i="2" s="1"/>
  <c r="Q170" i="2" s="1"/>
  <c r="O171" i="2"/>
  <c r="P171" i="2" s="1"/>
  <c r="Q171" i="2" s="1"/>
  <c r="O172" i="2"/>
  <c r="P172" i="2" s="1"/>
  <c r="Q172" i="2" s="1"/>
  <c r="R172" i="2" s="1"/>
  <c r="O173" i="2"/>
  <c r="P173" i="2" s="1"/>
  <c r="Q173" i="2" s="1"/>
  <c r="O174" i="2"/>
  <c r="P174" i="2" s="1"/>
  <c r="Q174" i="2" s="1"/>
  <c r="R174" i="2" s="1"/>
  <c r="O181" i="2"/>
  <c r="P181" i="2" s="1"/>
  <c r="Q181" i="2" s="1"/>
  <c r="O182" i="2"/>
  <c r="P182" i="2" s="1"/>
  <c r="Q182" i="2" s="1"/>
  <c r="O183" i="2"/>
  <c r="P183" i="2" s="1"/>
  <c r="Q183" i="2" s="1"/>
  <c r="O184" i="2"/>
  <c r="P184" i="2" s="1"/>
  <c r="Q184" i="2" s="1"/>
  <c r="O185" i="2"/>
  <c r="P185" i="2" s="1"/>
  <c r="Q185" i="2" s="1"/>
  <c r="R185" i="2" s="1"/>
  <c r="O186" i="2"/>
  <c r="P186" i="2" s="1"/>
  <c r="Q186" i="2" s="1"/>
  <c r="O187" i="2"/>
  <c r="P187" i="2" s="1"/>
  <c r="Q187" i="2" s="1"/>
  <c r="R187" i="2" s="1"/>
  <c r="O188" i="2"/>
  <c r="P188" i="2" s="1"/>
  <c r="Q188" i="2" s="1"/>
  <c r="O189" i="2"/>
  <c r="P189" i="2" s="1"/>
  <c r="Q189" i="2" s="1"/>
  <c r="O190" i="2"/>
  <c r="P190" i="2" s="1"/>
  <c r="Q190" i="2" s="1"/>
  <c r="O191" i="2"/>
  <c r="P191" i="2" s="1"/>
  <c r="Q191" i="2" s="1"/>
  <c r="O192" i="2"/>
  <c r="P192" i="2" s="1"/>
  <c r="Q192" i="2" s="1"/>
  <c r="O193" i="2"/>
  <c r="P193" i="2" s="1"/>
  <c r="Q193" i="2" s="1"/>
  <c r="R193" i="2" s="1"/>
  <c r="O194" i="2"/>
  <c r="P194" i="2" s="1"/>
  <c r="Q194" i="2" s="1"/>
  <c r="O195" i="2"/>
  <c r="P195" i="2" s="1"/>
  <c r="Q195" i="2" s="1"/>
  <c r="R195" i="2" s="1"/>
  <c r="O196" i="2"/>
  <c r="P196" i="2" s="1"/>
  <c r="Q196" i="2" s="1"/>
  <c r="O203" i="2"/>
  <c r="P203" i="2" s="1"/>
  <c r="Q203" i="2" s="1"/>
  <c r="R203" i="2" s="1"/>
  <c r="O204" i="2"/>
  <c r="P204" i="2" s="1"/>
  <c r="Q204" i="2" s="1"/>
  <c r="R204" i="2" s="1"/>
  <c r="O205" i="2"/>
  <c r="P205" i="2" s="1"/>
  <c r="Q205" i="2" s="1"/>
  <c r="R205" i="2" s="1"/>
  <c r="O206" i="2"/>
  <c r="P206" i="2" s="1"/>
  <c r="Q206" i="2" s="1"/>
  <c r="O207" i="2"/>
  <c r="P207" i="2" s="1"/>
  <c r="Q207" i="2" s="1"/>
  <c r="R207" i="2" s="1"/>
  <c r="O208" i="2"/>
  <c r="P208" i="2" s="1"/>
  <c r="Q208" i="2" s="1"/>
  <c r="O209" i="2"/>
  <c r="P209" i="2" s="1"/>
  <c r="Q209" i="2" s="1"/>
  <c r="R209" i="2" s="1"/>
  <c r="O210" i="2"/>
  <c r="P210" i="2" s="1"/>
  <c r="Q210" i="2" s="1"/>
  <c r="O211" i="2"/>
  <c r="P211" i="2" s="1"/>
  <c r="Q211" i="2" s="1"/>
  <c r="R211" i="2" s="1"/>
  <c r="O212" i="2"/>
  <c r="P212" i="2" s="1"/>
  <c r="Q212" i="2" s="1"/>
  <c r="R212" i="2" s="1"/>
  <c r="O213" i="2"/>
  <c r="P213" i="2" s="1"/>
  <c r="Q213" i="2" s="1"/>
  <c r="R213" i="2" s="1"/>
  <c r="O214" i="2"/>
  <c r="P214" i="2" s="1"/>
  <c r="Q214" i="2" s="1"/>
  <c r="O215" i="2"/>
  <c r="P215" i="2" s="1"/>
  <c r="Q215" i="2" s="1"/>
  <c r="R215" i="2" s="1"/>
  <c r="O216" i="2"/>
  <c r="P216" i="2" s="1"/>
  <c r="Q216" i="2" s="1"/>
  <c r="O217" i="2"/>
  <c r="P217" i="2" s="1"/>
  <c r="Q217" i="2" s="1"/>
  <c r="R217" i="2" s="1"/>
  <c r="O218" i="2"/>
  <c r="P218" i="2" s="1"/>
  <c r="Q218" i="2" s="1"/>
  <c r="O225" i="2"/>
  <c r="P225" i="2" s="1"/>
  <c r="Q225" i="2" s="1"/>
  <c r="O226" i="2"/>
  <c r="P226" i="2" s="1"/>
  <c r="Q226" i="2" s="1"/>
  <c r="R226" i="2" s="1"/>
  <c r="O227" i="2"/>
  <c r="P227" i="2" s="1"/>
  <c r="Q227" i="2" s="1"/>
  <c r="O228" i="2"/>
  <c r="P228" i="2" s="1"/>
  <c r="Q228" i="2" s="1"/>
  <c r="R228" i="2" s="1"/>
  <c r="O229" i="2"/>
  <c r="P229" i="2" s="1"/>
  <c r="Q229" i="2" s="1"/>
  <c r="O230" i="2"/>
  <c r="P230" i="2" s="1"/>
  <c r="Q230" i="2" s="1"/>
  <c r="R230" i="2" s="1"/>
  <c r="O231" i="2"/>
  <c r="P231" i="2" s="1"/>
  <c r="Q231" i="2" s="1"/>
  <c r="O232" i="2"/>
  <c r="P232" i="2" s="1"/>
  <c r="Q232" i="2" s="1"/>
  <c r="R232" i="2" s="1"/>
  <c r="O233" i="2"/>
  <c r="P233" i="2" s="1"/>
  <c r="Q233" i="2" s="1"/>
  <c r="O234" i="2"/>
  <c r="P234" i="2" s="1"/>
  <c r="Q234" i="2" s="1"/>
  <c r="R234" i="2" s="1"/>
  <c r="O235" i="2"/>
  <c r="P235" i="2" s="1"/>
  <c r="Q235" i="2" s="1"/>
  <c r="O236" i="2"/>
  <c r="P236" i="2" s="1"/>
  <c r="Q236" i="2" s="1"/>
  <c r="R236" i="2" s="1"/>
  <c r="O237" i="2"/>
  <c r="P237" i="2" s="1"/>
  <c r="Q237" i="2" s="1"/>
  <c r="O238" i="2"/>
  <c r="P238" i="2" s="1"/>
  <c r="Q238" i="2" s="1"/>
  <c r="R238" i="2" s="1"/>
  <c r="O239" i="2"/>
  <c r="P239" i="2" s="1"/>
  <c r="Q239" i="2" s="1"/>
  <c r="O240" i="2"/>
  <c r="P240" i="2" s="1"/>
  <c r="Q240" i="2" s="1"/>
  <c r="R240" i="2" s="1"/>
  <c r="O247" i="2"/>
  <c r="P247" i="2" s="1"/>
  <c r="Q247" i="2" s="1"/>
  <c r="R247" i="2" s="1"/>
  <c r="O248" i="2"/>
  <c r="P248" i="2" s="1"/>
  <c r="Q248" i="2" s="1"/>
  <c r="O249" i="2"/>
  <c r="P249" i="2" s="1"/>
  <c r="Q249" i="2" s="1"/>
  <c r="R249" i="2" s="1"/>
  <c r="O250" i="2"/>
  <c r="P250" i="2" s="1"/>
  <c r="Q250" i="2" s="1"/>
  <c r="O251" i="2"/>
  <c r="P251" i="2" s="1"/>
  <c r="Q251" i="2" s="1"/>
  <c r="R251" i="2" s="1"/>
  <c r="O252" i="2"/>
  <c r="P252" i="2" s="1"/>
  <c r="Q252" i="2" s="1"/>
  <c r="O253" i="2"/>
  <c r="P253" i="2" s="1"/>
  <c r="Q253" i="2" s="1"/>
  <c r="R253" i="2" s="1"/>
  <c r="O254" i="2"/>
  <c r="P254" i="2" s="1"/>
  <c r="Q254" i="2" s="1"/>
  <c r="O255" i="2"/>
  <c r="P255" i="2" s="1"/>
  <c r="Q255" i="2" s="1"/>
  <c r="R255" i="2" s="1"/>
  <c r="O256" i="2"/>
  <c r="P256" i="2" s="1"/>
  <c r="Q256" i="2" s="1"/>
  <c r="O257" i="2"/>
  <c r="P257" i="2" s="1"/>
  <c r="Q257" i="2" s="1"/>
  <c r="R257" i="2" s="1"/>
  <c r="O258" i="2"/>
  <c r="P258" i="2" s="1"/>
  <c r="Q258" i="2" s="1"/>
  <c r="O259" i="2"/>
  <c r="P259" i="2" s="1"/>
  <c r="Q259" i="2" s="1"/>
  <c r="R259" i="2" s="1"/>
  <c r="O260" i="2"/>
  <c r="P260" i="2" s="1"/>
  <c r="Q260" i="2" s="1"/>
  <c r="O261" i="2"/>
  <c r="P261" i="2" s="1"/>
  <c r="Q261" i="2" s="1"/>
  <c r="R261" i="2" s="1"/>
  <c r="O262" i="2"/>
  <c r="P262" i="2" s="1"/>
  <c r="Q262" i="2" s="1"/>
  <c r="O269" i="2"/>
  <c r="P269" i="2" s="1"/>
  <c r="Q269" i="2" s="1"/>
  <c r="O270" i="2"/>
  <c r="P270" i="2" s="1"/>
  <c r="Q270" i="2" s="1"/>
  <c r="R270" i="2" s="1"/>
  <c r="O271" i="2"/>
  <c r="P271" i="2" s="1"/>
  <c r="Q271" i="2" s="1"/>
  <c r="O272" i="2"/>
  <c r="P272" i="2" s="1"/>
  <c r="Q272" i="2" s="1"/>
  <c r="R272" i="2" s="1"/>
  <c r="O273" i="2"/>
  <c r="P273" i="2" s="1"/>
  <c r="Q273" i="2" s="1"/>
  <c r="O274" i="2"/>
  <c r="P274" i="2" s="1"/>
  <c r="Q274" i="2" s="1"/>
  <c r="R274" i="2" s="1"/>
  <c r="O275" i="2"/>
  <c r="P275" i="2" s="1"/>
  <c r="Q275" i="2" s="1"/>
  <c r="O276" i="2"/>
  <c r="P276" i="2" s="1"/>
  <c r="Q276" i="2" s="1"/>
  <c r="R276" i="2" s="1"/>
  <c r="O277" i="2"/>
  <c r="P277" i="2" s="1"/>
  <c r="Q277" i="2" s="1"/>
  <c r="O278" i="2"/>
  <c r="P278" i="2" s="1"/>
  <c r="Q278" i="2" s="1"/>
  <c r="R278" i="2" s="1"/>
  <c r="O279" i="2"/>
  <c r="P279" i="2" s="1"/>
  <c r="Q279" i="2" s="1"/>
  <c r="O280" i="2"/>
  <c r="P280" i="2" s="1"/>
  <c r="Q280" i="2" s="1"/>
  <c r="R280" i="2" s="1"/>
  <c r="O281" i="2"/>
  <c r="P281" i="2" s="1"/>
  <c r="Q281" i="2" s="1"/>
  <c r="O282" i="2"/>
  <c r="P282" i="2" s="1"/>
  <c r="Q282" i="2" s="1"/>
  <c r="R282" i="2" s="1"/>
  <c r="O283" i="2"/>
  <c r="P283" i="2" s="1"/>
  <c r="Q283" i="2" s="1"/>
  <c r="R283" i="2" s="1"/>
  <c r="O284" i="2"/>
  <c r="P284" i="2" s="1"/>
  <c r="Q284" i="2" s="1"/>
  <c r="R284" i="2" s="1"/>
  <c r="O292" i="2"/>
  <c r="P292" i="2" s="1"/>
  <c r="Q292" i="2" s="1"/>
  <c r="R292" i="2" s="1"/>
  <c r="O293" i="2"/>
  <c r="P293" i="2" s="1"/>
  <c r="Q293" i="2" s="1"/>
  <c r="R293" i="2" s="1"/>
  <c r="O294" i="2"/>
  <c r="P294" i="2" s="1"/>
  <c r="Q294" i="2" s="1"/>
  <c r="R294" i="2" s="1"/>
  <c r="O295" i="2"/>
  <c r="P295" i="2" s="1"/>
  <c r="Q295" i="2" s="1"/>
  <c r="R295" i="2" s="1"/>
  <c r="O296" i="2"/>
  <c r="P296" i="2" s="1"/>
  <c r="Q296" i="2" s="1"/>
  <c r="R296" i="2" s="1"/>
  <c r="O297" i="2"/>
  <c r="P297" i="2" s="1"/>
  <c r="Q297" i="2" s="1"/>
  <c r="R297" i="2" s="1"/>
  <c r="O298" i="2"/>
  <c r="P298" i="2" s="1"/>
  <c r="Q298" i="2" s="1"/>
  <c r="R298" i="2" s="1"/>
  <c r="O299" i="2"/>
  <c r="P299" i="2" s="1"/>
  <c r="Q299" i="2" s="1"/>
  <c r="R299" i="2" s="1"/>
  <c r="O300" i="2"/>
  <c r="P300" i="2" s="1"/>
  <c r="Q300" i="2" s="1"/>
  <c r="R300" i="2" s="1"/>
  <c r="O301" i="2"/>
  <c r="P301" i="2" s="1"/>
  <c r="Q301" i="2" s="1"/>
  <c r="R301" i="2" s="1"/>
  <c r="O302" i="2"/>
  <c r="P302" i="2" s="1"/>
  <c r="Q302" i="2" s="1"/>
  <c r="R302" i="2" s="1"/>
  <c r="O303" i="2"/>
  <c r="P303" i="2" s="1"/>
  <c r="Q303" i="2" s="1"/>
  <c r="R303" i="2" s="1"/>
  <c r="O304" i="2"/>
  <c r="P304" i="2" s="1"/>
  <c r="Q304" i="2" s="1"/>
  <c r="R304" i="2" s="1"/>
  <c r="O305" i="2"/>
  <c r="P305" i="2" s="1"/>
  <c r="Q305" i="2" s="1"/>
  <c r="R305" i="2" s="1"/>
  <c r="O306" i="2"/>
  <c r="P306" i="2" s="1"/>
  <c r="Q306" i="2" s="1"/>
  <c r="R306" i="2" s="1"/>
  <c r="O313" i="2"/>
  <c r="P313" i="2" s="1"/>
  <c r="Q313" i="2" s="1"/>
  <c r="R313" i="2" s="1"/>
  <c r="O314" i="2"/>
  <c r="P314" i="2" s="1"/>
  <c r="Q314" i="2" s="1"/>
  <c r="R314" i="2" s="1"/>
  <c r="O315" i="2"/>
  <c r="P315" i="2" s="1"/>
  <c r="Q315" i="2" s="1"/>
  <c r="R315" i="2" s="1"/>
  <c r="O316" i="2"/>
  <c r="P316" i="2" s="1"/>
  <c r="Q316" i="2" s="1"/>
  <c r="R316" i="2" s="1"/>
  <c r="O317" i="2"/>
  <c r="P317" i="2" s="1"/>
  <c r="Q317" i="2" s="1"/>
  <c r="R317" i="2" s="1"/>
  <c r="O318" i="2"/>
  <c r="P318" i="2" s="1"/>
  <c r="Q318" i="2" s="1"/>
  <c r="R318" i="2" s="1"/>
  <c r="O319" i="2"/>
  <c r="P319" i="2" s="1"/>
  <c r="Q319" i="2" s="1"/>
  <c r="R319" i="2" s="1"/>
  <c r="O320" i="2"/>
  <c r="P320" i="2" s="1"/>
  <c r="Q320" i="2" s="1"/>
  <c r="R320" i="2" s="1"/>
  <c r="O321" i="2"/>
  <c r="P321" i="2" s="1"/>
  <c r="Q321" i="2" s="1"/>
  <c r="R321" i="2" s="1"/>
  <c r="O322" i="2"/>
  <c r="P322" i="2" s="1"/>
  <c r="Q322" i="2" s="1"/>
  <c r="R322" i="2" s="1"/>
  <c r="O323" i="2"/>
  <c r="P323" i="2" s="1"/>
  <c r="Q323" i="2" s="1"/>
  <c r="R323" i="2" s="1"/>
  <c r="O324" i="2"/>
  <c r="P324" i="2" s="1"/>
  <c r="Q324" i="2" s="1"/>
  <c r="R324" i="2" s="1"/>
  <c r="O325" i="2"/>
  <c r="P325" i="2" s="1"/>
  <c r="Q325" i="2" s="1"/>
  <c r="R325" i="2" s="1"/>
  <c r="O326" i="2"/>
  <c r="P326" i="2" s="1"/>
  <c r="Q326" i="2" s="1"/>
  <c r="R326" i="2" s="1"/>
  <c r="O327" i="2"/>
  <c r="P327" i="2" s="1"/>
  <c r="Q327" i="2" s="1"/>
  <c r="R327" i="2" s="1"/>
  <c r="O328" i="2"/>
  <c r="P328" i="2" s="1"/>
  <c r="Q328" i="2" s="1"/>
  <c r="R328" i="2" s="1"/>
  <c r="O335" i="2"/>
  <c r="P335" i="2" s="1"/>
  <c r="Q335" i="2" s="1"/>
  <c r="R335" i="2" s="1"/>
  <c r="O336" i="2"/>
  <c r="P336" i="2" s="1"/>
  <c r="Q336" i="2" s="1"/>
  <c r="R336" i="2" s="1"/>
  <c r="O337" i="2"/>
  <c r="P337" i="2" s="1"/>
  <c r="Q337" i="2" s="1"/>
  <c r="R337" i="2" s="1"/>
  <c r="O338" i="2"/>
  <c r="P338" i="2" s="1"/>
  <c r="Q338" i="2" s="1"/>
  <c r="R338" i="2" s="1"/>
  <c r="O339" i="2"/>
  <c r="P339" i="2" s="1"/>
  <c r="Q339" i="2" s="1"/>
  <c r="R339" i="2" s="1"/>
  <c r="O340" i="2"/>
  <c r="P340" i="2" s="1"/>
  <c r="Q340" i="2" s="1"/>
  <c r="R340" i="2" s="1"/>
  <c r="O341" i="2"/>
  <c r="P341" i="2" s="1"/>
  <c r="Q341" i="2" s="1"/>
  <c r="R341" i="2" s="1"/>
  <c r="O342" i="2"/>
  <c r="P342" i="2" s="1"/>
  <c r="Q342" i="2" s="1"/>
  <c r="R342" i="2" s="1"/>
  <c r="O343" i="2"/>
  <c r="P343" i="2" s="1"/>
  <c r="Q343" i="2" s="1"/>
  <c r="R343" i="2" s="1"/>
  <c r="O344" i="2"/>
  <c r="P344" i="2" s="1"/>
  <c r="Q344" i="2" s="1"/>
  <c r="R344" i="2" s="1"/>
  <c r="O345" i="2"/>
  <c r="P345" i="2" s="1"/>
  <c r="Q345" i="2" s="1"/>
  <c r="R345" i="2" s="1"/>
  <c r="O346" i="2"/>
  <c r="P346" i="2" s="1"/>
  <c r="Q346" i="2" s="1"/>
  <c r="R346" i="2" s="1"/>
  <c r="O347" i="2"/>
  <c r="P347" i="2" s="1"/>
  <c r="Q347" i="2" s="1"/>
  <c r="R347" i="2" s="1"/>
  <c r="O348" i="2"/>
  <c r="P348" i="2" s="1"/>
  <c r="Q348" i="2" s="1"/>
  <c r="R348" i="2" s="1"/>
  <c r="O349" i="2"/>
  <c r="P349" i="2" s="1"/>
  <c r="Q349" i="2" s="1"/>
  <c r="R349" i="2" s="1"/>
  <c r="O350" i="2"/>
  <c r="P350" i="2" s="1"/>
  <c r="Q350" i="2" s="1"/>
  <c r="R350" i="2" s="1"/>
  <c r="O357" i="2"/>
  <c r="P357" i="2" s="1"/>
  <c r="Q357" i="2" s="1"/>
  <c r="R357" i="2" s="1"/>
  <c r="O358" i="2"/>
  <c r="P358" i="2" s="1"/>
  <c r="Q358" i="2" s="1"/>
  <c r="R358" i="2" s="1"/>
  <c r="O359" i="2"/>
  <c r="P359" i="2" s="1"/>
  <c r="Q359" i="2" s="1"/>
  <c r="R359" i="2" s="1"/>
  <c r="O360" i="2"/>
  <c r="P360" i="2" s="1"/>
  <c r="Q360" i="2" s="1"/>
  <c r="R360" i="2" s="1"/>
  <c r="O361" i="2"/>
  <c r="P361" i="2" s="1"/>
  <c r="Q361" i="2" s="1"/>
  <c r="R361" i="2" s="1"/>
  <c r="O362" i="2"/>
  <c r="P362" i="2" s="1"/>
  <c r="Q362" i="2" s="1"/>
  <c r="R362" i="2" s="1"/>
  <c r="O363" i="2"/>
  <c r="P363" i="2" s="1"/>
  <c r="Q363" i="2" s="1"/>
  <c r="R363" i="2" s="1"/>
  <c r="O364" i="2"/>
  <c r="P364" i="2" s="1"/>
  <c r="Q364" i="2" s="1"/>
  <c r="R364" i="2" s="1"/>
  <c r="O365" i="2"/>
  <c r="P365" i="2" s="1"/>
  <c r="Q365" i="2" s="1"/>
  <c r="R365" i="2" s="1"/>
  <c r="O366" i="2"/>
  <c r="P366" i="2" s="1"/>
  <c r="Q366" i="2" s="1"/>
  <c r="R366" i="2" s="1"/>
  <c r="O367" i="2"/>
  <c r="P367" i="2" s="1"/>
  <c r="Q367" i="2" s="1"/>
  <c r="R367" i="2" s="1"/>
  <c r="O368" i="2"/>
  <c r="P368" i="2" s="1"/>
  <c r="Q368" i="2" s="1"/>
  <c r="R368" i="2" s="1"/>
  <c r="O369" i="2"/>
  <c r="P369" i="2" s="1"/>
  <c r="Q369" i="2" s="1"/>
  <c r="R369" i="2" s="1"/>
  <c r="O370" i="2"/>
  <c r="P370" i="2" s="1"/>
  <c r="Q370" i="2" s="1"/>
  <c r="R370" i="2" s="1"/>
  <c r="O371" i="2"/>
  <c r="P371" i="2" s="1"/>
  <c r="Q371" i="2" s="1"/>
  <c r="R371" i="2" s="1"/>
  <c r="O372" i="2"/>
  <c r="P372" i="2" s="1"/>
  <c r="Q372" i="2" s="1"/>
  <c r="O379" i="2"/>
  <c r="P379" i="2" s="1"/>
  <c r="Q379" i="2" s="1"/>
  <c r="R379" i="2" s="1"/>
  <c r="O380" i="2"/>
  <c r="P380" i="2" s="1"/>
  <c r="Q380" i="2" s="1"/>
  <c r="R380" i="2" s="1"/>
  <c r="O381" i="2"/>
  <c r="P381" i="2" s="1"/>
  <c r="Q381" i="2" s="1"/>
  <c r="R381" i="2" s="1"/>
  <c r="O382" i="2"/>
  <c r="P382" i="2" s="1"/>
  <c r="Q382" i="2" s="1"/>
  <c r="R382" i="2" s="1"/>
  <c r="O383" i="2"/>
  <c r="P383" i="2" s="1"/>
  <c r="Q383" i="2" s="1"/>
  <c r="R383" i="2" s="1"/>
  <c r="O384" i="2"/>
  <c r="P384" i="2" s="1"/>
  <c r="Q384" i="2" s="1"/>
  <c r="R384" i="2" s="1"/>
  <c r="O385" i="2"/>
  <c r="P385" i="2" s="1"/>
  <c r="Q385" i="2" s="1"/>
  <c r="O386" i="2"/>
  <c r="P386" i="2" s="1"/>
  <c r="Q386" i="2" s="1"/>
  <c r="R386" i="2" s="1"/>
  <c r="O387" i="2"/>
  <c r="P387" i="2" s="1"/>
  <c r="Q387" i="2" s="1"/>
  <c r="R387" i="2" s="1"/>
  <c r="O388" i="2"/>
  <c r="P388" i="2" s="1"/>
  <c r="Q388" i="2" s="1"/>
  <c r="R388" i="2" s="1"/>
  <c r="O389" i="2"/>
  <c r="P389" i="2" s="1"/>
  <c r="Q389" i="2" s="1"/>
  <c r="R389" i="2" s="1"/>
  <c r="O390" i="2"/>
  <c r="P390" i="2" s="1"/>
  <c r="Q390" i="2" s="1"/>
  <c r="R390" i="2" s="1"/>
  <c r="O391" i="2"/>
  <c r="P391" i="2" s="1"/>
  <c r="Q391" i="2" s="1"/>
  <c r="R391" i="2" s="1"/>
  <c r="O392" i="2"/>
  <c r="P392" i="2" s="1"/>
  <c r="Q392" i="2" s="1"/>
  <c r="R392" i="2" s="1"/>
  <c r="O393" i="2"/>
  <c r="P393" i="2" s="1"/>
  <c r="Q393" i="2" s="1"/>
  <c r="O394" i="2"/>
  <c r="P394" i="2" s="1"/>
  <c r="Q394" i="2" s="1"/>
  <c r="R394" i="2" s="1"/>
  <c r="O401" i="2"/>
  <c r="P401" i="2" s="1"/>
  <c r="Q401" i="2" s="1"/>
  <c r="R401" i="2" s="1"/>
  <c r="O402" i="2"/>
  <c r="P402" i="2" s="1"/>
  <c r="Q402" i="2" s="1"/>
  <c r="R402" i="2" s="1"/>
  <c r="O403" i="2"/>
  <c r="P403" i="2" s="1"/>
  <c r="Q403" i="2" s="1"/>
  <c r="R403" i="2" s="1"/>
  <c r="O404" i="2"/>
  <c r="P404" i="2" s="1"/>
  <c r="Q404" i="2" s="1"/>
  <c r="R404" i="2" s="1"/>
  <c r="O405" i="2"/>
  <c r="P405" i="2" s="1"/>
  <c r="Q405" i="2" s="1"/>
  <c r="R405" i="2" s="1"/>
  <c r="O406" i="2"/>
  <c r="P406" i="2" s="1"/>
  <c r="Q406" i="2" s="1"/>
  <c r="O407" i="2"/>
  <c r="P407" i="2" s="1"/>
  <c r="Q407" i="2" s="1"/>
  <c r="R407" i="2" s="1"/>
  <c r="O408" i="2"/>
  <c r="P408" i="2" s="1"/>
  <c r="Q408" i="2" s="1"/>
  <c r="R408" i="2" s="1"/>
  <c r="O409" i="2"/>
  <c r="P409" i="2" s="1"/>
  <c r="Q409" i="2" s="1"/>
  <c r="R409" i="2" s="1"/>
  <c r="O410" i="2"/>
  <c r="P410" i="2" s="1"/>
  <c r="Q410" i="2" s="1"/>
  <c r="R410" i="2" s="1"/>
  <c r="O411" i="2"/>
  <c r="P411" i="2" s="1"/>
  <c r="Q411" i="2" s="1"/>
  <c r="R411" i="2" s="1"/>
  <c r="O412" i="2"/>
  <c r="P412" i="2" s="1"/>
  <c r="Q412" i="2" s="1"/>
  <c r="R412" i="2" s="1"/>
  <c r="O413" i="2"/>
  <c r="P413" i="2" s="1"/>
  <c r="Q413" i="2" s="1"/>
  <c r="R413" i="2" s="1"/>
  <c r="O414" i="2"/>
  <c r="P414" i="2" s="1"/>
  <c r="Q414" i="2" s="1"/>
  <c r="O415" i="2"/>
  <c r="P415" i="2" s="1"/>
  <c r="Q415" i="2" s="1"/>
  <c r="R415" i="2" s="1"/>
  <c r="O416" i="2"/>
  <c r="P416" i="2" s="1"/>
  <c r="Q416" i="2" s="1"/>
  <c r="R416" i="2" s="1"/>
  <c r="O423" i="2"/>
  <c r="P423" i="2" s="1"/>
  <c r="Q423" i="2" s="1"/>
  <c r="R423" i="2" s="1"/>
  <c r="O424" i="2"/>
  <c r="P424" i="2" s="1"/>
  <c r="Q424" i="2" s="1"/>
  <c r="R424" i="2" s="1"/>
  <c r="O425" i="2"/>
  <c r="P425" i="2" s="1"/>
  <c r="Q425" i="2" s="1"/>
  <c r="R425" i="2" s="1"/>
  <c r="O426" i="2"/>
  <c r="P426" i="2" s="1"/>
  <c r="Q426" i="2" s="1"/>
  <c r="O427" i="2"/>
  <c r="P427" i="2" s="1"/>
  <c r="Q427" i="2" s="1"/>
  <c r="R427" i="2" s="1"/>
  <c r="O428" i="2"/>
  <c r="P428" i="2" s="1"/>
  <c r="Q428" i="2" s="1"/>
  <c r="R428" i="2" s="1"/>
  <c r="O429" i="2"/>
  <c r="P429" i="2" s="1"/>
  <c r="Q429" i="2" s="1"/>
  <c r="R429" i="2" s="1"/>
  <c r="O430" i="2"/>
  <c r="P430" i="2" s="1"/>
  <c r="Q430" i="2" s="1"/>
  <c r="R430" i="2" s="1"/>
  <c r="O431" i="2"/>
  <c r="P431" i="2" s="1"/>
  <c r="Q431" i="2" s="1"/>
  <c r="R431" i="2" s="1"/>
  <c r="O432" i="2"/>
  <c r="P432" i="2" s="1"/>
  <c r="Q432" i="2" s="1"/>
  <c r="R432" i="2" s="1"/>
  <c r="O433" i="2"/>
  <c r="P433" i="2" s="1"/>
  <c r="Q433" i="2" s="1"/>
  <c r="R433" i="2" s="1"/>
  <c r="O434" i="2"/>
  <c r="P434" i="2" s="1"/>
  <c r="Q434" i="2" s="1"/>
  <c r="O435" i="2"/>
  <c r="P435" i="2" s="1"/>
  <c r="Q435" i="2" s="1"/>
  <c r="R435" i="2" s="1"/>
  <c r="O436" i="2"/>
  <c r="P436" i="2" s="1"/>
  <c r="Q436" i="2" s="1"/>
  <c r="R436" i="2" s="1"/>
  <c r="O437" i="2"/>
  <c r="P437" i="2" s="1"/>
  <c r="Q437" i="2" s="1"/>
  <c r="R437" i="2" s="1"/>
  <c r="O438" i="2"/>
  <c r="P438" i="2" s="1"/>
  <c r="Q438" i="2" s="1"/>
  <c r="R438" i="2" s="1"/>
  <c r="R102" i="2" l="1"/>
  <c r="S102" i="2" s="1"/>
  <c r="R94" i="2"/>
  <c r="S94" i="2" s="1"/>
  <c r="R81" i="2"/>
  <c r="S81" i="2" s="1"/>
  <c r="R73" i="2"/>
  <c r="S73" i="2" s="1"/>
  <c r="R60" i="2"/>
  <c r="S60" i="2" s="1"/>
  <c r="R52" i="2"/>
  <c r="S52" i="2" s="1"/>
  <c r="R39" i="2"/>
  <c r="S39" i="2" s="1"/>
  <c r="R31" i="2"/>
  <c r="S31" i="2" s="1"/>
  <c r="R206" i="2"/>
  <c r="S206" i="2" s="1"/>
  <c r="R189" i="2"/>
  <c r="S189" i="2" s="1"/>
  <c r="R181" i="2"/>
  <c r="S181" i="2" s="1"/>
  <c r="R168" i="2"/>
  <c r="S168" i="2" s="1"/>
  <c r="R160" i="2"/>
  <c r="S160" i="2" s="1"/>
  <c r="R147" i="2"/>
  <c r="S147" i="2" s="1"/>
  <c r="R139" i="2"/>
  <c r="S139" i="2" s="1"/>
  <c r="R106" i="2"/>
  <c r="S106" i="2" s="1"/>
  <c r="R98" i="2"/>
  <c r="S98" i="2" s="1"/>
  <c r="R85" i="2"/>
  <c r="S85" i="2" s="1"/>
  <c r="R77" i="2"/>
  <c r="S77" i="2" s="1"/>
  <c r="R64" i="2"/>
  <c r="S64" i="2" s="1"/>
  <c r="R56" i="2"/>
  <c r="S56" i="2" s="1"/>
  <c r="R35" i="2"/>
  <c r="S35" i="2" s="1"/>
  <c r="R27" i="2"/>
  <c r="S27" i="2" s="1"/>
  <c r="R108" i="2"/>
  <c r="S108" i="2" s="1"/>
  <c r="R100" i="2"/>
  <c r="S100" i="2" s="1"/>
  <c r="R79" i="2"/>
  <c r="S79" i="2" s="1"/>
  <c r="R58" i="2"/>
  <c r="S58" i="2" s="1"/>
  <c r="R50" i="2"/>
  <c r="S50" i="2" s="1"/>
  <c r="R37" i="2"/>
  <c r="S37" i="2" s="1"/>
  <c r="R29" i="2"/>
  <c r="S29" i="2" s="1"/>
  <c r="S204" i="2"/>
  <c r="R191" i="2"/>
  <c r="S191" i="2" s="1"/>
  <c r="R183" i="2"/>
  <c r="S183" i="2" s="1"/>
  <c r="R170" i="2"/>
  <c r="S170" i="2" s="1"/>
  <c r="R162" i="2"/>
  <c r="S162" i="2" s="1"/>
  <c r="R149" i="2"/>
  <c r="S149" i="2" s="1"/>
  <c r="R141" i="2"/>
  <c r="S141" i="2" s="1"/>
  <c r="R214" i="2"/>
  <c r="S214" i="2" s="1"/>
  <c r="R210" i="2"/>
  <c r="S210" i="2" s="1"/>
  <c r="R208" i="2"/>
  <c r="S208" i="2" s="1"/>
  <c r="S195" i="2"/>
  <c r="S193" i="2"/>
  <c r="S187" i="2"/>
  <c r="S185" i="2"/>
  <c r="S174" i="2"/>
  <c r="S172" i="2"/>
  <c r="S166" i="2"/>
  <c r="S164" i="2"/>
  <c r="S151" i="2"/>
  <c r="S145" i="2"/>
  <c r="S143" i="2"/>
  <c r="S137" i="2"/>
  <c r="R104" i="2"/>
  <c r="S104" i="2" s="1"/>
  <c r="R96" i="2"/>
  <c r="S96" i="2" s="1"/>
  <c r="R83" i="2"/>
  <c r="S83" i="2" s="1"/>
  <c r="R75" i="2"/>
  <c r="S75" i="2" s="1"/>
  <c r="R62" i="2"/>
  <c r="S62" i="2" s="1"/>
  <c r="R54" i="2"/>
  <c r="S54" i="2" s="1"/>
  <c r="R41" i="2"/>
  <c r="S41" i="2" s="1"/>
  <c r="R33" i="2"/>
  <c r="S33" i="2" s="1"/>
  <c r="S212" i="2"/>
  <c r="R239" i="2"/>
  <c r="S239" i="2" s="1"/>
  <c r="R231" i="2"/>
  <c r="S231" i="2" s="1"/>
  <c r="R218" i="2"/>
  <c r="S218" i="2" s="1"/>
  <c r="S436" i="2"/>
  <c r="S408" i="2"/>
  <c r="S438" i="2"/>
  <c r="S430" i="2"/>
  <c r="S410" i="2"/>
  <c r="S402" i="2"/>
  <c r="S389" i="2"/>
  <c r="S381" i="2"/>
  <c r="S428" i="2"/>
  <c r="S416" i="2"/>
  <c r="S387" i="2"/>
  <c r="S379" i="2"/>
  <c r="R434" i="2"/>
  <c r="S434" i="2" s="1"/>
  <c r="S432" i="2"/>
  <c r="R426" i="2"/>
  <c r="S426" i="2" s="1"/>
  <c r="S424" i="2"/>
  <c r="R414" i="2"/>
  <c r="S414" i="2" s="1"/>
  <c r="S412" i="2"/>
  <c r="R406" i="2"/>
  <c r="S406" i="2" s="1"/>
  <c r="S404" i="2"/>
  <c r="R393" i="2"/>
  <c r="S393" i="2" s="1"/>
  <c r="S391" i="2"/>
  <c r="R385" i="2"/>
  <c r="S385" i="2" s="1"/>
  <c r="S383" i="2"/>
  <c r="R372" i="2"/>
  <c r="S372" i="2" s="1"/>
  <c r="S370" i="2"/>
  <c r="S368" i="2"/>
  <c r="S366" i="2"/>
  <c r="S364" i="2"/>
  <c r="S362" i="2"/>
  <c r="S360" i="2"/>
  <c r="S358" i="2"/>
  <c r="S349" i="2"/>
  <c r="S347" i="2"/>
  <c r="S345" i="2"/>
  <c r="S343" i="2"/>
  <c r="S341" i="2"/>
  <c r="S339" i="2"/>
  <c r="S337" i="2"/>
  <c r="S335" i="2"/>
  <c r="S328" i="2"/>
  <c r="S326" i="2"/>
  <c r="S324" i="2"/>
  <c r="S322" i="2"/>
  <c r="S320" i="2"/>
  <c r="S318" i="2"/>
  <c r="S316" i="2"/>
  <c r="S314" i="2"/>
  <c r="S305" i="2"/>
  <c r="S303" i="2"/>
  <c r="S301" i="2"/>
  <c r="S299" i="2"/>
  <c r="S297" i="2"/>
  <c r="S295" i="2"/>
  <c r="S293" i="2"/>
  <c r="S284" i="2"/>
  <c r="S282" i="2"/>
  <c r="S280" i="2"/>
  <c r="S278" i="2"/>
  <c r="S276" i="2"/>
  <c r="S274" i="2"/>
  <c r="S272" i="2"/>
  <c r="S270" i="2"/>
  <c r="S261" i="2"/>
  <c r="S259" i="2"/>
  <c r="S257" i="2"/>
  <c r="S255" i="2"/>
  <c r="S253" i="2"/>
  <c r="S251" i="2"/>
  <c r="S249" i="2"/>
  <c r="R237" i="2"/>
  <c r="S237" i="2" s="1"/>
  <c r="R229" i="2"/>
  <c r="S229" i="2" s="1"/>
  <c r="R216" i="2"/>
  <c r="S216" i="2" s="1"/>
  <c r="R196" i="2"/>
  <c r="S196" i="2" s="1"/>
  <c r="R188" i="2"/>
  <c r="S188" i="2" s="1"/>
  <c r="R167" i="2"/>
  <c r="S167" i="2" s="1"/>
  <c r="R159" i="2"/>
  <c r="S159" i="2" s="1"/>
  <c r="R146" i="2"/>
  <c r="S146" i="2" s="1"/>
  <c r="R138" i="2"/>
  <c r="S138" i="2" s="1"/>
  <c r="R101" i="2"/>
  <c r="S101" i="2" s="1"/>
  <c r="R93" i="2"/>
  <c r="S93" i="2" s="1"/>
  <c r="R80" i="2"/>
  <c r="S80" i="2" s="1"/>
  <c r="R72" i="2"/>
  <c r="S72" i="2" s="1"/>
  <c r="R59" i="2"/>
  <c r="S59" i="2" s="1"/>
  <c r="R51" i="2"/>
  <c r="S51" i="2" s="1"/>
  <c r="R38" i="2"/>
  <c r="S38" i="2" s="1"/>
  <c r="R30" i="2"/>
  <c r="S30" i="2" s="1"/>
  <c r="R281" i="2"/>
  <c r="S281" i="2" s="1"/>
  <c r="R279" i="2"/>
  <c r="S279" i="2" s="1"/>
  <c r="R277" i="2"/>
  <c r="S277" i="2" s="1"/>
  <c r="R275" i="2"/>
  <c r="R273" i="2"/>
  <c r="S273" i="2" s="1"/>
  <c r="R271" i="2"/>
  <c r="R269" i="2"/>
  <c r="S269" i="2" s="1"/>
  <c r="R262" i="2"/>
  <c r="R260" i="2"/>
  <c r="S260" i="2" s="1"/>
  <c r="R258" i="2"/>
  <c r="S258" i="2" s="1"/>
  <c r="R256" i="2"/>
  <c r="S256" i="2" s="1"/>
  <c r="R254" i="2"/>
  <c r="S254" i="2" s="1"/>
  <c r="R252" i="2"/>
  <c r="S252" i="2" s="1"/>
  <c r="R250" i="2"/>
  <c r="R248" i="2"/>
  <c r="S248" i="2" s="1"/>
  <c r="R235" i="2"/>
  <c r="S235" i="2" s="1"/>
  <c r="R227" i="2"/>
  <c r="S227" i="2" s="1"/>
  <c r="S437" i="2"/>
  <c r="S435" i="2"/>
  <c r="S433" i="2"/>
  <c r="S431" i="2"/>
  <c r="S429" i="2"/>
  <c r="S427" i="2"/>
  <c r="S425" i="2"/>
  <c r="S423" i="2"/>
  <c r="S415" i="2"/>
  <c r="S413" i="2"/>
  <c r="S411" i="2"/>
  <c r="S409" i="2"/>
  <c r="S407" i="2"/>
  <c r="S405" i="2"/>
  <c r="S403" i="2"/>
  <c r="S401" i="2"/>
  <c r="S394" i="2"/>
  <c r="S392" i="2"/>
  <c r="S390" i="2"/>
  <c r="S388" i="2"/>
  <c r="S386" i="2"/>
  <c r="S384" i="2"/>
  <c r="S382" i="2"/>
  <c r="S380" i="2"/>
  <c r="S371" i="2"/>
  <c r="S369" i="2"/>
  <c r="S367" i="2"/>
  <c r="S365" i="2"/>
  <c r="S363" i="2"/>
  <c r="S361" i="2"/>
  <c r="S359" i="2"/>
  <c r="S357" i="2"/>
  <c r="S350" i="2"/>
  <c r="S348" i="2"/>
  <c r="S346" i="2"/>
  <c r="S344" i="2"/>
  <c r="S342" i="2"/>
  <c r="S340" i="2"/>
  <c r="S338" i="2"/>
  <c r="S336" i="2"/>
  <c r="S327" i="2"/>
  <c r="S325" i="2"/>
  <c r="S323" i="2"/>
  <c r="S321" i="2"/>
  <c r="S319" i="2"/>
  <c r="S317" i="2"/>
  <c r="S315" i="2"/>
  <c r="S313" i="2"/>
  <c r="S306" i="2"/>
  <c r="S304" i="2"/>
  <c r="S302" i="2"/>
  <c r="S300" i="2"/>
  <c r="S298" i="2"/>
  <c r="S296" i="2"/>
  <c r="S294" i="2"/>
  <c r="S292" i="2"/>
  <c r="S283" i="2"/>
  <c r="R233" i="2"/>
  <c r="S233" i="2" s="1"/>
  <c r="R225" i="2"/>
  <c r="S225" i="2" s="1"/>
  <c r="R192" i="2"/>
  <c r="S192" i="2" s="1"/>
  <c r="R184" i="2"/>
  <c r="S184" i="2" s="1"/>
  <c r="R171" i="2"/>
  <c r="S171" i="2" s="1"/>
  <c r="R163" i="2"/>
  <c r="S163" i="2" s="1"/>
  <c r="R150" i="2"/>
  <c r="S150" i="2" s="1"/>
  <c r="R142" i="2"/>
  <c r="S142" i="2" s="1"/>
  <c r="R105" i="2"/>
  <c r="S105" i="2" s="1"/>
  <c r="R97" i="2"/>
  <c r="R84" i="2"/>
  <c r="S84" i="2" s="1"/>
  <c r="R76" i="2"/>
  <c r="R63" i="2"/>
  <c r="S63" i="2" s="1"/>
  <c r="R55" i="2"/>
  <c r="R42" i="2"/>
  <c r="S42" i="2" s="1"/>
  <c r="R34" i="2"/>
  <c r="S247" i="2"/>
  <c r="S238" i="2"/>
  <c r="S234" i="2"/>
  <c r="S230" i="2"/>
  <c r="S226" i="2"/>
  <c r="S217" i="2"/>
  <c r="S213" i="2"/>
  <c r="S209" i="2"/>
  <c r="S205" i="2"/>
  <c r="R194" i="2"/>
  <c r="S194" i="2" s="1"/>
  <c r="R186" i="2"/>
  <c r="S186" i="2" s="1"/>
  <c r="R173" i="2"/>
  <c r="S173" i="2" s="1"/>
  <c r="R165" i="2"/>
  <c r="S165" i="2" s="1"/>
  <c r="R152" i="2"/>
  <c r="S152" i="2" s="1"/>
  <c r="R144" i="2"/>
  <c r="S144" i="2" s="1"/>
  <c r="S240" i="2"/>
  <c r="S236" i="2"/>
  <c r="S232" i="2"/>
  <c r="S228" i="2"/>
  <c r="S215" i="2"/>
  <c r="S211" i="2"/>
  <c r="S207" i="2"/>
  <c r="S203" i="2"/>
  <c r="R190" i="2"/>
  <c r="S190" i="2" s="1"/>
  <c r="R182" i="2"/>
  <c r="S182" i="2" s="1"/>
  <c r="R169" i="2"/>
  <c r="S169" i="2" s="1"/>
  <c r="R161" i="2"/>
  <c r="S161" i="2" s="1"/>
  <c r="R148" i="2"/>
  <c r="S148" i="2" s="1"/>
  <c r="R140" i="2"/>
  <c r="S140" i="2" s="1"/>
  <c r="R107" i="2"/>
  <c r="S107" i="2" s="1"/>
  <c r="R99" i="2"/>
  <c r="S99" i="2" s="1"/>
  <c r="R86" i="2"/>
  <c r="S86" i="2" s="1"/>
  <c r="R78" i="2"/>
  <c r="S78" i="2" s="1"/>
  <c r="R57" i="2"/>
  <c r="S57" i="2" s="1"/>
  <c r="R49" i="2"/>
  <c r="S49" i="2" s="1"/>
  <c r="R36" i="2"/>
  <c r="S36" i="2" s="1"/>
  <c r="R28" i="2"/>
  <c r="S28" i="2" s="1"/>
  <c r="R103" i="2"/>
  <c r="S103" i="2" s="1"/>
  <c r="R95" i="2"/>
  <c r="S95" i="2" s="1"/>
  <c r="R82" i="2"/>
  <c r="S82" i="2" s="1"/>
  <c r="R74" i="2"/>
  <c r="S74" i="2" s="1"/>
  <c r="R61" i="2"/>
  <c r="S61" i="2" s="1"/>
  <c r="R53" i="2"/>
  <c r="S53" i="2" s="1"/>
  <c r="R40" i="2"/>
  <c r="S40" i="2" s="1"/>
  <c r="R32" i="2"/>
  <c r="S32" i="2" s="1"/>
  <c r="S250" i="2" l="1"/>
  <c r="S262" i="2"/>
  <c r="S271" i="2"/>
  <c r="S275" i="2"/>
  <c r="S34" i="2"/>
  <c r="S55" i="2"/>
  <c r="S76" i="2"/>
  <c r="S97" i="2"/>
  <c r="D423" i="2"/>
  <c r="D401" i="2"/>
  <c r="D379" i="2"/>
  <c r="D380" i="2" s="1"/>
  <c r="D357" i="2"/>
  <c r="D358" i="2" s="1"/>
  <c r="D359" i="2" s="1"/>
  <c r="D360" i="2" s="1"/>
  <c r="D361" i="2" s="1"/>
  <c r="D362" i="2" s="1"/>
  <c r="D363" i="2" s="1"/>
  <c r="D364" i="2" s="1"/>
  <c r="D365" i="2" s="1"/>
  <c r="D366" i="2" s="1"/>
  <c r="D335" i="2"/>
  <c r="D336" i="2" s="1"/>
  <c r="D337" i="2" s="1"/>
  <c r="D338" i="2" s="1"/>
  <c r="D339" i="2" s="1"/>
  <c r="D340" i="2" s="1"/>
  <c r="D341" i="2" s="1"/>
  <c r="D342" i="2" s="1"/>
  <c r="D343" i="2" s="1"/>
  <c r="D344" i="2" s="1"/>
  <c r="D313" i="2"/>
  <c r="D314" i="2" s="1"/>
  <c r="D315" i="2" s="1"/>
  <c r="D316" i="2" s="1"/>
  <c r="D317" i="2" s="1"/>
  <c r="D318" i="2" s="1"/>
  <c r="D319" i="2" s="1"/>
  <c r="D320" i="2" s="1"/>
  <c r="D321" i="2" s="1"/>
  <c r="D322" i="2" s="1"/>
  <c r="D27" i="2"/>
  <c r="D367" i="2" l="1"/>
  <c r="D369" i="2"/>
  <c r="D372" i="2" s="1"/>
  <c r="D325" i="2"/>
  <c r="D323" i="2"/>
  <c r="D347" i="2"/>
  <c r="D345" i="2"/>
  <c r="D381" i="2"/>
  <c r="D402" i="2"/>
  <c r="D368" i="2" l="1"/>
  <c r="D370" i="2"/>
  <c r="D373" i="2" s="1"/>
  <c r="D376" i="2" s="1"/>
  <c r="D326" i="2"/>
  <c r="D324" i="2"/>
  <c r="D346" i="2"/>
  <c r="D348" i="2"/>
  <c r="D403" i="2"/>
  <c r="D382" i="2"/>
  <c r="D328" i="2" l="1"/>
  <c r="D327" i="2"/>
  <c r="D330" i="2" s="1"/>
  <c r="D371" i="2"/>
  <c r="D374" i="2" s="1"/>
  <c r="D377" i="2" s="1"/>
  <c r="D350" i="2"/>
  <c r="D349" i="2"/>
  <c r="D352" i="2" s="1"/>
  <c r="D383" i="2"/>
  <c r="D404" i="2"/>
  <c r="D375" i="2" l="1"/>
  <c r="D351" i="2"/>
  <c r="D353" i="2"/>
  <c r="D331" i="2"/>
  <c r="D329" i="2"/>
  <c r="D405" i="2"/>
  <c r="D384" i="2"/>
  <c r="D378" i="2" l="1"/>
  <c r="D355" i="2"/>
  <c r="D354" i="2"/>
  <c r="D332" i="2"/>
  <c r="D333" i="2"/>
  <c r="D385" i="2"/>
  <c r="D406" i="2"/>
  <c r="D356" i="2" l="1"/>
  <c r="D334" i="2"/>
  <c r="D407" i="2"/>
  <c r="D386" i="2"/>
  <c r="D387" i="2" l="1"/>
  <c r="D408" i="2"/>
  <c r="D409" i="2" l="1"/>
  <c r="D388" i="2"/>
  <c r="D389" i="2" l="1"/>
  <c r="D391" i="2"/>
  <c r="D395" i="2" s="1"/>
  <c r="D410" i="2"/>
  <c r="D399" i="2" l="1"/>
  <c r="D413" i="2"/>
  <c r="D417" i="2" s="1"/>
  <c r="D411" i="2"/>
  <c r="D400" i="2"/>
  <c r="D392" i="2"/>
  <c r="D396" i="2" s="1"/>
  <c r="D390" i="2"/>
  <c r="D421" i="2" l="1"/>
  <c r="D412" i="2"/>
  <c r="D414" i="2"/>
  <c r="D418" i="2" s="1"/>
  <c r="D393" i="2"/>
  <c r="D397" i="2" s="1"/>
  <c r="D394" i="2"/>
  <c r="D422" i="2"/>
  <c r="D398" i="2" l="1"/>
  <c r="D416" i="2"/>
  <c r="D415" i="2"/>
  <c r="D419" i="2" s="1"/>
  <c r="D420" i="2" l="1"/>
  <c r="G171" i="12" l="1"/>
  <c r="E171" i="12"/>
  <c r="C20" i="4" l="1"/>
  <c r="D17" i="4"/>
  <c r="C22" i="4" s="1"/>
  <c r="E17" i="4"/>
  <c r="C23" i="4" s="1"/>
  <c r="F17" i="4"/>
  <c r="C24" i="4" s="1"/>
  <c r="G17" i="4"/>
  <c r="C25" i="4" s="1"/>
  <c r="H17" i="4"/>
  <c r="C26" i="4" s="1"/>
  <c r="I17" i="4"/>
  <c r="C27" i="4" s="1"/>
  <c r="J17" i="4"/>
  <c r="C28" i="4" s="1"/>
  <c r="K17" i="4"/>
  <c r="C29" i="4" s="1"/>
  <c r="L17" i="4"/>
  <c r="C30" i="4" s="1"/>
  <c r="M17" i="4"/>
  <c r="C31" i="4" s="1"/>
  <c r="N17" i="4"/>
  <c r="C32" i="4" s="1"/>
  <c r="O17" i="4"/>
  <c r="C33" i="4" s="1"/>
  <c r="P17" i="4"/>
  <c r="C34" i="4" s="1"/>
  <c r="Q17" i="4"/>
  <c r="C35" i="4" s="1"/>
  <c r="R17" i="4"/>
  <c r="C36" i="4" s="1"/>
  <c r="S17" i="4"/>
  <c r="C37" i="4" s="1"/>
  <c r="C17" i="4"/>
  <c r="C21" i="4" s="1"/>
  <c r="S72" i="4"/>
  <c r="T72" i="4"/>
  <c r="U72" i="4"/>
  <c r="N18" i="3"/>
  <c r="O18" i="3"/>
  <c r="N19" i="3"/>
  <c r="O19" i="3"/>
  <c r="N20" i="3"/>
  <c r="R6" i="26"/>
  <c r="D2" i="12"/>
  <c r="F22" i="24"/>
  <c r="X23" i="26" s="1"/>
  <c r="E20" i="3" l="1"/>
  <c r="E19" i="3"/>
  <c r="E17" i="3"/>
  <c r="E16" i="3"/>
  <c r="E18" i="3"/>
  <c r="R18" i="4"/>
  <c r="S18" i="4"/>
  <c r="Q18" i="4"/>
  <c r="T18" i="4"/>
  <c r="G18" i="26"/>
  <c r="L18" i="26"/>
  <c r="Q18" i="26"/>
  <c r="V18" i="26"/>
  <c r="G19" i="26"/>
  <c r="L19" i="26"/>
  <c r="Q19" i="26"/>
  <c r="V19" i="26"/>
  <c r="G20" i="26"/>
  <c r="L20" i="26"/>
  <c r="Q20" i="26"/>
  <c r="V20" i="26"/>
  <c r="G21" i="26"/>
  <c r="L21" i="26"/>
  <c r="Q21" i="26"/>
  <c r="V21" i="26"/>
  <c r="N17" i="3"/>
  <c r="O17" i="3"/>
  <c r="E17" i="24"/>
  <c r="E18" i="24"/>
  <c r="E19" i="24"/>
  <c r="F19" i="24" s="1"/>
  <c r="X20" i="26" s="1"/>
  <c r="F21" i="24"/>
  <c r="X22" i="26" s="1"/>
  <c r="F18" i="3" l="1"/>
  <c r="S26" i="26"/>
  <c r="F19" i="3"/>
  <c r="F17" i="3"/>
  <c r="F21" i="3"/>
  <c r="F20" i="3"/>
  <c r="S24" i="26"/>
  <c r="S21" i="26"/>
  <c r="S27" i="26"/>
  <c r="C18" i="3"/>
  <c r="R25" i="26" s="1"/>
  <c r="C19" i="3"/>
  <c r="S20" i="26"/>
  <c r="S25" i="26"/>
  <c r="C20" i="3"/>
  <c r="D21" i="3" s="1"/>
  <c r="S23" i="26"/>
  <c r="F18" i="24"/>
  <c r="X19" i="26" s="1"/>
  <c r="F20" i="24"/>
  <c r="X21" i="26" s="1"/>
  <c r="P21" i="3" l="1"/>
  <c r="D20" i="3"/>
  <c r="R26" i="26"/>
  <c r="D19" i="3"/>
  <c r="G36" i="25"/>
  <c r="G35" i="25"/>
  <c r="C21" i="24" s="1"/>
  <c r="G34" i="25"/>
  <c r="C20" i="24" s="1"/>
  <c r="G33" i="25"/>
  <c r="C19" i="24" s="1"/>
  <c r="J18" i="2"/>
  <c r="J19" i="2"/>
  <c r="J20" i="2"/>
  <c r="P19" i="3" l="1"/>
  <c r="P20" i="3"/>
  <c r="R20" i="26"/>
  <c r="R21" i="26"/>
  <c r="H36" i="25"/>
  <c r="H37" i="25"/>
  <c r="C22" i="24"/>
  <c r="D21" i="24"/>
  <c r="L20" i="2"/>
  <c r="C19" i="23" s="1"/>
  <c r="O20" i="2"/>
  <c r="P20" i="2" s="1"/>
  <c r="Q20" i="2" s="1"/>
  <c r="L19" i="2"/>
  <c r="O19" i="2"/>
  <c r="P19" i="2" s="1"/>
  <c r="Q19" i="2" s="1"/>
  <c r="O18" i="2"/>
  <c r="P18" i="2" s="1"/>
  <c r="Q18" i="2" s="1"/>
  <c r="L18" i="2"/>
  <c r="D20" i="24"/>
  <c r="W21" i="26" s="1"/>
  <c r="H35" i="25"/>
  <c r="H34" i="25"/>
  <c r="K18" i="2" l="1"/>
  <c r="K480" i="2" s="1"/>
  <c r="K19" i="2"/>
  <c r="K481" i="2" s="1"/>
  <c r="D22" i="24"/>
  <c r="D23" i="24"/>
  <c r="R19" i="2"/>
  <c r="S19" i="2" s="1"/>
  <c r="R20" i="2"/>
  <c r="S20" i="2" s="1"/>
  <c r="R18" i="2"/>
  <c r="S18" i="2" s="1"/>
  <c r="C17" i="23"/>
  <c r="C18" i="23"/>
  <c r="J17" i="2"/>
  <c r="L17" i="2" l="1"/>
  <c r="O17" i="2"/>
  <c r="P17" i="2" s="1"/>
  <c r="Q17" i="2" s="1"/>
  <c r="E18" i="23"/>
  <c r="D18" i="23"/>
  <c r="E19" i="23"/>
  <c r="D19" i="23"/>
  <c r="E17" i="23"/>
  <c r="D17" i="23"/>
  <c r="D467" i="2"/>
  <c r="D269" i="2"/>
  <c r="D247" i="2"/>
  <c r="D225" i="2"/>
  <c r="D203" i="2"/>
  <c r="D181" i="2"/>
  <c r="D159" i="2"/>
  <c r="D137" i="2"/>
  <c r="D115" i="2"/>
  <c r="D93" i="2"/>
  <c r="D71" i="2"/>
  <c r="D49" i="2"/>
  <c r="B5" i="2"/>
  <c r="B6" i="2" s="1"/>
  <c r="B7" i="2" s="1"/>
  <c r="B8" i="2" s="1"/>
  <c r="B9" i="2" s="1"/>
  <c r="B10" i="2" s="1"/>
  <c r="B11" i="2" s="1"/>
  <c r="B12" i="2" s="1"/>
  <c r="B13" i="2" s="1"/>
  <c r="B14" i="2" s="1"/>
  <c r="B15" i="2" s="1"/>
  <c r="B16" i="2" s="1"/>
  <c r="B17" i="2" s="1"/>
  <c r="B18" i="2" s="1"/>
  <c r="B19" i="2" s="1"/>
  <c r="B20" i="2" s="1"/>
  <c r="B21" i="2" l="1"/>
  <c r="B22" i="2" s="1"/>
  <c r="B23" i="2" s="1"/>
  <c r="B24" i="2" s="1"/>
  <c r="B25" i="2" s="1"/>
  <c r="B26" i="2" s="1"/>
  <c r="B27" i="2" s="1"/>
  <c r="B28" i="2" s="1"/>
  <c r="B29" i="2" s="1"/>
  <c r="B30" i="2" s="1"/>
  <c r="B31" i="2" s="1"/>
  <c r="B32" i="2" s="1"/>
  <c r="B33" i="2" s="1"/>
  <c r="B34" i="2" s="1"/>
  <c r="B35" i="2" s="1"/>
  <c r="B36" i="2" s="1"/>
  <c r="B37" i="2" s="1"/>
  <c r="B38" i="2" s="1"/>
  <c r="B39" i="2" s="1"/>
  <c r="B40" i="2" s="1"/>
  <c r="B41" i="2" s="1"/>
  <c r="B42" i="2" s="1"/>
  <c r="K17" i="2"/>
  <c r="K479" i="2" s="1"/>
  <c r="R17" i="2"/>
  <c r="S17" i="2" s="1"/>
  <c r="G19" i="23"/>
  <c r="G17" i="23"/>
  <c r="G18" i="23"/>
  <c r="E16" i="23"/>
  <c r="D16" i="23"/>
  <c r="C16" i="23"/>
  <c r="B43" i="2" l="1"/>
  <c r="B44" i="2" s="1"/>
  <c r="B45" i="2" s="1"/>
  <c r="F19" i="23"/>
  <c r="F18" i="23"/>
  <c r="F17" i="23"/>
  <c r="B46" i="2" l="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G16" i="23"/>
  <c r="F16" i="23"/>
  <c r="B93" i="2" l="1"/>
  <c r="B94" i="2" s="1"/>
  <c r="B95" i="2" s="1"/>
  <c r="B96" i="2" s="1"/>
  <c r="B97" i="2" s="1"/>
  <c r="B98" i="2" s="1"/>
  <c r="B99" i="2" s="1"/>
  <c r="B100" i="2" s="1"/>
  <c r="B101" i="2" s="1"/>
  <c r="B102" i="2" s="1"/>
  <c r="B103" i="2" s="1"/>
  <c r="B104" i="2" s="1"/>
  <c r="B105" i="2" s="1"/>
  <c r="B106" i="2" s="1"/>
  <c r="B107" i="2" s="1"/>
  <c r="B108" i="2" s="1"/>
  <c r="B109" i="2" l="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F1" i="3"/>
  <c r="E6" i="3"/>
  <c r="F6" i="3" s="1"/>
  <c r="E7" i="3"/>
  <c r="E8" i="3"/>
  <c r="E9" i="3"/>
  <c r="E10" i="3"/>
  <c r="F10" i="3" s="1"/>
  <c r="E11" i="3"/>
  <c r="F11" i="3" s="1"/>
  <c r="E12" i="3"/>
  <c r="E13" i="3"/>
  <c r="F13" i="3" s="1"/>
  <c r="E14" i="3"/>
  <c r="F14" i="3" s="1"/>
  <c r="E15" i="3"/>
  <c r="P18" i="4"/>
  <c r="O18" i="4"/>
  <c r="Q72" i="4"/>
  <c r="R72" i="4"/>
  <c r="P72" i="4"/>
  <c r="O72" i="4"/>
  <c r="C16" i="3"/>
  <c r="R23" i="26" s="1"/>
  <c r="C17" i="3"/>
  <c r="C5" i="3"/>
  <c r="C6" i="3"/>
  <c r="C7" i="3"/>
  <c r="C8" i="3"/>
  <c r="C9" i="3"/>
  <c r="C10" i="3"/>
  <c r="C11" i="3"/>
  <c r="C12" i="3"/>
  <c r="C13" i="3"/>
  <c r="C14" i="3"/>
  <c r="C15" i="3"/>
  <c r="R22" i="26" s="1"/>
  <c r="O16" i="3"/>
  <c r="F9" i="3" l="1"/>
  <c r="D12" i="3"/>
  <c r="F12" i="3"/>
  <c r="F7" i="3"/>
  <c r="S22" i="26"/>
  <c r="F15" i="3"/>
  <c r="F16" i="3"/>
  <c r="F8" i="3"/>
  <c r="D18" i="3"/>
  <c r="R24" i="26"/>
  <c r="B131" i="2"/>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B310" i="2" s="1"/>
  <c r="B311" i="2" s="1"/>
  <c r="B312" i="2" s="1"/>
  <c r="B313" i="2" s="1"/>
  <c r="B314" i="2" s="1"/>
  <c r="B315" i="2" s="1"/>
  <c r="B316" i="2" s="1"/>
  <c r="B317" i="2" s="1"/>
  <c r="B318" i="2" s="1"/>
  <c r="B319" i="2" s="1"/>
  <c r="B320" i="2" s="1"/>
  <c r="B321" i="2" s="1"/>
  <c r="B322" i="2" s="1"/>
  <c r="B323" i="2" s="1"/>
  <c r="B324" i="2" s="1"/>
  <c r="B325" i="2" s="1"/>
  <c r="B326" i="2" s="1"/>
  <c r="B327" i="2" s="1"/>
  <c r="B328" i="2" s="1"/>
  <c r="B329" i="2" s="1"/>
  <c r="B330" i="2" s="1"/>
  <c r="B331" i="2" s="1"/>
  <c r="B332" i="2" s="1"/>
  <c r="B333" i="2" s="1"/>
  <c r="B334" i="2" s="1"/>
  <c r="B335" i="2" s="1"/>
  <c r="B336" i="2" s="1"/>
  <c r="B337" i="2" s="1"/>
  <c r="B338" i="2" s="1"/>
  <c r="B339" i="2" s="1"/>
  <c r="B340" i="2" s="1"/>
  <c r="B341" i="2" s="1"/>
  <c r="B342" i="2" s="1"/>
  <c r="B343" i="2" s="1"/>
  <c r="B344" i="2" s="1"/>
  <c r="B345" i="2" s="1"/>
  <c r="B346" i="2" s="1"/>
  <c r="B347" i="2" s="1"/>
  <c r="B348" i="2" s="1"/>
  <c r="B349" i="2" s="1"/>
  <c r="B350" i="2" s="1"/>
  <c r="B351" i="2" s="1"/>
  <c r="B352" i="2" s="1"/>
  <c r="B353" i="2" s="1"/>
  <c r="B354" i="2" s="1"/>
  <c r="B355" i="2" s="1"/>
  <c r="B356" i="2" s="1"/>
  <c r="B357" i="2" s="1"/>
  <c r="B358" i="2" s="1"/>
  <c r="B359" i="2" s="1"/>
  <c r="B360" i="2" s="1"/>
  <c r="B361" i="2" s="1"/>
  <c r="B362" i="2" s="1"/>
  <c r="B363" i="2" s="1"/>
  <c r="B364" i="2" s="1"/>
  <c r="B365" i="2" s="1"/>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386" i="2" s="1"/>
  <c r="B387" i="2" s="1"/>
  <c r="B388" i="2" s="1"/>
  <c r="B389" i="2" s="1"/>
  <c r="B390" i="2" s="1"/>
  <c r="B391" i="2" s="1"/>
  <c r="B392" i="2" s="1"/>
  <c r="B393" i="2" s="1"/>
  <c r="B394" i="2" s="1"/>
  <c r="B395" i="2" s="1"/>
  <c r="B396" i="2" s="1"/>
  <c r="B397" i="2" s="1"/>
  <c r="B398" i="2" s="1"/>
  <c r="B399" i="2" s="1"/>
  <c r="B400" i="2" s="1"/>
  <c r="B401" i="2" s="1"/>
  <c r="B402" i="2" s="1"/>
  <c r="B403" i="2" s="1"/>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43" i="2" s="1"/>
  <c r="B444" i="2" s="1"/>
  <c r="D17" i="3"/>
  <c r="G19" i="25"/>
  <c r="G20" i="25"/>
  <c r="G21" i="25"/>
  <c r="G22" i="25"/>
  <c r="G23" i="25"/>
  <c r="G24" i="25"/>
  <c r="G25" i="25"/>
  <c r="G26" i="25"/>
  <c r="G27" i="25"/>
  <c r="G28" i="25"/>
  <c r="G29" i="25"/>
  <c r="G30" i="25"/>
  <c r="G31" i="25"/>
  <c r="G32" i="25"/>
  <c r="C18" i="24" s="1"/>
  <c r="G18" i="25"/>
  <c r="R19" i="26" l="1"/>
  <c r="P18" i="3"/>
  <c r="R18" i="26"/>
  <c r="P17" i="3"/>
  <c r="B467" i="2"/>
  <c r="B468" i="2" s="1"/>
  <c r="B469" i="2" s="1"/>
  <c r="B470" i="2" s="1"/>
  <c r="B471" i="2" s="1"/>
  <c r="B472" i="2" s="1"/>
  <c r="B473" i="2" s="1"/>
  <c r="B474" i="2" s="1"/>
  <c r="B475" i="2" s="1"/>
  <c r="B476" i="2" s="1"/>
  <c r="B477" i="2" s="1"/>
  <c r="B478" i="2" s="1"/>
  <c r="B479" i="2" s="1"/>
  <c r="B480" i="2" s="1"/>
  <c r="B481" i="2" s="1"/>
  <c r="B482" i="2" s="1"/>
  <c r="B483" i="2" s="1"/>
  <c r="B484" i="2" s="1"/>
  <c r="B485" i="2" s="1"/>
  <c r="B486" i="2" s="1"/>
  <c r="B487" i="2" s="1"/>
  <c r="B488" i="2" s="1"/>
  <c r="B489" i="2" s="1"/>
  <c r="B490" i="2" s="1"/>
  <c r="B491" i="2" s="1"/>
  <c r="B492" i="2" s="1"/>
  <c r="B493" i="2" s="1"/>
  <c r="B494" i="2" s="1"/>
  <c r="B495" i="2" s="1"/>
  <c r="B496" i="2" s="1"/>
  <c r="B497" i="2" s="1"/>
  <c r="B498" i="2" s="1"/>
  <c r="B499" i="2" s="1"/>
  <c r="B500" i="2" s="1"/>
  <c r="B501" i="2" s="1"/>
  <c r="B502" i="2" s="1"/>
  <c r="B503" i="2" s="1"/>
  <c r="B504" i="2" s="1"/>
  <c r="B505" i="2" s="1"/>
  <c r="B506" i="2" s="1"/>
  <c r="B507" i="2" s="1"/>
  <c r="B508" i="2" s="1"/>
  <c r="B509" i="2" s="1"/>
  <c r="B510" i="2" s="1"/>
  <c r="B445" i="2"/>
  <c r="B446" i="2" s="1"/>
  <c r="B447" i="2" s="1"/>
  <c r="B448" i="2" s="1"/>
  <c r="B449" i="2" s="1"/>
  <c r="B450" i="2" s="1"/>
  <c r="B451" i="2" s="1"/>
  <c r="B452" i="2" s="1"/>
  <c r="B453" i="2" s="1"/>
  <c r="B454" i="2" s="1"/>
  <c r="B455" i="2" s="1"/>
  <c r="B456" i="2" s="1"/>
  <c r="B457" i="2" s="1"/>
  <c r="B458" i="2" s="1"/>
  <c r="B459" i="2" s="1"/>
  <c r="B460" i="2" s="1"/>
  <c r="B461" i="2" s="1"/>
  <c r="B462" i="2" s="1"/>
  <c r="B463" i="2" s="1"/>
  <c r="B464" i="2" s="1"/>
  <c r="B465" i="2" s="1"/>
  <c r="B466" i="2" s="1"/>
  <c r="D19" i="24"/>
  <c r="W20" i="26" s="1"/>
  <c r="H31" i="25"/>
  <c r="C17" i="24"/>
  <c r="D18" i="24" s="1"/>
  <c r="W19" i="26" s="1"/>
  <c r="S18" i="26"/>
  <c r="S19" i="26"/>
  <c r="H32" i="25"/>
  <c r="H33" i="25"/>
  <c r="H30" i="25"/>
  <c r="C16" i="24"/>
  <c r="E16" i="24"/>
  <c r="F17" i="24" s="1"/>
  <c r="N16" i="3"/>
  <c r="V17" i="26"/>
  <c r="Q17" i="26"/>
  <c r="L17" i="26"/>
  <c r="G17" i="26"/>
  <c r="D17" i="24" l="1"/>
  <c r="W18" i="26" s="1"/>
  <c r="X18" i="26"/>
  <c r="C5" i="5" l="1"/>
  <c r="C6" i="5" s="1"/>
  <c r="C7" i="5" s="1"/>
  <c r="C8" i="5" s="1"/>
  <c r="C9" i="5" s="1"/>
  <c r="C10" i="5" s="1"/>
  <c r="C11" i="5" s="1"/>
  <c r="C12" i="5" s="1"/>
  <c r="C13" i="5" s="1"/>
  <c r="C14" i="5" s="1"/>
  <c r="C15" i="5" s="1"/>
  <c r="C16" i="5" s="1"/>
  <c r="C17" i="5" s="1"/>
  <c r="C18" i="5" s="1"/>
  <c r="C19" i="5" l="1"/>
  <c r="C20" i="5" s="1"/>
  <c r="C21" i="5" l="1"/>
  <c r="C22" i="5" s="1"/>
  <c r="C23" i="5" s="1"/>
  <c r="C24" i="5" s="1"/>
  <c r="C25" i="5" s="1"/>
  <c r="D468" i="2"/>
  <c r="D469" i="2" s="1"/>
  <c r="D470" i="2" s="1"/>
  <c r="D471" i="2" s="1"/>
  <c r="D472" i="2" s="1"/>
  <c r="D473" i="2" s="1"/>
  <c r="D474" i="2" s="1"/>
  <c r="D475" i="2" s="1"/>
  <c r="D476" i="2" s="1"/>
  <c r="D479" i="2" s="1"/>
  <c r="D482" i="2" s="1"/>
  <c r="D485" i="2" s="1"/>
  <c r="D488" i="2" s="1"/>
  <c r="H19" i="25"/>
  <c r="H20" i="25"/>
  <c r="H21" i="25"/>
  <c r="H22" i="25"/>
  <c r="H23" i="25"/>
  <c r="H24" i="25"/>
  <c r="H25" i="25"/>
  <c r="H26" i="25"/>
  <c r="H27" i="25"/>
  <c r="H28" i="25"/>
  <c r="H29" i="25"/>
  <c r="D477" i="2" l="1"/>
  <c r="I2" i="12"/>
  <c r="B172" i="12"/>
  <c r="B173" i="12" s="1"/>
  <c r="B174" i="12" s="1"/>
  <c r="B175" i="12" s="1"/>
  <c r="B176" i="12" s="1"/>
  <c r="B177" i="12" s="1"/>
  <c r="B178" i="12" s="1"/>
  <c r="B179" i="12" s="1"/>
  <c r="B180" i="12" s="1"/>
  <c r="B181" i="12" s="1"/>
  <c r="B182" i="12" s="1"/>
  <c r="B183" i="12" s="1"/>
  <c r="B184" i="12" s="1"/>
  <c r="B185" i="12" s="1"/>
  <c r="D478" i="2" l="1"/>
  <c r="D480" i="2"/>
  <c r="D483" i="2" s="1"/>
  <c r="D486" i="2" s="1"/>
  <c r="F11" i="2"/>
  <c r="F12" i="2"/>
  <c r="G12" i="2" l="1"/>
  <c r="G11" i="2"/>
  <c r="D481" i="2"/>
  <c r="D484" i="2" s="1"/>
  <c r="D487" i="2" s="1"/>
  <c r="C9" i="24"/>
  <c r="F1" i="24"/>
  <c r="E72" i="4" l="1"/>
  <c r="E73" i="4" s="1"/>
  <c r="F72" i="4"/>
  <c r="G72" i="4"/>
  <c r="H72" i="4"/>
  <c r="I72" i="4"/>
  <c r="J72" i="4"/>
  <c r="K72" i="4"/>
  <c r="L72" i="4"/>
  <c r="M72" i="4"/>
  <c r="N72" i="4"/>
  <c r="E18" i="4"/>
  <c r="F18" i="4"/>
  <c r="G18" i="4"/>
  <c r="H18" i="4"/>
  <c r="I18" i="4"/>
  <c r="J18" i="4"/>
  <c r="K18" i="4"/>
  <c r="L18" i="4"/>
  <c r="M18" i="4"/>
  <c r="N18" i="4"/>
  <c r="D18" i="4"/>
  <c r="C6" i="26" l="1"/>
  <c r="G7" i="26"/>
  <c r="G8" i="26"/>
  <c r="G9" i="26"/>
  <c r="G10" i="26"/>
  <c r="G11" i="26"/>
  <c r="G12" i="26"/>
  <c r="G13" i="26"/>
  <c r="G14" i="26"/>
  <c r="G15" i="26"/>
  <c r="G16" i="26"/>
  <c r="G6" i="26"/>
  <c r="L7" i="26"/>
  <c r="L8" i="26"/>
  <c r="L9" i="26"/>
  <c r="L10" i="26"/>
  <c r="L11" i="26"/>
  <c r="L12" i="26"/>
  <c r="L13" i="26"/>
  <c r="L14" i="26"/>
  <c r="L15" i="26"/>
  <c r="L16" i="26"/>
  <c r="L6" i="26"/>
  <c r="T5" i="26"/>
  <c r="S5" i="26"/>
  <c r="R5" i="26"/>
  <c r="Y5" i="26"/>
  <c r="X5" i="26"/>
  <c r="Q7" i="26"/>
  <c r="Q8" i="26"/>
  <c r="Q9" i="26"/>
  <c r="Q10" i="26"/>
  <c r="Q11" i="26"/>
  <c r="Q12" i="26"/>
  <c r="Q13" i="26"/>
  <c r="Q14" i="26"/>
  <c r="Q15" i="26"/>
  <c r="Q16" i="26"/>
  <c r="Q6" i="26"/>
  <c r="V7" i="26"/>
  <c r="V8" i="26"/>
  <c r="V9" i="26"/>
  <c r="V10" i="26"/>
  <c r="V11" i="26"/>
  <c r="V12" i="26"/>
  <c r="V13" i="26"/>
  <c r="V14" i="26"/>
  <c r="V15" i="26"/>
  <c r="V16" i="26"/>
  <c r="V6" i="26"/>
  <c r="W5" i="26"/>
  <c r="D424" i="2" l="1"/>
  <c r="D425" i="2" s="1"/>
  <c r="D426" i="2" s="1"/>
  <c r="D427" i="2" s="1"/>
  <c r="D428" i="2" s="1"/>
  <c r="D429" i="2" s="1"/>
  <c r="D430" i="2" s="1"/>
  <c r="D431" i="2" s="1"/>
  <c r="D432" i="2" s="1"/>
  <c r="D435" i="2" s="1"/>
  <c r="I118" i="12"/>
  <c r="C171" i="12" s="1"/>
  <c r="D6" i="26"/>
  <c r="E6" i="26"/>
  <c r="D444" i="2" l="1"/>
  <c r="D439" i="2"/>
  <c r="D433" i="2"/>
  <c r="D443" i="2" l="1"/>
  <c r="D434" i="2"/>
  <c r="D436" i="2"/>
  <c r="D440" i="2" s="1"/>
  <c r="D437" i="2" l="1"/>
  <c r="D441" i="2" s="1"/>
  <c r="D438" i="2"/>
  <c r="D442" i="2" l="1"/>
  <c r="N6" i="3"/>
  <c r="N7" i="3"/>
  <c r="N8" i="3"/>
  <c r="N9" i="3"/>
  <c r="N10" i="3"/>
  <c r="N11" i="3"/>
  <c r="N12" i="3"/>
  <c r="N13" i="3"/>
  <c r="N14" i="3"/>
  <c r="N15" i="3"/>
  <c r="N5" i="3"/>
  <c r="O7" i="3"/>
  <c r="O8" i="3"/>
  <c r="O9" i="3"/>
  <c r="O10" i="3"/>
  <c r="O11" i="3"/>
  <c r="O12" i="3"/>
  <c r="O13" i="3"/>
  <c r="O14" i="3"/>
  <c r="O15" i="3"/>
  <c r="P12" i="3" l="1"/>
  <c r="E2" i="12"/>
  <c r="E5" i="24"/>
  <c r="E6" i="24"/>
  <c r="E7" i="24"/>
  <c r="E8" i="24"/>
  <c r="E9" i="24"/>
  <c r="E10" i="24"/>
  <c r="E11" i="24"/>
  <c r="E12" i="24"/>
  <c r="E13" i="24"/>
  <c r="E14" i="24"/>
  <c r="E15" i="24"/>
  <c r="F16" i="24" s="1"/>
  <c r="X17" i="26" s="1"/>
  <c r="C5" i="24"/>
  <c r="C6" i="24"/>
  <c r="C7" i="24"/>
  <c r="C8" i="24"/>
  <c r="D9" i="24" s="1"/>
  <c r="C10" i="24"/>
  <c r="C11" i="24"/>
  <c r="C12" i="24"/>
  <c r="C13" i="24"/>
  <c r="C14" i="24"/>
  <c r="C15" i="24"/>
  <c r="D16" i="24" s="1"/>
  <c r="W17" i="26" s="1"/>
  <c r="W6" i="26" l="1"/>
  <c r="X6" i="26"/>
  <c r="F9" i="24"/>
  <c r="X10" i="26" s="1"/>
  <c r="D8" i="24"/>
  <c r="W9" i="26" s="1"/>
  <c r="D6" i="24"/>
  <c r="W7" i="26" s="1"/>
  <c r="F2" i="24"/>
  <c r="T5" i="2"/>
  <c r="J21" i="24" l="1"/>
  <c r="Y22" i="26" s="1"/>
  <c r="J22" i="24"/>
  <c r="Y23" i="26" s="1"/>
  <c r="J23" i="24"/>
  <c r="Y24" i="26" s="1"/>
  <c r="J24" i="24"/>
  <c r="Y25" i="26" s="1"/>
  <c r="J25" i="24"/>
  <c r="Y26" i="26" s="1"/>
  <c r="J18" i="24"/>
  <c r="Y19" i="26" s="1"/>
  <c r="J17" i="24"/>
  <c r="Y18" i="26" s="1"/>
  <c r="J19" i="24"/>
  <c r="Y20" i="26" s="1"/>
  <c r="J20" i="24"/>
  <c r="Y21" i="26" s="1"/>
  <c r="J16" i="24"/>
  <c r="Y17" i="26" s="1"/>
  <c r="F6" i="24"/>
  <c r="F12" i="24"/>
  <c r="X13" i="26" s="1"/>
  <c r="F14" i="24"/>
  <c r="X15" i="26" s="1"/>
  <c r="D11" i="24"/>
  <c r="W12" i="26" s="1"/>
  <c r="D13" i="24"/>
  <c r="W14" i="26" s="1"/>
  <c r="D15" i="24"/>
  <c r="W16" i="26" s="1"/>
  <c r="J5" i="24"/>
  <c r="Y6" i="26" s="1"/>
  <c r="D10" i="24"/>
  <c r="W11" i="26" s="1"/>
  <c r="F13" i="24"/>
  <c r="D7" i="24"/>
  <c r="W8" i="26" s="1"/>
  <c r="F8" i="24"/>
  <c r="F10" i="24"/>
  <c r="X11" i="26" s="1"/>
  <c r="D12" i="24"/>
  <c r="D14" i="24"/>
  <c r="W15" i="26" s="1"/>
  <c r="H6" i="24"/>
  <c r="F7" i="24"/>
  <c r="X8" i="26" s="1"/>
  <c r="F11" i="24"/>
  <c r="X12" i="26" s="1"/>
  <c r="F15" i="24"/>
  <c r="X16" i="26" s="1"/>
  <c r="J14" i="24" l="1"/>
  <c r="Y15" i="26" s="1"/>
  <c r="J12" i="24"/>
  <c r="Y13" i="26" s="1"/>
  <c r="W13" i="26"/>
  <c r="J13" i="24"/>
  <c r="Y14" i="26" s="1"/>
  <c r="X14" i="26"/>
  <c r="I6" i="24"/>
  <c r="I7" i="24" s="1"/>
  <c r="X7" i="26"/>
  <c r="J8" i="24"/>
  <c r="Y9" i="26" s="1"/>
  <c r="X9" i="26"/>
  <c r="J9" i="24"/>
  <c r="Y10" i="26" s="1"/>
  <c r="W10" i="26"/>
  <c r="Y7" i="26"/>
  <c r="J11" i="24"/>
  <c r="Y12" i="26" s="1"/>
  <c r="J10" i="24"/>
  <c r="Y11" i="26" s="1"/>
  <c r="J7" i="24"/>
  <c r="Y8" i="26" s="1"/>
  <c r="J15" i="24"/>
  <c r="Y16" i="26" s="1"/>
  <c r="H7" i="24"/>
  <c r="K6" i="24" l="1"/>
  <c r="I8" i="24"/>
  <c r="H8" i="24"/>
  <c r="H9" i="24" s="1"/>
  <c r="L1" i="2"/>
  <c r="O6" i="3"/>
  <c r="O5" i="3"/>
  <c r="E7" i="26" l="1"/>
  <c r="E33" i="26" s="1"/>
  <c r="L6" i="24"/>
  <c r="K7" i="24"/>
  <c r="L7" i="24" s="1"/>
  <c r="I9" i="24"/>
  <c r="D490" i="2"/>
  <c r="D491" i="2" s="1"/>
  <c r="D492" i="2" s="1"/>
  <c r="D493" i="2" s="1"/>
  <c r="D494" i="2" s="1"/>
  <c r="D495" i="2" s="1"/>
  <c r="D496" i="2" s="1"/>
  <c r="D497" i="2" s="1"/>
  <c r="D498" i="2" s="1"/>
  <c r="D292" i="2"/>
  <c r="D270" i="2"/>
  <c r="D248" i="2"/>
  <c r="D226" i="2"/>
  <c r="D204" i="2"/>
  <c r="D182" i="2"/>
  <c r="D160" i="2"/>
  <c r="D138" i="2"/>
  <c r="C6" i="2"/>
  <c r="C7" i="2" s="1"/>
  <c r="C8" i="2" s="1"/>
  <c r="C9" i="2" s="1"/>
  <c r="C10" i="2" s="1"/>
  <c r="C11" i="2" s="1"/>
  <c r="C12" i="2" s="1"/>
  <c r="C13" i="2" s="1"/>
  <c r="C14" i="2" s="1"/>
  <c r="D501" i="2" l="1"/>
  <c r="D504" i="2" s="1"/>
  <c r="D205" i="2"/>
  <c r="D293" i="2"/>
  <c r="D227" i="2"/>
  <c r="D139" i="2"/>
  <c r="D161" i="2"/>
  <c r="D249" i="2"/>
  <c r="D183" i="2"/>
  <c r="D271" i="2"/>
  <c r="D499" i="2"/>
  <c r="C15" i="2"/>
  <c r="C17" i="2"/>
  <c r="K8" i="24"/>
  <c r="L8" i="24" s="1"/>
  <c r="E8" i="26"/>
  <c r="E34" i="26" s="1"/>
  <c r="I10" i="24"/>
  <c r="H10" i="24"/>
  <c r="D507" i="2" l="1"/>
  <c r="D510" i="2" s="1"/>
  <c r="C26" i="2"/>
  <c r="C27" i="2" s="1"/>
  <c r="C21" i="2"/>
  <c r="C25" i="2" s="1"/>
  <c r="D272" i="2"/>
  <c r="D250" i="2"/>
  <c r="D140" i="2"/>
  <c r="D294" i="2"/>
  <c r="D184" i="2"/>
  <c r="D162" i="2"/>
  <c r="D228" i="2"/>
  <c r="D206" i="2"/>
  <c r="C16" i="2"/>
  <c r="C18" i="2"/>
  <c r="C22" i="2" s="1"/>
  <c r="D500" i="2"/>
  <c r="D502" i="2"/>
  <c r="E9" i="26"/>
  <c r="E35" i="26" s="1"/>
  <c r="K9" i="24"/>
  <c r="L9" i="24" s="1"/>
  <c r="H11" i="24"/>
  <c r="I11" i="24"/>
  <c r="D505" i="2" l="1"/>
  <c r="D508" i="2" s="1"/>
  <c r="D163" i="2"/>
  <c r="D207" i="2"/>
  <c r="D295" i="2"/>
  <c r="D251" i="2"/>
  <c r="D229" i="2"/>
  <c r="D185" i="2"/>
  <c r="D141" i="2"/>
  <c r="D273" i="2"/>
  <c r="D503" i="2"/>
  <c r="D506" i="2" s="1"/>
  <c r="D509" i="2" s="1"/>
  <c r="C20" i="2"/>
  <c r="C24" i="2" s="1"/>
  <c r="C19" i="2"/>
  <c r="C23" i="2" s="1"/>
  <c r="K10" i="24"/>
  <c r="L10" i="24" s="1"/>
  <c r="E10" i="26"/>
  <c r="E36" i="26" s="1"/>
  <c r="H12" i="24"/>
  <c r="I12" i="24"/>
  <c r="D274" i="2" l="1"/>
  <c r="D186" i="2"/>
  <c r="D252" i="2"/>
  <c r="D208" i="2"/>
  <c r="D142" i="2"/>
  <c r="D230" i="2"/>
  <c r="D296" i="2"/>
  <c r="D164" i="2"/>
  <c r="K11" i="24"/>
  <c r="L11" i="24" s="1"/>
  <c r="E11" i="26"/>
  <c r="E37" i="26" s="1"/>
  <c r="H13" i="24"/>
  <c r="I13" i="24"/>
  <c r="D165" i="2" l="1"/>
  <c r="D231" i="2"/>
  <c r="D209" i="2"/>
  <c r="D187" i="2"/>
  <c r="D297" i="2"/>
  <c r="D143" i="2"/>
  <c r="D253" i="2"/>
  <c r="D275" i="2"/>
  <c r="L12" i="24"/>
  <c r="E12" i="26"/>
  <c r="E38" i="26" s="1"/>
  <c r="H14" i="24"/>
  <c r="I14" i="24"/>
  <c r="D298" i="2" l="1"/>
  <c r="D276" i="2"/>
  <c r="D144" i="2"/>
  <c r="D188" i="2"/>
  <c r="D232" i="2"/>
  <c r="D254" i="2"/>
  <c r="D210" i="2"/>
  <c r="D166" i="2"/>
  <c r="K13" i="24"/>
  <c r="L13" i="24" s="1"/>
  <c r="E13" i="26"/>
  <c r="E39" i="26" s="1"/>
  <c r="I15" i="24"/>
  <c r="I16" i="24" s="1"/>
  <c r="I17" i="24" s="1"/>
  <c r="I18" i="24" s="1"/>
  <c r="I19" i="24" s="1"/>
  <c r="I20" i="24" s="1"/>
  <c r="I21" i="24" s="1"/>
  <c r="I22" i="24" s="1"/>
  <c r="I23" i="24" s="1"/>
  <c r="I24" i="24" s="1"/>
  <c r="I25" i="24" s="1"/>
  <c r="I26" i="24" s="1"/>
  <c r="H15" i="24"/>
  <c r="H17" i="24" s="1"/>
  <c r="H18" i="24" s="1"/>
  <c r="H19" i="24" s="1"/>
  <c r="H20" i="24" s="1"/>
  <c r="H21" i="24" s="1"/>
  <c r="H22" i="24" s="1"/>
  <c r="H23" i="24" s="1"/>
  <c r="H24" i="24" s="1"/>
  <c r="H25" i="24" s="1"/>
  <c r="H26" i="24" s="1"/>
  <c r="D255" i="2" l="1"/>
  <c r="D189" i="2"/>
  <c r="D277" i="2"/>
  <c r="D167" i="2"/>
  <c r="D211" i="2"/>
  <c r="D233" i="2"/>
  <c r="D145" i="2"/>
  <c r="D299" i="2"/>
  <c r="K14" i="24"/>
  <c r="E14" i="26"/>
  <c r="E40" i="26" s="1"/>
  <c r="D300" i="2" l="1"/>
  <c r="D234" i="2"/>
  <c r="D168" i="2"/>
  <c r="D190" i="2"/>
  <c r="D146" i="2"/>
  <c r="D212" i="2"/>
  <c r="D278" i="2"/>
  <c r="D256" i="2"/>
  <c r="L14" i="24"/>
  <c r="K15" i="24"/>
  <c r="K16" i="24" s="1"/>
  <c r="E15" i="26"/>
  <c r="E41" i="26" s="1"/>
  <c r="D215" i="2" l="1"/>
  <c r="D213" i="2"/>
  <c r="D237" i="2"/>
  <c r="D235" i="2"/>
  <c r="D259" i="2"/>
  <c r="D257" i="2"/>
  <c r="D193" i="2"/>
  <c r="D191" i="2"/>
  <c r="D281" i="2"/>
  <c r="D284" i="2" s="1"/>
  <c r="D287" i="2" s="1"/>
  <c r="D279" i="2"/>
  <c r="D149" i="2"/>
  <c r="D147" i="2"/>
  <c r="D171" i="2"/>
  <c r="D174" i="2" s="1"/>
  <c r="D177" i="2" s="1"/>
  <c r="D169" i="2"/>
  <c r="D303" i="2"/>
  <c r="D301" i="2"/>
  <c r="E17" i="26"/>
  <c r="K17" i="24"/>
  <c r="L16" i="24"/>
  <c r="E16" i="26"/>
  <c r="E42" i="26" s="1"/>
  <c r="L15" i="24"/>
  <c r="E43" i="26" l="1"/>
  <c r="D302" i="2"/>
  <c r="D304" i="2"/>
  <c r="D214" i="2"/>
  <c r="D216" i="2"/>
  <c r="D192" i="2"/>
  <c r="D194" i="2"/>
  <c r="D280" i="2"/>
  <c r="D282" i="2"/>
  <c r="D285" i="2" s="1"/>
  <c r="D148" i="2"/>
  <c r="D150" i="2"/>
  <c r="D236" i="2"/>
  <c r="D238" i="2"/>
  <c r="D170" i="2"/>
  <c r="D172" i="2"/>
  <c r="D175" i="2" s="1"/>
  <c r="D290" i="2"/>
  <c r="D258" i="2"/>
  <c r="D260" i="2"/>
  <c r="L17" i="24"/>
  <c r="E18" i="26"/>
  <c r="E44" i="26" s="1"/>
  <c r="K18" i="24"/>
  <c r="D288" i="2" l="1"/>
  <c r="D178" i="2"/>
  <c r="D173" i="2"/>
  <c r="D217" i="2"/>
  <c r="D218" i="2" s="1"/>
  <c r="D195" i="2"/>
  <c r="D306" i="2"/>
  <c r="D307" i="2" s="1"/>
  <c r="D305" i="2"/>
  <c r="D151" i="2"/>
  <c r="D152" i="2" s="1"/>
  <c r="D283" i="2"/>
  <c r="D261" i="2"/>
  <c r="D262" i="2" s="1"/>
  <c r="D239" i="2"/>
  <c r="D240" i="2"/>
  <c r="E19" i="26"/>
  <c r="E45" i="26" s="1"/>
  <c r="L18" i="24"/>
  <c r="K19" i="24"/>
  <c r="D308" i="2" l="1"/>
  <c r="D286" i="2"/>
  <c r="D263" i="2"/>
  <c r="D265" i="2"/>
  <c r="D243" i="2"/>
  <c r="D241" i="2"/>
  <c r="D219" i="2"/>
  <c r="D198" i="2"/>
  <c r="D196" i="2"/>
  <c r="D176" i="2"/>
  <c r="D153" i="2"/>
  <c r="D155" i="2"/>
  <c r="E20" i="26"/>
  <c r="E46" i="26" s="1"/>
  <c r="L19" i="24"/>
  <c r="K20" i="24"/>
  <c r="F73" i="4"/>
  <c r="G73" i="4" s="1"/>
  <c r="H73" i="4" s="1"/>
  <c r="I73" i="4" s="1"/>
  <c r="J73" i="4" s="1"/>
  <c r="K73" i="4" s="1"/>
  <c r="L73" i="4" s="1"/>
  <c r="M73" i="4" s="1"/>
  <c r="N73" i="4" s="1"/>
  <c r="O73" i="4" s="1"/>
  <c r="P73" i="4" s="1"/>
  <c r="Q73" i="4" s="1"/>
  <c r="R73" i="4" s="1"/>
  <c r="S73" i="4" s="1"/>
  <c r="T73" i="4" s="1"/>
  <c r="U73" i="4" s="1"/>
  <c r="V73" i="4" s="1"/>
  <c r="W73" i="4" s="1"/>
  <c r="X73" i="4" s="1"/>
  <c r="Y73" i="4" s="1"/>
  <c r="Z73" i="4" s="1"/>
  <c r="D309" i="2" l="1"/>
  <c r="D311" i="2"/>
  <c r="D289" i="2"/>
  <c r="D266" i="2"/>
  <c r="D264" i="2"/>
  <c r="D242" i="2"/>
  <c r="D244" i="2"/>
  <c r="D220" i="2"/>
  <c r="D197" i="2"/>
  <c r="D200" i="2" s="1"/>
  <c r="D201" i="2" s="1"/>
  <c r="D202" i="2" s="1"/>
  <c r="D199" i="2"/>
  <c r="D180" i="2"/>
  <c r="D179" i="2"/>
  <c r="D154" i="2"/>
  <c r="D157" i="2" s="1"/>
  <c r="D158" i="2" s="1"/>
  <c r="D156" i="2"/>
  <c r="E21" i="26"/>
  <c r="E47" i="26" s="1"/>
  <c r="K21" i="24"/>
  <c r="L20" i="24"/>
  <c r="D34" i="12"/>
  <c r="E6" i="12"/>
  <c r="D6" i="12"/>
  <c r="K22" i="24" l="1"/>
  <c r="E23" i="26" s="1"/>
  <c r="E49" i="26" s="1"/>
  <c r="E22" i="26"/>
  <c r="E48" i="26" s="1"/>
  <c r="K23" i="24"/>
  <c r="E24" i="26" s="1"/>
  <c r="E50" i="26" s="1"/>
  <c r="D312" i="2"/>
  <c r="D310" i="2"/>
  <c r="D267" i="2"/>
  <c r="D245" i="2"/>
  <c r="D246" i="2"/>
  <c r="D223" i="2"/>
  <c r="D221" i="2"/>
  <c r="L21" i="24"/>
  <c r="D62" i="12"/>
  <c r="J34" i="12"/>
  <c r="L22" i="24" l="1"/>
  <c r="K24" i="24"/>
  <c r="E25" i="26" s="1"/>
  <c r="E51" i="26" s="1"/>
  <c r="L23" i="24"/>
  <c r="D268" i="2"/>
  <c r="D222" i="2"/>
  <c r="D224" i="2"/>
  <c r="J62" i="12"/>
  <c r="L24" i="24" l="1"/>
  <c r="K25" i="24"/>
  <c r="H6" i="12"/>
  <c r="G6" i="12"/>
  <c r="F6" i="12"/>
  <c r="C6" i="12"/>
  <c r="K26" i="24" l="1"/>
  <c r="E26" i="26"/>
  <c r="E52" i="26" s="1"/>
  <c r="L25" i="24"/>
  <c r="D116" i="2"/>
  <c r="D94" i="2"/>
  <c r="D50" i="2"/>
  <c r="L26" i="24" l="1"/>
  <c r="L27" i="24" s="1"/>
  <c r="E27" i="26"/>
  <c r="D51" i="2"/>
  <c r="D117" i="2"/>
  <c r="D95" i="2"/>
  <c r="D72" i="2"/>
  <c r="E53" i="26" l="1"/>
  <c r="E54" i="26" s="1"/>
  <c r="E28" i="26" s="1"/>
  <c r="D118" i="2"/>
  <c r="D73" i="2"/>
  <c r="D96" i="2"/>
  <c r="D52" i="2"/>
  <c r="D97" i="2" l="1"/>
  <c r="D74" i="2"/>
  <c r="D53" i="2"/>
  <c r="D119" i="2"/>
  <c r="D16" i="3"/>
  <c r="P16" i="3" s="1"/>
  <c r="S17" i="26"/>
  <c r="D15" i="3"/>
  <c r="P15" i="3" s="1"/>
  <c r="R13" i="26"/>
  <c r="J15" i="2"/>
  <c r="J14" i="2"/>
  <c r="J13" i="2"/>
  <c r="J12" i="2"/>
  <c r="J11" i="2"/>
  <c r="J10" i="2"/>
  <c r="J9" i="2"/>
  <c r="J8" i="2"/>
  <c r="J7" i="2"/>
  <c r="J6" i="2"/>
  <c r="J5" i="2"/>
  <c r="O14" i="2" l="1"/>
  <c r="P14" i="2" s="1"/>
  <c r="Q14" i="2" s="1"/>
  <c r="L14" i="2"/>
  <c r="C13" i="23" s="1"/>
  <c r="L11" i="2"/>
  <c r="C10" i="23" s="1"/>
  <c r="O11" i="2"/>
  <c r="P11" i="2" s="1"/>
  <c r="Q11" i="2" s="1"/>
  <c r="L8" i="2"/>
  <c r="C7" i="23" s="1"/>
  <c r="O8" i="2"/>
  <c r="P8" i="2" s="1"/>
  <c r="Q8" i="2" s="1"/>
  <c r="L12" i="2"/>
  <c r="C11" i="23" s="1"/>
  <c r="O12" i="2"/>
  <c r="P12" i="2" s="1"/>
  <c r="Q12" i="2" s="1"/>
  <c r="O6" i="2"/>
  <c r="P6" i="2" s="1"/>
  <c r="Q6" i="2" s="1"/>
  <c r="L6" i="2"/>
  <c r="C5" i="23" s="1"/>
  <c r="L7" i="2"/>
  <c r="C6" i="23" s="1"/>
  <c r="O7" i="2"/>
  <c r="P7" i="2" s="1"/>
  <c r="Q7" i="2" s="1"/>
  <c r="L15" i="2"/>
  <c r="C14" i="23" s="1"/>
  <c r="O15" i="2"/>
  <c r="P15" i="2" s="1"/>
  <c r="Q15" i="2" s="1"/>
  <c r="O5" i="2"/>
  <c r="P5" i="2" s="1"/>
  <c r="L5" i="2"/>
  <c r="C4" i="23" s="1"/>
  <c r="L9" i="2"/>
  <c r="C8" i="23" s="1"/>
  <c r="O9" i="2"/>
  <c r="P9" i="2" s="1"/>
  <c r="Q9" i="2" s="1"/>
  <c r="L13" i="2"/>
  <c r="C12" i="23" s="1"/>
  <c r="O13" i="2"/>
  <c r="P13" i="2" s="1"/>
  <c r="Q13" i="2" s="1"/>
  <c r="O10" i="2"/>
  <c r="P10" i="2" s="1"/>
  <c r="Q10" i="2" s="1"/>
  <c r="L10" i="2"/>
  <c r="C9" i="23" s="1"/>
  <c r="D120" i="2"/>
  <c r="D75" i="2"/>
  <c r="D54" i="2"/>
  <c r="D98" i="2"/>
  <c r="R16" i="26"/>
  <c r="R17" i="26"/>
  <c r="S9" i="26"/>
  <c r="S6" i="26"/>
  <c r="S10" i="26"/>
  <c r="S8" i="26"/>
  <c r="S11" i="26"/>
  <c r="S14" i="26"/>
  <c r="S12" i="26"/>
  <c r="S15" i="26"/>
  <c r="D9" i="3"/>
  <c r="J9" i="3" s="1"/>
  <c r="D10" i="3"/>
  <c r="D6" i="3"/>
  <c r="R7" i="26" s="1"/>
  <c r="D7" i="3"/>
  <c r="D13" i="3"/>
  <c r="D14" i="3"/>
  <c r="P14" i="3" s="1"/>
  <c r="D11" i="3"/>
  <c r="D8" i="3"/>
  <c r="R11" i="26" l="1"/>
  <c r="P10" i="3"/>
  <c r="R12" i="26"/>
  <c r="P11" i="3"/>
  <c r="R14" i="26"/>
  <c r="P13" i="3"/>
  <c r="R10" i="26"/>
  <c r="P9" i="3"/>
  <c r="K12" i="2"/>
  <c r="K474" i="2" s="1"/>
  <c r="K15" i="2"/>
  <c r="K477" i="2" s="1"/>
  <c r="K7" i="2"/>
  <c r="K469" i="2" s="1"/>
  <c r="K14" i="2"/>
  <c r="K476" i="2" s="1"/>
  <c r="K9" i="2"/>
  <c r="K471" i="2" s="1"/>
  <c r="K13" i="2"/>
  <c r="K475" i="2" s="1"/>
  <c r="D8" i="23"/>
  <c r="D12" i="23"/>
  <c r="R10" i="2"/>
  <c r="S10" i="2" s="1"/>
  <c r="K10" i="2"/>
  <c r="K472" i="2" s="1"/>
  <c r="K8" i="2"/>
  <c r="K470" i="2" s="1"/>
  <c r="R13" i="2"/>
  <c r="S13" i="2" s="1"/>
  <c r="K6" i="2"/>
  <c r="K468" i="2" s="1"/>
  <c r="K11" i="2"/>
  <c r="K473" i="2" s="1"/>
  <c r="R12" i="2"/>
  <c r="S12" i="2" s="1"/>
  <c r="D7" i="23"/>
  <c r="R9" i="2"/>
  <c r="S9" i="2" s="1"/>
  <c r="R15" i="2"/>
  <c r="S15" i="2" s="1"/>
  <c r="R8" i="2"/>
  <c r="S8" i="2" s="1"/>
  <c r="R7" i="2"/>
  <c r="S7" i="2" s="1"/>
  <c r="D4" i="23"/>
  <c r="Q5" i="2"/>
  <c r="R6" i="2"/>
  <c r="S6" i="2" s="1"/>
  <c r="R11" i="2"/>
  <c r="S11" i="2" s="1"/>
  <c r="R14" i="2"/>
  <c r="S14" i="2" s="1"/>
  <c r="D55" i="2"/>
  <c r="D99" i="2"/>
  <c r="D76" i="2"/>
  <c r="D121" i="2"/>
  <c r="R15" i="26"/>
  <c r="P7" i="3"/>
  <c r="R8" i="26"/>
  <c r="S16" i="26"/>
  <c r="P8" i="3"/>
  <c r="R9" i="26"/>
  <c r="I6" i="3"/>
  <c r="I7" i="3" s="1"/>
  <c r="S7" i="26"/>
  <c r="S13" i="26"/>
  <c r="P5" i="3"/>
  <c r="H6" i="3"/>
  <c r="H7" i="3" s="1"/>
  <c r="P6" i="3"/>
  <c r="Q6" i="3" s="1"/>
  <c r="D10" i="23"/>
  <c r="D14" i="23"/>
  <c r="D6" i="23"/>
  <c r="Q7" i="3" l="1"/>
  <c r="R5" i="2"/>
  <c r="S5" i="2" s="1"/>
  <c r="D122" i="2"/>
  <c r="D77" i="2"/>
  <c r="D100" i="2"/>
  <c r="D56" i="2"/>
  <c r="D5" i="23"/>
  <c r="E7" i="23"/>
  <c r="E12" i="23"/>
  <c r="D9" i="23"/>
  <c r="E8" i="23"/>
  <c r="D13" i="23"/>
  <c r="E4" i="23"/>
  <c r="D11" i="23"/>
  <c r="J16" i="2"/>
  <c r="R6" i="3"/>
  <c r="H8" i="3"/>
  <c r="I8" i="3"/>
  <c r="I9" i="3" s="1"/>
  <c r="F2" i="3"/>
  <c r="J26" i="3" l="1"/>
  <c r="T27" i="26" s="1"/>
  <c r="J23" i="3"/>
  <c r="T24" i="26" s="1"/>
  <c r="J22" i="3"/>
  <c r="T23" i="26" s="1"/>
  <c r="J24" i="3"/>
  <c r="T25" i="26" s="1"/>
  <c r="J21" i="3"/>
  <c r="T22" i="26" s="1"/>
  <c r="J20" i="3"/>
  <c r="T21" i="26" s="1"/>
  <c r="J25" i="3"/>
  <c r="T26" i="26" s="1"/>
  <c r="J19" i="3"/>
  <c r="T20" i="26" s="1"/>
  <c r="J18" i="3"/>
  <c r="T19" i="26" s="1"/>
  <c r="R7" i="3"/>
  <c r="Q8" i="3"/>
  <c r="L16" i="2"/>
  <c r="C15" i="23" s="1"/>
  <c r="C26" i="23" s="1"/>
  <c r="O16" i="2"/>
  <c r="P16" i="2" s="1"/>
  <c r="Q16" i="2" s="1"/>
  <c r="D57" i="2"/>
  <c r="D123" i="2"/>
  <c r="D101" i="2"/>
  <c r="D78" i="2"/>
  <c r="E6" i="23"/>
  <c r="E11" i="23"/>
  <c r="E10" i="23"/>
  <c r="E13" i="23"/>
  <c r="E9" i="23"/>
  <c r="G7" i="23"/>
  <c r="F7" i="23"/>
  <c r="G4" i="23"/>
  <c r="F4" i="23"/>
  <c r="E5" i="23"/>
  <c r="E14" i="23"/>
  <c r="G8" i="23"/>
  <c r="F8" i="23"/>
  <c r="G12" i="23"/>
  <c r="F12" i="23"/>
  <c r="J17" i="3"/>
  <c r="T18" i="26" s="1"/>
  <c r="J6" i="3"/>
  <c r="T7" i="26" s="1"/>
  <c r="J16" i="3"/>
  <c r="T17" i="26" s="1"/>
  <c r="H9" i="3"/>
  <c r="H10" i="3" s="1"/>
  <c r="T10" i="26"/>
  <c r="J11" i="3"/>
  <c r="T12" i="26" s="1"/>
  <c r="J13" i="3"/>
  <c r="T14" i="26" s="1"/>
  <c r="J15" i="3"/>
  <c r="T16" i="26" s="1"/>
  <c r="J14" i="3"/>
  <c r="T15" i="26" s="1"/>
  <c r="J7" i="3"/>
  <c r="T8" i="26" s="1"/>
  <c r="J5" i="3"/>
  <c r="T6" i="26" s="1"/>
  <c r="J10" i="3"/>
  <c r="T11" i="26" s="1"/>
  <c r="J8" i="3"/>
  <c r="T9" i="26" s="1"/>
  <c r="J12" i="3"/>
  <c r="T13" i="26" s="1"/>
  <c r="Q9" i="3" l="1"/>
  <c r="R8" i="3"/>
  <c r="K16" i="2"/>
  <c r="K478" i="2" s="1"/>
  <c r="R16" i="2"/>
  <c r="S16" i="2" s="1"/>
  <c r="D79" i="2"/>
  <c r="D124" i="2"/>
  <c r="D102" i="2"/>
  <c r="D58" i="2"/>
  <c r="G9" i="23"/>
  <c r="F9" i="23"/>
  <c r="G13" i="23"/>
  <c r="F13" i="23"/>
  <c r="G14" i="23"/>
  <c r="F14" i="23"/>
  <c r="G10" i="23"/>
  <c r="F10" i="23"/>
  <c r="E15" i="23"/>
  <c r="E26" i="23" s="1"/>
  <c r="D15" i="23"/>
  <c r="D26" i="23" s="1"/>
  <c r="G5" i="23"/>
  <c r="F5" i="23"/>
  <c r="G11" i="23"/>
  <c r="F11" i="23"/>
  <c r="G6" i="23"/>
  <c r="F6" i="23"/>
  <c r="I10" i="3"/>
  <c r="E7" i="12"/>
  <c r="K6" i="3"/>
  <c r="Q10" i="3" l="1"/>
  <c r="R9" i="3"/>
  <c r="K1" i="2"/>
  <c r="K1" i="26" s="1"/>
  <c r="L6" i="3"/>
  <c r="T6" i="2"/>
  <c r="D61" i="2"/>
  <c r="D65" i="2" s="1"/>
  <c r="D59" i="2"/>
  <c r="D127" i="2"/>
  <c r="D131" i="2" s="1"/>
  <c r="D125" i="2"/>
  <c r="D105" i="2"/>
  <c r="D103" i="2"/>
  <c r="D80" i="2"/>
  <c r="F15" i="23"/>
  <c r="F26" i="23" s="1"/>
  <c r="I11" i="3"/>
  <c r="H11" i="3"/>
  <c r="D7" i="26"/>
  <c r="K7" i="3"/>
  <c r="T7" i="2" s="1"/>
  <c r="Q11" i="3" l="1"/>
  <c r="R10" i="3"/>
  <c r="K2" i="26"/>
  <c r="O27" i="26" s="1"/>
  <c r="M6" i="26"/>
  <c r="M27" i="26"/>
  <c r="N27" i="26"/>
  <c r="O22" i="26"/>
  <c r="M24" i="26"/>
  <c r="O23" i="26"/>
  <c r="N23" i="26"/>
  <c r="M22" i="26"/>
  <c r="N24" i="26"/>
  <c r="M25" i="26"/>
  <c r="N26" i="26"/>
  <c r="O25" i="26"/>
  <c r="N25" i="26"/>
  <c r="O24" i="26"/>
  <c r="N22" i="26"/>
  <c r="O26" i="26"/>
  <c r="M26" i="26"/>
  <c r="M23" i="26"/>
  <c r="D135" i="2"/>
  <c r="D69" i="2"/>
  <c r="N21" i="26"/>
  <c r="M21" i="26"/>
  <c r="O21" i="26"/>
  <c r="L7" i="3"/>
  <c r="D136" i="2"/>
  <c r="D70" i="2"/>
  <c r="D83" i="2"/>
  <c r="D81" i="2"/>
  <c r="D106" i="2"/>
  <c r="D104" i="2"/>
  <c r="D126" i="2"/>
  <c r="D128" i="2"/>
  <c r="D132" i="2" s="1"/>
  <c r="D62" i="2"/>
  <c r="D66" i="2" s="1"/>
  <c r="D60" i="2"/>
  <c r="G15" i="23"/>
  <c r="G26" i="23" s="1"/>
  <c r="D33" i="26"/>
  <c r="N19" i="26"/>
  <c r="O19" i="26"/>
  <c r="M20" i="26"/>
  <c r="N20" i="26"/>
  <c r="M18" i="26"/>
  <c r="M19" i="26"/>
  <c r="O20" i="26"/>
  <c r="N18" i="26"/>
  <c r="O18" i="26"/>
  <c r="O13" i="26"/>
  <c r="O17" i="26"/>
  <c r="O8" i="26"/>
  <c r="M17" i="26"/>
  <c r="M9" i="26"/>
  <c r="O15" i="26"/>
  <c r="M10" i="26"/>
  <c r="N17" i="26"/>
  <c r="M16" i="26"/>
  <c r="M15" i="26"/>
  <c r="O14" i="26"/>
  <c r="N10" i="26"/>
  <c r="N11" i="26"/>
  <c r="M12" i="26"/>
  <c r="O11" i="26"/>
  <c r="M7" i="26"/>
  <c r="H7" i="26" s="1"/>
  <c r="M8" i="26"/>
  <c r="N13" i="26"/>
  <c r="O10" i="26"/>
  <c r="N15" i="26"/>
  <c r="M14" i="26"/>
  <c r="N7" i="26"/>
  <c r="I7" i="26" s="1"/>
  <c r="M11" i="26"/>
  <c r="O12" i="26"/>
  <c r="O9" i="26"/>
  <c r="N14" i="26"/>
  <c r="N6" i="26"/>
  <c r="N8" i="26"/>
  <c r="N9" i="26"/>
  <c r="M13" i="26"/>
  <c r="O6" i="26"/>
  <c r="O7" i="26"/>
  <c r="N12" i="26"/>
  <c r="N16" i="26"/>
  <c r="O16" i="26"/>
  <c r="D8" i="26"/>
  <c r="I12" i="3"/>
  <c r="H12" i="3"/>
  <c r="K8" i="3"/>
  <c r="T8" i="2" s="1"/>
  <c r="Q12" i="3" l="1"/>
  <c r="R11" i="3"/>
  <c r="D92" i="2"/>
  <c r="D87" i="2"/>
  <c r="D91" i="2" s="1"/>
  <c r="D34" i="26"/>
  <c r="L8" i="3"/>
  <c r="D82" i="2"/>
  <c r="D84" i="2"/>
  <c r="D88" i="2" s="1"/>
  <c r="D63" i="2"/>
  <c r="D67" i="2" s="1"/>
  <c r="D64" i="2"/>
  <c r="D107" i="2"/>
  <c r="D129" i="2"/>
  <c r="D133" i="2" s="1"/>
  <c r="D130" i="2"/>
  <c r="J7" i="26"/>
  <c r="C7" i="26" s="1"/>
  <c r="H8" i="26"/>
  <c r="H9" i="26" s="1"/>
  <c r="H10" i="26" s="1"/>
  <c r="H11" i="26" s="1"/>
  <c r="H12" i="26" s="1"/>
  <c r="H13" i="26" s="1"/>
  <c r="H14" i="26" s="1"/>
  <c r="H15" i="26" s="1"/>
  <c r="H16" i="26" s="1"/>
  <c r="H17" i="26" s="1"/>
  <c r="H18" i="26" s="1"/>
  <c r="H19" i="26" s="1"/>
  <c r="H20" i="26" s="1"/>
  <c r="H21" i="26" s="1"/>
  <c r="H22" i="26" s="1"/>
  <c r="H23" i="26" s="1"/>
  <c r="H24" i="26" s="1"/>
  <c r="H25" i="26" s="1"/>
  <c r="H26" i="26" s="1"/>
  <c r="H27" i="26" s="1"/>
  <c r="I8" i="26"/>
  <c r="I9" i="26" s="1"/>
  <c r="I10" i="26" s="1"/>
  <c r="I11" i="26" s="1"/>
  <c r="I12" i="26" s="1"/>
  <c r="I13" i="26" s="1"/>
  <c r="I14" i="26" s="1"/>
  <c r="I15" i="26" s="1"/>
  <c r="I16" i="26" s="1"/>
  <c r="I17" i="26" s="1"/>
  <c r="I18" i="26" s="1"/>
  <c r="I19" i="26" s="1"/>
  <c r="I20" i="26" s="1"/>
  <c r="I21" i="26" s="1"/>
  <c r="I22" i="26" s="1"/>
  <c r="I23" i="26" s="1"/>
  <c r="I24" i="26" s="1"/>
  <c r="I25" i="26" s="1"/>
  <c r="I26" i="26" s="1"/>
  <c r="I27" i="26" s="1"/>
  <c r="I13" i="3"/>
  <c r="H13" i="3"/>
  <c r="D9" i="26"/>
  <c r="K9" i="3"/>
  <c r="T9" i="2" s="1"/>
  <c r="Q13" i="3" l="1"/>
  <c r="R12" i="3"/>
  <c r="D134" i="2"/>
  <c r="D108" i="2"/>
  <c r="D110" i="2"/>
  <c r="D68" i="2"/>
  <c r="C33" i="26"/>
  <c r="E8" i="12"/>
  <c r="L9" i="3"/>
  <c r="D35" i="26"/>
  <c r="D85" i="2"/>
  <c r="D89" i="2" s="1"/>
  <c r="D86" i="2"/>
  <c r="D90" i="2" s="1"/>
  <c r="J8" i="26"/>
  <c r="J9" i="26" s="1"/>
  <c r="D10" i="26"/>
  <c r="H14" i="3"/>
  <c r="I14" i="3"/>
  <c r="K10" i="3"/>
  <c r="T10" i="2" s="1"/>
  <c r="Q14" i="3" l="1"/>
  <c r="R13" i="3"/>
  <c r="D109" i="2"/>
  <c r="D112" i="2" s="1"/>
  <c r="D113" i="2" s="1"/>
  <c r="D114" i="2" s="1"/>
  <c r="D111" i="2"/>
  <c r="D36" i="26"/>
  <c r="L10" i="3"/>
  <c r="C8" i="26"/>
  <c r="J10" i="26"/>
  <c r="C9" i="26"/>
  <c r="E10" i="12" s="1"/>
  <c r="I15" i="3"/>
  <c r="I16" i="3" s="1"/>
  <c r="I17" i="3" s="1"/>
  <c r="I18" i="3" s="1"/>
  <c r="I19" i="3" s="1"/>
  <c r="I20" i="3" s="1"/>
  <c r="I21" i="3" s="1"/>
  <c r="I22" i="3" s="1"/>
  <c r="I23" i="3" s="1"/>
  <c r="I24" i="3" s="1"/>
  <c r="I25" i="3" s="1"/>
  <c r="I26" i="3" s="1"/>
  <c r="H15" i="3"/>
  <c r="H16" i="3" s="1"/>
  <c r="H17" i="3" s="1"/>
  <c r="H18" i="3" s="1"/>
  <c r="H19" i="3" s="1"/>
  <c r="H20" i="3" s="1"/>
  <c r="H21" i="3" s="1"/>
  <c r="H22" i="3" s="1"/>
  <c r="H23" i="3" s="1"/>
  <c r="H24" i="3" s="1"/>
  <c r="H25" i="3" s="1"/>
  <c r="H26" i="3" s="1"/>
  <c r="D11" i="26"/>
  <c r="K11" i="3"/>
  <c r="T11" i="2" s="1"/>
  <c r="Q15" i="3" l="1"/>
  <c r="R14" i="3"/>
  <c r="C34" i="26"/>
  <c r="E9" i="12"/>
  <c r="D37" i="26"/>
  <c r="L11" i="3"/>
  <c r="C35" i="26"/>
  <c r="C10" i="26"/>
  <c r="J11" i="26"/>
  <c r="D12" i="26"/>
  <c r="K12" i="3"/>
  <c r="T12" i="2" s="1"/>
  <c r="Q16" i="3" l="1"/>
  <c r="R15" i="3"/>
  <c r="C36" i="26"/>
  <c r="E11" i="12"/>
  <c r="D38" i="26"/>
  <c r="L12" i="3"/>
  <c r="J12" i="26"/>
  <c r="C11" i="26"/>
  <c r="D13" i="26"/>
  <c r="K13" i="3"/>
  <c r="T13" i="2" s="1"/>
  <c r="Q17" i="3" l="1"/>
  <c r="R16" i="3"/>
  <c r="C37" i="26"/>
  <c r="E12" i="12"/>
  <c r="L13" i="3"/>
  <c r="D39" i="26"/>
  <c r="J13" i="26"/>
  <c r="C12" i="26"/>
  <c r="D14" i="26"/>
  <c r="K14" i="3"/>
  <c r="T14" i="2" s="1"/>
  <c r="Q18" i="3" l="1"/>
  <c r="R17" i="3"/>
  <c r="C38" i="26"/>
  <c r="E13" i="12"/>
  <c r="L14" i="3"/>
  <c r="D40" i="26"/>
  <c r="J14" i="26"/>
  <c r="C13" i="26"/>
  <c r="D15" i="26"/>
  <c r="K15" i="3"/>
  <c r="T15" i="2" s="1"/>
  <c r="Q19" i="3" l="1"/>
  <c r="R18" i="3"/>
  <c r="C39" i="26"/>
  <c r="E14" i="12"/>
  <c r="D41" i="26"/>
  <c r="J15" i="26"/>
  <c r="C14" i="26"/>
  <c r="L15" i="3"/>
  <c r="K16" i="3"/>
  <c r="T21" i="2" s="1"/>
  <c r="D16" i="26"/>
  <c r="D42" i="26" s="1"/>
  <c r="Q20" i="3" l="1"/>
  <c r="R19" i="3"/>
  <c r="T16" i="2"/>
  <c r="C40" i="26"/>
  <c r="E15" i="12"/>
  <c r="K17" i="3"/>
  <c r="T22" i="2" s="1"/>
  <c r="J16" i="26"/>
  <c r="C15" i="26"/>
  <c r="D17" i="26"/>
  <c r="L16" i="3"/>
  <c r="Q21" i="3" l="1"/>
  <c r="R20" i="3"/>
  <c r="T17" i="2"/>
  <c r="C41" i="26"/>
  <c r="E16" i="12"/>
  <c r="K18" i="3"/>
  <c r="T23" i="2" s="1"/>
  <c r="D43" i="26"/>
  <c r="D18" i="26"/>
  <c r="L17" i="3"/>
  <c r="J17" i="26"/>
  <c r="J18" i="26" s="1"/>
  <c r="C16" i="26"/>
  <c r="Q22" i="3" l="1"/>
  <c r="R21" i="3"/>
  <c r="T18" i="2"/>
  <c r="K19" i="3"/>
  <c r="C42" i="26"/>
  <c r="E17" i="12"/>
  <c r="D44" i="26"/>
  <c r="L18" i="3"/>
  <c r="D19" i="26"/>
  <c r="C18" i="26"/>
  <c r="E19" i="12" s="1"/>
  <c r="J19" i="26"/>
  <c r="C17" i="26"/>
  <c r="T24" i="2" l="1"/>
  <c r="K20" i="3"/>
  <c r="Q23" i="3"/>
  <c r="R22" i="3"/>
  <c r="T19" i="2"/>
  <c r="L19" i="3"/>
  <c r="C43" i="26"/>
  <c r="E18" i="12"/>
  <c r="C44" i="26"/>
  <c r="D45" i="26"/>
  <c r="D20" i="26"/>
  <c r="J20" i="26"/>
  <c r="J21" i="26" s="1"/>
  <c r="J22" i="26" s="1"/>
  <c r="C19" i="26"/>
  <c r="Q24" i="3" l="1"/>
  <c r="R23" i="3"/>
  <c r="K21" i="3"/>
  <c r="T25" i="2"/>
  <c r="L20" i="3"/>
  <c r="C22" i="26"/>
  <c r="J23" i="26"/>
  <c r="D22" i="26"/>
  <c r="T20" i="2"/>
  <c r="D21" i="26"/>
  <c r="D47" i="26" s="1"/>
  <c r="C45" i="26"/>
  <c r="E20" i="12"/>
  <c r="C21" i="26"/>
  <c r="E22" i="12" s="1"/>
  <c r="D46" i="26"/>
  <c r="C20" i="26"/>
  <c r="K22" i="3" l="1"/>
  <c r="D23" i="26" s="1"/>
  <c r="D49" i="26" s="1"/>
  <c r="L21" i="3"/>
  <c r="Q25" i="3"/>
  <c r="R24" i="3"/>
  <c r="D48" i="26"/>
  <c r="C48" i="26"/>
  <c r="E23" i="12"/>
  <c r="C23" i="26"/>
  <c r="J24" i="26"/>
  <c r="C46" i="26"/>
  <c r="E21" i="12"/>
  <c r="C47" i="26"/>
  <c r="Q26" i="3" l="1"/>
  <c r="R26" i="3" s="1"/>
  <c r="R25" i="3"/>
  <c r="K23" i="3"/>
  <c r="L22" i="3"/>
  <c r="C49" i="26"/>
  <c r="E24" i="12"/>
  <c r="C24" i="26"/>
  <c r="J25" i="26"/>
  <c r="D24" i="26"/>
  <c r="D50" i="26" s="1"/>
  <c r="R27" i="3" l="1"/>
  <c r="K24" i="3"/>
  <c r="L23" i="3"/>
  <c r="C50" i="26"/>
  <c r="E25" i="12"/>
  <c r="J26" i="26"/>
  <c r="J27" i="26" s="1"/>
  <c r="C27" i="26" s="1"/>
  <c r="C25" i="26"/>
  <c r="D25" i="26"/>
  <c r="D51" i="26" s="1"/>
  <c r="K25" i="3" l="1"/>
  <c r="L24" i="3"/>
  <c r="C51" i="26"/>
  <c r="E26" i="12"/>
  <c r="C26" i="26"/>
  <c r="C53" i="26" s="1"/>
  <c r="D26" i="26"/>
  <c r="D52" i="26" s="1"/>
  <c r="D28" i="2"/>
  <c r="K26" i="3" l="1"/>
  <c r="L25" i="3"/>
  <c r="C52" i="26"/>
  <c r="E27" i="12"/>
  <c r="E28" i="12"/>
  <c r="D27" i="26"/>
  <c r="D53" i="26" s="1"/>
  <c r="D29" i="2"/>
  <c r="D30" i="2" s="1"/>
  <c r="D31" i="2" s="1"/>
  <c r="C28" i="2"/>
  <c r="T26" i="2" l="1"/>
  <c r="L26" i="3"/>
  <c r="L27" i="3" s="1"/>
  <c r="C54" i="26"/>
  <c r="C28" i="26" s="1"/>
  <c r="D54" i="26"/>
  <c r="D28" i="26" s="1"/>
  <c r="C29" i="2"/>
  <c r="C30" i="2" s="1"/>
  <c r="C31" i="2" s="1"/>
  <c r="D32" i="2"/>
  <c r="C32" i="2" l="1"/>
  <c r="D33" i="2"/>
  <c r="C33" i="2" l="1"/>
  <c r="D34" i="2"/>
  <c r="C34" i="2" l="1"/>
  <c r="D35" i="2"/>
  <c r="C35" i="2" l="1"/>
  <c r="D36" i="2"/>
  <c r="C36" i="2" l="1"/>
  <c r="D37" i="2"/>
  <c r="D39" i="2"/>
  <c r="D43" i="2" l="1"/>
  <c r="D47" i="2" s="1"/>
  <c r="D48" i="2"/>
  <c r="C37" i="2"/>
  <c r="D40" i="2"/>
  <c r="D44" i="2" s="1"/>
  <c r="D38" i="2"/>
  <c r="C38" i="2" l="1"/>
  <c r="C39" i="2" s="1"/>
  <c r="C40" i="2" s="1"/>
  <c r="D41" i="2"/>
  <c r="D45" i="2" s="1"/>
  <c r="D42" i="2"/>
  <c r="D46" i="2" s="1"/>
  <c r="C41" i="2" l="1"/>
  <c r="C42" i="2" s="1"/>
  <c r="C43" i="2" l="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l="1"/>
  <c r="C66" i="2" s="1"/>
  <c r="C67" i="2" s="1"/>
  <c r="C68" i="2" s="1"/>
  <c r="C69" i="2" s="1"/>
  <c r="C70" i="2"/>
  <c r="C71" i="2" s="1"/>
  <c r="C72" i="2" s="1"/>
  <c r="C73" i="2" s="1"/>
  <c r="C74" i="2" s="1"/>
  <c r="C75" i="2" s="1"/>
  <c r="C76" i="2" s="1"/>
  <c r="C77" i="2" s="1"/>
  <c r="C78" i="2" s="1"/>
  <c r="C79" i="2" s="1"/>
  <c r="C80" i="2" s="1"/>
  <c r="C81" i="2" s="1"/>
  <c r="C82" i="2" s="1"/>
  <c r="C83" i="2" s="1"/>
  <c r="C84" i="2" s="1"/>
  <c r="C85" i="2" s="1"/>
  <c r="C86" i="2" s="1"/>
  <c r="C87" i="2" s="1"/>
  <c r="C88" i="2" s="1"/>
  <c r="C89" i="2" s="1"/>
  <c r="C90" i="2" s="1"/>
  <c r="C91" i="2" s="1"/>
  <c r="H27" i="12"/>
  <c r="I27" i="12" s="1"/>
  <c r="J27" i="12" s="1"/>
  <c r="H23" i="12"/>
  <c r="I23" i="12" s="1"/>
  <c r="J23" i="12" s="1"/>
  <c r="D56" i="12"/>
  <c r="H18" i="12"/>
  <c r="I18" i="12" s="1"/>
  <c r="J18" i="12" s="1"/>
  <c r="E56" i="12"/>
  <c r="E84" i="12" s="1"/>
  <c r="H26" i="12"/>
  <c r="I26" i="12" s="1"/>
  <c r="J26" i="12" s="1"/>
  <c r="H24" i="12"/>
  <c r="I24" i="12" s="1"/>
  <c r="J24" i="12" s="1"/>
  <c r="C56" i="12"/>
  <c r="H28" i="12"/>
  <c r="I28" i="12" s="1"/>
  <c r="J28" i="12" s="1"/>
  <c r="H25" i="12"/>
  <c r="I25" i="12" s="1"/>
  <c r="J25" i="12" s="1"/>
  <c r="E35" i="12"/>
  <c r="E63" i="12" s="1"/>
  <c r="E53" i="12"/>
  <c r="E81" i="12" s="1"/>
  <c r="E54" i="12"/>
  <c r="E55" i="12"/>
  <c r="E52" i="12"/>
  <c r="E80" i="12" s="1"/>
  <c r="E51" i="12"/>
  <c r="C35" i="12"/>
  <c r="C52" i="12"/>
  <c r="C51" i="12"/>
  <c r="C54" i="12"/>
  <c r="C53" i="12"/>
  <c r="C55" i="12"/>
  <c r="D35" i="12"/>
  <c r="D55" i="12"/>
  <c r="D53" i="12"/>
  <c r="D54" i="12"/>
  <c r="D51" i="12"/>
  <c r="D52" i="12"/>
  <c r="H21" i="12"/>
  <c r="I21" i="12" s="1"/>
  <c r="J21" i="12" s="1"/>
  <c r="H10" i="12"/>
  <c r="I10" i="12" s="1"/>
  <c r="J10" i="12" s="1"/>
  <c r="E46" i="12"/>
  <c r="E74" i="12" s="1"/>
  <c r="C50" i="12"/>
  <c r="H14" i="12"/>
  <c r="I14" i="12" s="1"/>
  <c r="J14" i="12" s="1"/>
  <c r="E50" i="12"/>
  <c r="E78" i="12" s="1"/>
  <c r="E38" i="12"/>
  <c r="E66" i="12" s="1"/>
  <c r="C48" i="12"/>
  <c r="C46" i="12"/>
  <c r="C36" i="12"/>
  <c r="H16" i="12"/>
  <c r="I16" i="12" s="1"/>
  <c r="J16" i="12" s="1"/>
  <c r="D47" i="12"/>
  <c r="H15" i="12"/>
  <c r="I15" i="12" s="1"/>
  <c r="J15" i="12" s="1"/>
  <c r="E49" i="12"/>
  <c r="E77" i="12" s="1"/>
  <c r="C44" i="12"/>
  <c r="H13" i="12"/>
  <c r="I13" i="12" s="1"/>
  <c r="J13" i="12" s="1"/>
  <c r="H22" i="12"/>
  <c r="I22" i="12" s="1"/>
  <c r="J22" i="12" s="1"/>
  <c r="D45" i="12"/>
  <c r="E48" i="12"/>
  <c r="E47" i="12"/>
  <c r="E37" i="12"/>
  <c r="E65" i="12" s="1"/>
  <c r="C39" i="12"/>
  <c r="E44" i="12"/>
  <c r="E72" i="12" s="1"/>
  <c r="C38" i="12"/>
  <c r="H12" i="12"/>
  <c r="I12" i="12" s="1"/>
  <c r="J12" i="12" s="1"/>
  <c r="H8" i="12"/>
  <c r="I8" i="12" s="1"/>
  <c r="J8" i="12" s="1"/>
  <c r="C92" i="2"/>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E42" i="12"/>
  <c r="E70" i="12" s="1"/>
  <c r="H20" i="12"/>
  <c r="I20" i="12" s="1"/>
  <c r="J20" i="12" s="1"/>
  <c r="C43" i="12"/>
  <c r="E36" i="12"/>
  <c r="H11" i="12"/>
  <c r="I11" i="12" s="1"/>
  <c r="J11" i="12" s="1"/>
  <c r="E39" i="12"/>
  <c r="E41" i="12"/>
  <c r="E69" i="12" s="1"/>
  <c r="E43" i="12"/>
  <c r="C40" i="12"/>
  <c r="E45" i="12"/>
  <c r="H9" i="12"/>
  <c r="I9" i="12" s="1"/>
  <c r="J9" i="12" s="1"/>
  <c r="H7" i="12"/>
  <c r="I7" i="12" s="1"/>
  <c r="J7" i="12" s="1"/>
  <c r="D46" i="12"/>
  <c r="C45" i="12"/>
  <c r="C37" i="12"/>
  <c r="D38" i="12"/>
  <c r="C49" i="12"/>
  <c r="D42" i="12"/>
  <c r="C41" i="12"/>
  <c r="D48" i="12"/>
  <c r="D37" i="12"/>
  <c r="H17" i="12"/>
  <c r="I17" i="12" s="1"/>
  <c r="J17" i="12" s="1"/>
  <c r="D49" i="12"/>
  <c r="C47" i="12"/>
  <c r="D43" i="12"/>
  <c r="D41" i="12"/>
  <c r="C42" i="12"/>
  <c r="D40" i="12"/>
  <c r="D44" i="12"/>
  <c r="H19" i="12"/>
  <c r="I19" i="12" s="1"/>
  <c r="J19" i="12" s="1"/>
  <c r="D36" i="12"/>
  <c r="D39" i="12"/>
  <c r="D50" i="12"/>
  <c r="E40" i="12"/>
  <c r="C63" i="12" l="1"/>
  <c r="C69" i="12"/>
  <c r="D83" i="12"/>
  <c r="D84" i="12"/>
  <c r="D74" i="12"/>
  <c r="C74" i="12"/>
  <c r="C80" i="12"/>
  <c r="C82" i="12"/>
  <c r="I56" i="12"/>
  <c r="C84" i="12"/>
  <c r="K56" i="12"/>
  <c r="D81" i="12"/>
  <c r="F112" i="12"/>
  <c r="J56" i="12"/>
  <c r="D63" i="12"/>
  <c r="I45" i="12"/>
  <c r="K39" i="12"/>
  <c r="I36" i="12"/>
  <c r="F105" i="12"/>
  <c r="F109" i="12"/>
  <c r="D110" i="12"/>
  <c r="D109" i="12"/>
  <c r="F108" i="12"/>
  <c r="D107" i="12"/>
  <c r="J54" i="12"/>
  <c r="D82" i="12"/>
  <c r="I51" i="12"/>
  <c r="C79" i="12"/>
  <c r="K54" i="12"/>
  <c r="E82" i="12"/>
  <c r="J52" i="12"/>
  <c r="D80" i="12"/>
  <c r="J51" i="12"/>
  <c r="D79" i="12"/>
  <c r="I55" i="12"/>
  <c r="C83" i="12"/>
  <c r="I53" i="12"/>
  <c r="C81" i="12"/>
  <c r="K51" i="12"/>
  <c r="E79" i="12"/>
  <c r="K80" i="12" s="1"/>
  <c r="K55" i="12"/>
  <c r="E83" i="12"/>
  <c r="K81" i="12"/>
  <c r="K36" i="12"/>
  <c r="J53" i="12"/>
  <c r="J55" i="12"/>
  <c r="J36" i="12"/>
  <c r="I54" i="12"/>
  <c r="I52" i="12"/>
  <c r="K52" i="12"/>
  <c r="K53" i="12"/>
  <c r="D75" i="12"/>
  <c r="C77" i="12"/>
  <c r="I48" i="12"/>
  <c r="C66" i="12"/>
  <c r="K47" i="12"/>
  <c r="D106" i="12"/>
  <c r="D78" i="12"/>
  <c r="C78" i="12"/>
  <c r="F94" i="12"/>
  <c r="E76" i="12"/>
  <c r="D105" i="12" s="1"/>
  <c r="K48" i="12"/>
  <c r="K38" i="12"/>
  <c r="K49" i="12"/>
  <c r="C71" i="12"/>
  <c r="C72" i="12"/>
  <c r="D73" i="12"/>
  <c r="D71" i="12"/>
  <c r="D69" i="12"/>
  <c r="K50" i="12"/>
  <c r="C115" i="2"/>
  <c r="C116" i="2" s="1"/>
  <c r="C117" i="2" s="1"/>
  <c r="C118" i="2" s="1"/>
  <c r="C119" i="2" s="1"/>
  <c r="C120" i="2" s="1"/>
  <c r="C121" i="2" s="1"/>
  <c r="C122" i="2" s="1"/>
  <c r="C123" i="2" s="1"/>
  <c r="C124" i="2" s="1"/>
  <c r="C125" i="2" s="1"/>
  <c r="C126" i="2" s="1"/>
  <c r="C127" i="2" s="1"/>
  <c r="C128" i="2" s="1"/>
  <c r="C129" i="2" s="1"/>
  <c r="C130" i="2" s="1"/>
  <c r="D98" i="12"/>
  <c r="I43" i="12"/>
  <c r="K43" i="12"/>
  <c r="K45" i="12"/>
  <c r="J45" i="12"/>
  <c r="C68" i="12"/>
  <c r="E75" i="12"/>
  <c r="D65" i="12"/>
  <c r="K37" i="12"/>
  <c r="K42" i="12"/>
  <c r="I39" i="12"/>
  <c r="C76" i="12"/>
  <c r="C65" i="12"/>
  <c r="D92" i="12"/>
  <c r="D119" i="12" s="1"/>
  <c r="E64" i="12"/>
  <c r="K65" i="12" s="1"/>
  <c r="D76" i="12"/>
  <c r="I44" i="12"/>
  <c r="J42" i="12"/>
  <c r="C64" i="12"/>
  <c r="K40" i="12"/>
  <c r="K44" i="12"/>
  <c r="K46" i="12"/>
  <c r="J47" i="12"/>
  <c r="D95" i="12"/>
  <c r="D64" i="12"/>
  <c r="E71" i="12"/>
  <c r="D100" i="12" s="1"/>
  <c r="I40" i="12"/>
  <c r="E67" i="12"/>
  <c r="K67" i="12" s="1"/>
  <c r="C67" i="12"/>
  <c r="J39" i="12"/>
  <c r="I46" i="12"/>
  <c r="F97" i="12"/>
  <c r="J46" i="12"/>
  <c r="E68" i="12"/>
  <c r="K69" i="12" s="1"/>
  <c r="D67" i="12"/>
  <c r="D70" i="12"/>
  <c r="I49" i="12"/>
  <c r="E73" i="12"/>
  <c r="F101" i="12" s="1"/>
  <c r="I38" i="12"/>
  <c r="K41" i="12"/>
  <c r="I37" i="12"/>
  <c r="J49" i="12"/>
  <c r="J37" i="12"/>
  <c r="J43" i="12"/>
  <c r="J38" i="12"/>
  <c r="C73" i="12"/>
  <c r="J40" i="12"/>
  <c r="I42" i="12"/>
  <c r="I50" i="12"/>
  <c r="D66" i="12"/>
  <c r="I41" i="12"/>
  <c r="C75" i="12"/>
  <c r="J41" i="12"/>
  <c r="D72" i="12"/>
  <c r="C70" i="12"/>
  <c r="J44" i="12"/>
  <c r="J48" i="12"/>
  <c r="D68" i="12"/>
  <c r="I47" i="12"/>
  <c r="J50" i="12"/>
  <c r="D77" i="12"/>
  <c r="K66" i="12"/>
  <c r="F93" i="12"/>
  <c r="D94" i="12"/>
  <c r="F98" i="12"/>
  <c r="D99" i="12"/>
  <c r="D103" i="12"/>
  <c r="F102" i="12"/>
  <c r="F106" i="12"/>
  <c r="F100" i="12"/>
  <c r="D101" i="12"/>
  <c r="K70" i="12"/>
  <c r="K78" i="12"/>
  <c r="J84" i="12" l="1"/>
  <c r="J74" i="12"/>
  <c r="E112" i="12"/>
  <c r="J75" i="12"/>
  <c r="E102" i="12"/>
  <c r="I75" i="12"/>
  <c r="C103" i="12"/>
  <c r="I82" i="12"/>
  <c r="J81" i="12"/>
  <c r="J82" i="12"/>
  <c r="K57" i="12"/>
  <c r="D112" i="12"/>
  <c r="K84" i="12"/>
  <c r="I57" i="12"/>
  <c r="J57" i="12"/>
  <c r="C112" i="12"/>
  <c r="I84" i="12"/>
  <c r="C92" i="12"/>
  <c r="C119" i="12" s="1"/>
  <c r="C145" i="12" s="1"/>
  <c r="J64" i="12"/>
  <c r="H109" i="12"/>
  <c r="H105" i="12"/>
  <c r="I79" i="12"/>
  <c r="E107" i="12"/>
  <c r="C108" i="12"/>
  <c r="F111" i="12"/>
  <c r="C107" i="12"/>
  <c r="K79" i="12"/>
  <c r="F107" i="12"/>
  <c r="H107" i="12" s="1"/>
  <c r="D108" i="12"/>
  <c r="H108" i="12" s="1"/>
  <c r="K82" i="12"/>
  <c r="D111" i="12"/>
  <c r="F110" i="12"/>
  <c r="H110" i="12" s="1"/>
  <c r="C109" i="12"/>
  <c r="E108" i="12"/>
  <c r="I81" i="12"/>
  <c r="C110" i="12"/>
  <c r="E109" i="12"/>
  <c r="I83" i="12"/>
  <c r="E111" i="12"/>
  <c r="C111" i="12"/>
  <c r="I80" i="12"/>
  <c r="J83" i="12"/>
  <c r="E110" i="12"/>
  <c r="K83" i="12"/>
  <c r="J79" i="12"/>
  <c r="J80" i="12"/>
  <c r="J76" i="12"/>
  <c r="I77" i="12"/>
  <c r="C100" i="12"/>
  <c r="I78" i="12"/>
  <c r="C98" i="12"/>
  <c r="I66" i="12"/>
  <c r="C95" i="12"/>
  <c r="I67" i="12"/>
  <c r="I72" i="12"/>
  <c r="E99" i="12"/>
  <c r="E97" i="12"/>
  <c r="H94" i="12"/>
  <c r="J78" i="12"/>
  <c r="E106" i="12"/>
  <c r="H106" i="12"/>
  <c r="I73" i="12"/>
  <c r="K77" i="12"/>
  <c r="I69" i="12"/>
  <c r="K76" i="12"/>
  <c r="H98" i="12"/>
  <c r="F104" i="12"/>
  <c r="J73" i="12"/>
  <c r="D104" i="12"/>
  <c r="I71" i="12"/>
  <c r="J71" i="12"/>
  <c r="F103" i="12"/>
  <c r="H103" i="12" s="1"/>
  <c r="C136" i="2"/>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31" i="2"/>
  <c r="C132" i="2" s="1"/>
  <c r="C133" i="2" s="1"/>
  <c r="C134" i="2" s="1"/>
  <c r="C135" i="2" s="1"/>
  <c r="J69" i="12"/>
  <c r="K75" i="12"/>
  <c r="C94" i="12"/>
  <c r="I65" i="12"/>
  <c r="E104" i="12"/>
  <c r="C105" i="12"/>
  <c r="F96" i="12"/>
  <c r="D97" i="12"/>
  <c r="H97" i="12" s="1"/>
  <c r="E93" i="12"/>
  <c r="K68" i="12"/>
  <c r="F92" i="12"/>
  <c r="F119" i="12" s="1"/>
  <c r="F145" i="12" s="1"/>
  <c r="D93" i="12"/>
  <c r="D120" i="12" s="1"/>
  <c r="K64" i="12"/>
  <c r="K72" i="12"/>
  <c r="J70" i="12"/>
  <c r="C93" i="12"/>
  <c r="E92" i="12"/>
  <c r="E119" i="12" s="1"/>
  <c r="E145" i="12" s="1"/>
  <c r="I76" i="12"/>
  <c r="I64" i="12"/>
  <c r="K71" i="12"/>
  <c r="D96" i="12"/>
  <c r="J67" i="12"/>
  <c r="F99" i="12"/>
  <c r="H99" i="12" s="1"/>
  <c r="C96" i="12"/>
  <c r="F95" i="12"/>
  <c r="H95" i="12" s="1"/>
  <c r="E94" i="12"/>
  <c r="J65" i="12"/>
  <c r="D102" i="12"/>
  <c r="H102" i="12" s="1"/>
  <c r="I70" i="12"/>
  <c r="C104" i="12"/>
  <c r="C101" i="12"/>
  <c r="I68" i="12"/>
  <c r="C102" i="12"/>
  <c r="E103" i="12"/>
  <c r="K74" i="12"/>
  <c r="H101" i="12"/>
  <c r="J66" i="12"/>
  <c r="E95" i="12"/>
  <c r="E101" i="12"/>
  <c r="I74" i="12"/>
  <c r="K73" i="12"/>
  <c r="E100" i="12"/>
  <c r="J68" i="12"/>
  <c r="J77" i="12"/>
  <c r="C106" i="12"/>
  <c r="C97" i="12"/>
  <c r="J72" i="12"/>
  <c r="E98" i="12"/>
  <c r="E96" i="12"/>
  <c r="C99" i="12"/>
  <c r="E105" i="12"/>
  <c r="H100" i="12"/>
  <c r="D145" i="12"/>
  <c r="G102" i="12" l="1"/>
  <c r="G112" i="12"/>
  <c r="G103" i="12"/>
  <c r="K85" i="12"/>
  <c r="H112" i="12"/>
  <c r="I85" i="12"/>
  <c r="J85" i="12"/>
  <c r="G107" i="12"/>
  <c r="G110" i="12"/>
  <c r="H111" i="12"/>
  <c r="G109" i="12"/>
  <c r="G108" i="12"/>
  <c r="G111" i="12"/>
  <c r="G97" i="12"/>
  <c r="G100" i="12"/>
  <c r="H104" i="12"/>
  <c r="G98" i="12"/>
  <c r="G95" i="12"/>
  <c r="G99" i="12"/>
  <c r="G106" i="12"/>
  <c r="G104" i="12"/>
  <c r="G105" i="12"/>
  <c r="H92" i="12"/>
  <c r="H119" i="12" s="1"/>
  <c r="H145" i="12" s="1"/>
  <c r="G93" i="12"/>
  <c r="F120" i="12"/>
  <c r="F146" i="12" s="1"/>
  <c r="C159" i="2"/>
  <c r="C160" i="2" s="1"/>
  <c r="C161" i="2" s="1"/>
  <c r="C162" i="2" s="1"/>
  <c r="C163" i="2" s="1"/>
  <c r="C164" i="2" s="1"/>
  <c r="C165" i="2" s="1"/>
  <c r="C166" i="2" s="1"/>
  <c r="C167" i="2" s="1"/>
  <c r="C168" i="2" s="1"/>
  <c r="C169" i="2" s="1"/>
  <c r="C170" i="2" s="1"/>
  <c r="C171" i="2" s="1"/>
  <c r="C172" i="2" s="1"/>
  <c r="C173" i="2" s="1"/>
  <c r="C174" i="2" s="1"/>
  <c r="H93" i="12"/>
  <c r="G94" i="12"/>
  <c r="G92" i="12"/>
  <c r="G119" i="12" s="1"/>
  <c r="C120" i="12"/>
  <c r="C146" i="12" s="1"/>
  <c r="H96" i="12"/>
  <c r="E120" i="12"/>
  <c r="E146" i="12" s="1"/>
  <c r="G96" i="12"/>
  <c r="G101" i="12"/>
  <c r="D146" i="12"/>
  <c r="D121" i="12"/>
  <c r="C121" i="12" l="1"/>
  <c r="C122" i="12" s="1"/>
  <c r="I119" i="12"/>
  <c r="H120" i="12"/>
  <c r="G173" i="12" s="1"/>
  <c r="G172" i="12"/>
  <c r="E172" i="12"/>
  <c r="G145" i="12"/>
  <c r="G120" i="12"/>
  <c r="G121" i="12" s="1"/>
  <c r="F121" i="12"/>
  <c r="F122" i="12" s="1"/>
  <c r="C175" i="2"/>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E121" i="12"/>
  <c r="E122" i="12" s="1"/>
  <c r="D147" i="12"/>
  <c r="D122" i="12"/>
  <c r="C172" i="12" l="1"/>
  <c r="I145" i="12"/>
  <c r="E147" i="12"/>
  <c r="C147" i="12"/>
  <c r="F147" i="12"/>
  <c r="H146" i="12"/>
  <c r="J119" i="12"/>
  <c r="H121" i="12"/>
  <c r="H122" i="12" s="1"/>
  <c r="I120" i="12"/>
  <c r="C173" i="12" s="1"/>
  <c r="E173" i="12"/>
  <c r="G146" i="12"/>
  <c r="C197" i="2"/>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D148" i="12"/>
  <c r="D123" i="12"/>
  <c r="F123" i="12"/>
  <c r="F148" i="12"/>
  <c r="E123" i="12"/>
  <c r="E148" i="12"/>
  <c r="C123" i="12"/>
  <c r="C148" i="12"/>
  <c r="G122" i="12"/>
  <c r="E175" i="12" s="1"/>
  <c r="E174" i="12"/>
  <c r="G147" i="12"/>
  <c r="H148" i="12" l="1"/>
  <c r="G175" i="12"/>
  <c r="J120" i="12"/>
  <c r="H123" i="12"/>
  <c r="I121" i="12"/>
  <c r="J121" i="12" s="1"/>
  <c r="G174" i="12"/>
  <c r="H147" i="12"/>
  <c r="I146" i="12"/>
  <c r="C218" i="2"/>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G148" i="12"/>
  <c r="G123" i="12"/>
  <c r="E176" i="12" s="1"/>
  <c r="E124" i="12"/>
  <c r="E149" i="12"/>
  <c r="F149" i="12"/>
  <c r="F124" i="12"/>
  <c r="I122" i="12"/>
  <c r="C175" i="12" s="1"/>
  <c r="C149" i="12"/>
  <c r="C124" i="12"/>
  <c r="D124" i="12"/>
  <c r="D149" i="12"/>
  <c r="H149" i="12" l="1"/>
  <c r="G176" i="12"/>
  <c r="H124" i="12"/>
  <c r="G177" i="12" s="1"/>
  <c r="C174" i="12"/>
  <c r="I147" i="12"/>
  <c r="C241" i="2"/>
  <c r="C242" i="2" s="1"/>
  <c r="C243" i="2" s="1"/>
  <c r="C244" i="2" s="1"/>
  <c r="C245" i="2" s="1"/>
  <c r="C246" i="2" s="1"/>
  <c r="C247" i="2" s="1"/>
  <c r="C248" i="2" s="1"/>
  <c r="C249" i="2" s="1"/>
  <c r="C250" i="2" s="1"/>
  <c r="C251" i="2" s="1"/>
  <c r="C252" i="2" s="1"/>
  <c r="C253" i="2" s="1"/>
  <c r="C254" i="2" s="1"/>
  <c r="C255" i="2" s="1"/>
  <c r="C256" i="2" s="1"/>
  <c r="C257" i="2" s="1"/>
  <c r="C258" i="2" s="1"/>
  <c r="C259" i="2" s="1"/>
  <c r="C260" i="2" s="1"/>
  <c r="C261" i="2" s="1"/>
  <c r="C262" i="2" s="1"/>
  <c r="J122" i="12"/>
  <c r="I148" i="12"/>
  <c r="E150" i="12"/>
  <c r="E125" i="12"/>
  <c r="D150" i="12"/>
  <c r="D125" i="12"/>
  <c r="F125" i="12"/>
  <c r="F150" i="12"/>
  <c r="G124" i="12"/>
  <c r="E177" i="12" s="1"/>
  <c r="G149" i="12"/>
  <c r="C150" i="12"/>
  <c r="C125" i="12"/>
  <c r="I123" i="12"/>
  <c r="C176" i="12" s="1"/>
  <c r="H150" i="12" l="1"/>
  <c r="H125" i="12"/>
  <c r="G178" i="12" s="1"/>
  <c r="C263" i="2"/>
  <c r="C264" i="2" s="1"/>
  <c r="C265" i="2" s="1"/>
  <c r="C266" i="2" s="1"/>
  <c r="C267" i="2" s="1"/>
  <c r="C126" i="12"/>
  <c r="C151" i="12"/>
  <c r="G125" i="12"/>
  <c r="E178" i="12" s="1"/>
  <c r="G150" i="12"/>
  <c r="D126" i="12"/>
  <c r="D151" i="12"/>
  <c r="I124" i="12"/>
  <c r="E126" i="12"/>
  <c r="E151" i="12"/>
  <c r="J123" i="12"/>
  <c r="I149" i="12"/>
  <c r="F151" i="12"/>
  <c r="F126" i="12"/>
  <c r="C177" i="12" l="1"/>
  <c r="I150" i="12"/>
  <c r="C268" i="2"/>
  <c r="C269" i="2" s="1"/>
  <c r="C270" i="2" s="1"/>
  <c r="C271" i="2" s="1"/>
  <c r="C272" i="2" s="1"/>
  <c r="C273" i="2" s="1"/>
  <c r="C274" i="2" s="1"/>
  <c r="C275" i="2" s="1"/>
  <c r="C276" i="2" s="1"/>
  <c r="C277" i="2" s="1"/>
  <c r="C278" i="2" s="1"/>
  <c r="C279" i="2" s="1"/>
  <c r="C280" i="2" s="1"/>
  <c r="C281" i="2" s="1"/>
  <c r="C282" i="2" s="1"/>
  <c r="C283" i="2" s="1"/>
  <c r="C284" i="2" s="1"/>
  <c r="H151" i="12"/>
  <c r="H126" i="12"/>
  <c r="G179" i="12" s="1"/>
  <c r="I125" i="12"/>
  <c r="G126" i="12"/>
  <c r="E179" i="12" s="1"/>
  <c r="G151" i="12"/>
  <c r="E152" i="12"/>
  <c r="E127" i="12"/>
  <c r="D127" i="12"/>
  <c r="D152" i="12"/>
  <c r="F152" i="12"/>
  <c r="F127" i="12"/>
  <c r="J124" i="12"/>
  <c r="C127" i="12"/>
  <c r="C152" i="12"/>
  <c r="C290" i="2" l="1"/>
  <c r="C291" i="2" s="1"/>
  <c r="C292" i="2" s="1"/>
  <c r="C293" i="2" s="1"/>
  <c r="C294" i="2" s="1"/>
  <c r="C295" i="2" s="1"/>
  <c r="C296" i="2" s="1"/>
  <c r="C297" i="2" s="1"/>
  <c r="C298" i="2" s="1"/>
  <c r="C299" i="2" s="1"/>
  <c r="C300" i="2" s="1"/>
  <c r="C301" i="2" s="1"/>
  <c r="C302" i="2" s="1"/>
  <c r="C303" i="2" s="1"/>
  <c r="C304" i="2" s="1"/>
  <c r="C305" i="2" s="1"/>
  <c r="C306" i="2" s="1"/>
  <c r="C307" i="2" s="1"/>
  <c r="C308" i="2" s="1"/>
  <c r="C309" i="2" s="1"/>
  <c r="C310" i="2" s="1"/>
  <c r="C311" i="2" s="1"/>
  <c r="C312" i="2" s="1"/>
  <c r="C313" i="2" s="1"/>
  <c r="C314" i="2" s="1"/>
  <c r="C315" i="2" s="1"/>
  <c r="C316" i="2" s="1"/>
  <c r="C317" i="2" s="1"/>
  <c r="C318" i="2" s="1"/>
  <c r="C319" i="2" s="1"/>
  <c r="C320" i="2" s="1"/>
  <c r="C321" i="2" s="1"/>
  <c r="C322" i="2" s="1"/>
  <c r="C323" i="2" s="1"/>
  <c r="C324" i="2" s="1"/>
  <c r="C325" i="2" s="1"/>
  <c r="C326" i="2" s="1"/>
  <c r="C327" i="2" s="1"/>
  <c r="C328" i="2" s="1"/>
  <c r="C285" i="2"/>
  <c r="C286" i="2" s="1"/>
  <c r="C287" i="2" s="1"/>
  <c r="C288" i="2" s="1"/>
  <c r="C289" i="2" s="1"/>
  <c r="H152" i="12"/>
  <c r="I151" i="12"/>
  <c r="C178" i="12"/>
  <c r="H127" i="12"/>
  <c r="J125" i="12"/>
  <c r="C128" i="12"/>
  <c r="C153" i="12"/>
  <c r="F128" i="12"/>
  <c r="F153" i="12"/>
  <c r="E153" i="12"/>
  <c r="E128" i="12"/>
  <c r="G127" i="12"/>
  <c r="E180" i="12" s="1"/>
  <c r="G152" i="12"/>
  <c r="I126" i="12"/>
  <c r="C179" i="12" s="1"/>
  <c r="D153" i="12"/>
  <c r="D128" i="12"/>
  <c r="H153" i="12" l="1"/>
  <c r="G180" i="12"/>
  <c r="H128" i="12"/>
  <c r="I127" i="12"/>
  <c r="C329" i="2"/>
  <c r="C330" i="2" s="1"/>
  <c r="C331" i="2" s="1"/>
  <c r="C332" i="2" s="1"/>
  <c r="C333" i="2" s="1"/>
  <c r="D129" i="12"/>
  <c r="D154" i="12"/>
  <c r="G153" i="12"/>
  <c r="G128" i="12"/>
  <c r="E181" i="12" s="1"/>
  <c r="F154" i="12"/>
  <c r="F129" i="12"/>
  <c r="I152" i="12"/>
  <c r="J126" i="12"/>
  <c r="E154" i="12"/>
  <c r="E129" i="12"/>
  <c r="C129" i="12"/>
  <c r="C154" i="12"/>
  <c r="C180" i="12" l="1"/>
  <c r="I153" i="12"/>
  <c r="C334" i="2"/>
  <c r="C335" i="2" s="1"/>
  <c r="C336" i="2" s="1"/>
  <c r="C337" i="2" s="1"/>
  <c r="C338" i="2" s="1"/>
  <c r="C339" i="2" s="1"/>
  <c r="C340" i="2" s="1"/>
  <c r="C341" i="2" s="1"/>
  <c r="C342" i="2" s="1"/>
  <c r="C343" i="2" s="1"/>
  <c r="C344" i="2" s="1"/>
  <c r="C345" i="2" s="1"/>
  <c r="C346" i="2" s="1"/>
  <c r="C347" i="2" s="1"/>
  <c r="C348" i="2" s="1"/>
  <c r="C349" i="2" s="1"/>
  <c r="C350" i="2" s="1"/>
  <c r="C351" i="2" s="1"/>
  <c r="C352" i="2" s="1"/>
  <c r="C353" i="2" s="1"/>
  <c r="C354" i="2" s="1"/>
  <c r="C355" i="2" s="1"/>
  <c r="C356" i="2" s="1"/>
  <c r="C357" i="2" s="1"/>
  <c r="C358" i="2" s="1"/>
  <c r="C359" i="2" s="1"/>
  <c r="C360" i="2" s="1"/>
  <c r="C361" i="2" s="1"/>
  <c r="C362" i="2" s="1"/>
  <c r="C363" i="2" s="1"/>
  <c r="C364" i="2" s="1"/>
  <c r="C365" i="2" s="1"/>
  <c r="C366" i="2" s="1"/>
  <c r="C367" i="2" s="1"/>
  <c r="C368" i="2" s="1"/>
  <c r="C369" i="2" s="1"/>
  <c r="C370" i="2" s="1"/>
  <c r="C371" i="2" s="1"/>
  <c r="C372" i="2" s="1"/>
  <c r="H154" i="12"/>
  <c r="G181" i="12"/>
  <c r="J127" i="12"/>
  <c r="H129" i="12"/>
  <c r="C130" i="12"/>
  <c r="C155" i="12"/>
  <c r="E155" i="12"/>
  <c r="E130" i="12"/>
  <c r="G129" i="12"/>
  <c r="E182" i="12" s="1"/>
  <c r="G154" i="12"/>
  <c r="F155" i="12"/>
  <c r="F130" i="12"/>
  <c r="I128" i="12"/>
  <c r="C181" i="12" s="1"/>
  <c r="D155" i="12"/>
  <c r="D130" i="12"/>
  <c r="H130" i="12" l="1"/>
  <c r="G183" i="12" s="1"/>
  <c r="G182" i="12"/>
  <c r="H155" i="12"/>
  <c r="I129" i="12"/>
  <c r="C373" i="2"/>
  <c r="C374" i="2" s="1"/>
  <c r="C375" i="2" s="1"/>
  <c r="C376" i="2" s="1"/>
  <c r="C377" i="2" s="1"/>
  <c r="C378" i="2" s="1"/>
  <c r="C379" i="2" s="1"/>
  <c r="C380" i="2" s="1"/>
  <c r="C381" i="2" s="1"/>
  <c r="C382" i="2" s="1"/>
  <c r="C383" i="2" s="1"/>
  <c r="C384" i="2" s="1"/>
  <c r="C385" i="2" s="1"/>
  <c r="C386" i="2" s="1"/>
  <c r="C387" i="2" s="1"/>
  <c r="C388" i="2" s="1"/>
  <c r="C389" i="2" s="1"/>
  <c r="C390" i="2" s="1"/>
  <c r="C391" i="2" s="1"/>
  <c r="C392" i="2" s="1"/>
  <c r="C393" i="2" s="1"/>
  <c r="C394" i="2" s="1"/>
  <c r="D156" i="12"/>
  <c r="D131" i="12"/>
  <c r="E131" i="12"/>
  <c r="E156" i="12"/>
  <c r="I154" i="12"/>
  <c r="J128" i="12"/>
  <c r="F131" i="12"/>
  <c r="F156" i="12"/>
  <c r="G155" i="12"/>
  <c r="G130" i="12"/>
  <c r="C131" i="12"/>
  <c r="C156" i="12"/>
  <c r="H131" i="12" l="1"/>
  <c r="G184" i="12" s="1"/>
  <c r="H156" i="12"/>
  <c r="I130" i="12"/>
  <c r="C183" i="12" s="1"/>
  <c r="E183" i="12"/>
  <c r="I155" i="12"/>
  <c r="C182" i="12"/>
  <c r="J129" i="12"/>
  <c r="C395" i="2"/>
  <c r="C396" i="2" s="1"/>
  <c r="C397" i="2" s="1"/>
  <c r="C398" i="2" s="1"/>
  <c r="C399" i="2" s="1"/>
  <c r="C400" i="2"/>
  <c r="C401" i="2" s="1"/>
  <c r="C402" i="2" s="1"/>
  <c r="C403" i="2" s="1"/>
  <c r="C404" i="2" s="1"/>
  <c r="C405" i="2" s="1"/>
  <c r="C406" i="2" s="1"/>
  <c r="C407" i="2" s="1"/>
  <c r="C408" i="2" s="1"/>
  <c r="C409" i="2" s="1"/>
  <c r="C410" i="2" s="1"/>
  <c r="C411" i="2" s="1"/>
  <c r="C412" i="2" s="1"/>
  <c r="C413" i="2" s="1"/>
  <c r="C414" i="2" s="1"/>
  <c r="C415" i="2" s="1"/>
  <c r="C416" i="2" s="1"/>
  <c r="C417" i="2" s="1"/>
  <c r="C418" i="2" s="1"/>
  <c r="C419" i="2" s="1"/>
  <c r="C420" i="2" s="1"/>
  <c r="C421" i="2" s="1"/>
  <c r="C157" i="12"/>
  <c r="C132" i="12"/>
  <c r="F132" i="12"/>
  <c r="F157" i="12"/>
  <c r="E132" i="12"/>
  <c r="E157" i="12"/>
  <c r="G156" i="12"/>
  <c r="G131" i="12"/>
  <c r="D157" i="12"/>
  <c r="D132" i="12"/>
  <c r="H132" i="12" l="1"/>
  <c r="G185" i="12" s="1"/>
  <c r="H157" i="12"/>
  <c r="J130" i="12"/>
  <c r="I156" i="12"/>
  <c r="I131" i="12"/>
  <c r="C184" i="12" s="1"/>
  <c r="E184" i="12"/>
  <c r="C422" i="2"/>
  <c r="C423" i="2" s="1"/>
  <c r="C424" i="2" s="1"/>
  <c r="C425" i="2" s="1"/>
  <c r="C426" i="2" s="1"/>
  <c r="C427" i="2" s="1"/>
  <c r="C428" i="2" s="1"/>
  <c r="C429" i="2" s="1"/>
  <c r="C430" i="2" s="1"/>
  <c r="C431" i="2" s="1"/>
  <c r="C432" i="2" s="1"/>
  <c r="C433" i="2" s="1"/>
  <c r="C434" i="2" s="1"/>
  <c r="C435" i="2" s="1"/>
  <c r="C436" i="2" s="1"/>
  <c r="C437" i="2" s="1"/>
  <c r="C438" i="2" s="1"/>
  <c r="C439" i="2" s="1"/>
  <c r="C440" i="2" s="1"/>
  <c r="C441" i="2" s="1"/>
  <c r="C442" i="2" s="1"/>
  <c r="C443" i="2" s="1"/>
  <c r="C444" i="2" s="1"/>
  <c r="C445" i="2" s="1"/>
  <c r="C446" i="2" s="1"/>
  <c r="C447" i="2" s="1"/>
  <c r="C448" i="2" s="1"/>
  <c r="C449" i="2" s="1"/>
  <c r="C450" i="2" s="1"/>
  <c r="C451" i="2" s="1"/>
  <c r="C452" i="2" s="1"/>
  <c r="C453" i="2" s="1"/>
  <c r="C454" i="2" s="1"/>
  <c r="C455" i="2" s="1"/>
  <c r="C456" i="2" s="1"/>
  <c r="C457" i="2" s="1"/>
  <c r="C458" i="2" s="1"/>
  <c r="C459" i="2" s="1"/>
  <c r="C460" i="2" s="1"/>
  <c r="C461" i="2" s="1"/>
  <c r="C462" i="2" s="1"/>
  <c r="C463" i="2" s="1"/>
  <c r="C464" i="2" s="1"/>
  <c r="C465" i="2" s="1"/>
  <c r="C466" i="2" s="1"/>
  <c r="C467" i="2" s="1"/>
  <c r="C468" i="2" s="1"/>
  <c r="C469" i="2" s="1"/>
  <c r="C470" i="2" s="1"/>
  <c r="C471" i="2" s="1"/>
  <c r="C472" i="2" s="1"/>
  <c r="C473" i="2" s="1"/>
  <c r="C474" i="2" s="1"/>
  <c r="C475" i="2" s="1"/>
  <c r="C476" i="2" s="1"/>
  <c r="C477" i="2" s="1"/>
  <c r="C478" i="2" s="1"/>
  <c r="C479" i="2" s="1"/>
  <c r="C480" i="2" s="1"/>
  <c r="C481" i="2" s="1"/>
  <c r="C482" i="2" s="1"/>
  <c r="C483" i="2" s="1"/>
  <c r="C484" i="2" s="1"/>
  <c r="C485" i="2" s="1"/>
  <c r="C486" i="2" s="1"/>
  <c r="C487" i="2" s="1"/>
  <c r="C488" i="2" s="1"/>
  <c r="C489" i="2" s="1"/>
  <c r="C490" i="2" s="1"/>
  <c r="C491" i="2" s="1"/>
  <c r="C492" i="2" s="1"/>
  <c r="C493" i="2" s="1"/>
  <c r="C494" i="2" s="1"/>
  <c r="C495" i="2" s="1"/>
  <c r="C496" i="2" s="1"/>
  <c r="C497" i="2" s="1"/>
  <c r="C499" i="2" s="1"/>
  <c r="C500" i="2" s="1"/>
  <c r="C501" i="2" s="1"/>
  <c r="C502" i="2" s="1"/>
  <c r="C503" i="2" s="1"/>
  <c r="C504" i="2" s="1"/>
  <c r="C505" i="2" s="1"/>
  <c r="C506" i="2" s="1"/>
  <c r="C507" i="2" s="1"/>
  <c r="C508" i="2" s="1"/>
  <c r="C509" i="2" s="1"/>
  <c r="C510" i="2" s="1"/>
  <c r="G132" i="12"/>
  <c r="E185" i="12" s="1"/>
  <c r="G157" i="12"/>
  <c r="E133" i="12"/>
  <c r="E134" i="12" s="1"/>
  <c r="E158" i="12"/>
  <c r="F158" i="12"/>
  <c r="F133" i="12"/>
  <c r="F134" i="12" s="1"/>
  <c r="D158" i="12"/>
  <c r="D133" i="12"/>
  <c r="D134" i="12" s="1"/>
  <c r="C158" i="12"/>
  <c r="C133" i="12"/>
  <c r="C134" i="12" s="1"/>
  <c r="J131" i="12" l="1"/>
  <c r="H133" i="12"/>
  <c r="H159" i="12" s="1"/>
  <c r="H158" i="12"/>
  <c r="I157" i="12"/>
  <c r="C135" i="12"/>
  <c r="C160" i="12"/>
  <c r="D135" i="12"/>
  <c r="D160" i="12"/>
  <c r="F135" i="12"/>
  <c r="F160" i="12"/>
  <c r="E135" i="12"/>
  <c r="E160" i="12"/>
  <c r="D159" i="12"/>
  <c r="G133" i="12"/>
  <c r="E186" i="12" s="1"/>
  <c r="G158" i="12"/>
  <c r="E159" i="12"/>
  <c r="C159" i="12"/>
  <c r="F159" i="12"/>
  <c r="I132" i="12"/>
  <c r="C185" i="12" s="1"/>
  <c r="G186" i="12" l="1"/>
  <c r="H134" i="12"/>
  <c r="G187" i="12" s="1"/>
  <c r="E136" i="12"/>
  <c r="E161" i="12"/>
  <c r="F136" i="12"/>
  <c r="F161" i="12"/>
  <c r="D136" i="12"/>
  <c r="D161" i="12"/>
  <c r="C136" i="12"/>
  <c r="C161" i="12"/>
  <c r="I133" i="12"/>
  <c r="C186" i="12" s="1"/>
  <c r="G134" i="12"/>
  <c r="E187" i="12" s="1"/>
  <c r="I158" i="12"/>
  <c r="J132" i="12"/>
  <c r="G159" i="12"/>
  <c r="H135" i="12" l="1"/>
  <c r="H136" i="12" s="1"/>
  <c r="G189" i="12" s="1"/>
  <c r="H160" i="12"/>
  <c r="J133" i="12"/>
  <c r="I159" i="12"/>
  <c r="G160" i="12"/>
  <c r="C137" i="12"/>
  <c r="C162" i="12"/>
  <c r="D137" i="12"/>
  <c r="D162" i="12"/>
  <c r="F137" i="12"/>
  <c r="F162" i="12"/>
  <c r="E137" i="12"/>
  <c r="E162" i="12"/>
  <c r="G135" i="12"/>
  <c r="E188" i="12" s="1"/>
  <c r="I134" i="12"/>
  <c r="C187" i="12" s="1"/>
  <c r="G188" i="12" l="1"/>
  <c r="H161" i="12"/>
  <c r="H137" i="12"/>
  <c r="G190" i="12" s="1"/>
  <c r="H162" i="12"/>
  <c r="G161" i="12"/>
  <c r="J134" i="12"/>
  <c r="I160" i="12"/>
  <c r="E138" i="12"/>
  <c r="E139" i="12" s="1"/>
  <c r="E165" i="12" s="1"/>
  <c r="E163" i="12"/>
  <c r="F138" i="12"/>
  <c r="F139" i="12" s="1"/>
  <c r="F165" i="12" s="1"/>
  <c r="F163" i="12"/>
  <c r="D138" i="12"/>
  <c r="D139" i="12" s="1"/>
  <c r="D165" i="12" s="1"/>
  <c r="D163" i="12"/>
  <c r="C138" i="12"/>
  <c r="C139" i="12" s="1"/>
  <c r="C165" i="12" s="1"/>
  <c r="C163" i="12"/>
  <c r="G136" i="12"/>
  <c r="E189" i="12" s="1"/>
  <c r="I135" i="12"/>
  <c r="C188" i="12" s="1"/>
  <c r="H138" i="12" l="1"/>
  <c r="G191" i="12" s="1"/>
  <c r="H163" i="12"/>
  <c r="G162" i="12"/>
  <c r="C164" i="12"/>
  <c r="C166" i="12" s="1"/>
  <c r="E164" i="12"/>
  <c r="E166" i="12" s="1"/>
  <c r="J135" i="12"/>
  <c r="I161" i="12"/>
  <c r="D164" i="12"/>
  <c r="D166" i="12" s="1"/>
  <c r="F164" i="12"/>
  <c r="F166" i="12" s="1"/>
  <c r="G137" i="12"/>
  <c r="E190" i="12" s="1"/>
  <c r="I136" i="12"/>
  <c r="C189" i="12" s="1"/>
  <c r="H164" i="12" l="1"/>
  <c r="H139" i="12"/>
  <c r="H165" i="12" s="1"/>
  <c r="G163" i="12"/>
  <c r="J136" i="12"/>
  <c r="I162" i="12"/>
  <c r="G138" i="12"/>
  <c r="I137" i="12"/>
  <c r="C190" i="12" s="1"/>
  <c r="G192" i="12" l="1"/>
  <c r="H171" i="12" s="1"/>
  <c r="H166" i="12"/>
  <c r="E191" i="12"/>
  <c r="G139" i="12"/>
  <c r="G164" i="12"/>
  <c r="J137" i="12"/>
  <c r="I163" i="12"/>
  <c r="I138" i="12"/>
  <c r="C191" i="12" s="1"/>
  <c r="I139" i="12" l="1"/>
  <c r="E192" i="12"/>
  <c r="F171" i="12" s="1"/>
  <c r="G165" i="12"/>
  <c r="G166" i="12" s="1"/>
  <c r="J138" i="12"/>
  <c r="I164" i="12"/>
  <c r="I165" i="12" l="1"/>
  <c r="J139" i="12"/>
  <c r="C192" i="12"/>
  <c r="D171" i="12" s="1"/>
  <c r="J2" i="12" s="1"/>
  <c r="I166" i="12" l="1"/>
  <c r="G2"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tc={86620AF1-6748-43F0-B82F-A528512A5774}</author>
  </authors>
  <commentList>
    <comment ref="B63" authorId="0" shapeId="0" xr:uid="{86620AF1-6748-43F0-B82F-A528512A5774}">
      <text>
        <t xml:space="preserve">[Threaded comment]
Your version of Excel allows you to read this threaded comment; however, any edits to it will get removed if the file is opened in a newer version of Excel. Learn more: https://go.microsoft.com/fwlink/?linkid=870924
Comment:
    2019 TFP was [2012=100]
</t>
      </text>
    </comment>
  </commentList>
</comments>
</file>

<file path=xl/sharedStrings.xml><?xml version="1.0" encoding="utf-8"?>
<sst xmlns="http://schemas.openxmlformats.org/spreadsheetml/2006/main" count="684" uniqueCount="366">
  <si>
    <t>EUCG data (industry)</t>
  </si>
  <si>
    <t>Peer Industry data (from TFP model | tabs "TFP_Calcs" | cells I7:J28)</t>
  </si>
  <si>
    <t>Labour Share based on O&amp;M</t>
  </si>
  <si>
    <t>Year</t>
  </si>
  <si>
    <t>Capital Share</t>
  </si>
  <si>
    <t>O&amp;M Share</t>
  </si>
  <si>
    <t>Labour</t>
  </si>
  <si>
    <t>Non-Labour</t>
  </si>
  <si>
    <t>Average (2004-2023)</t>
  </si>
  <si>
    <t>Average (2002-2023)</t>
  </si>
  <si>
    <t>Step 1: Select peers from dropdown in cell C2 (note TFP results for both methods are visible in cells G2 and J2 respectively)</t>
  </si>
  <si>
    <t xml:space="preserve">OPG Hydro Group: </t>
  </si>
  <si>
    <t>Peer Industry</t>
  </si>
  <si>
    <t>Average TFP growth (2002-2023)</t>
  </si>
  <si>
    <t>Step 2: Prepare data, including capacity, O&amp;M, net generation, and O&amp;M price index</t>
  </si>
  <si>
    <t>Data</t>
  </si>
  <si>
    <t>I</t>
  </si>
  <si>
    <t>I Price Index</t>
  </si>
  <si>
    <t>O</t>
  </si>
  <si>
    <t>I and O shares</t>
  </si>
  <si>
    <t>I share</t>
  </si>
  <si>
    <t>K</t>
  </si>
  <si>
    <t>O&amp;M</t>
  </si>
  <si>
    <r>
      <t xml:space="preserve">Step 3: Calculate </t>
    </r>
    <r>
      <rPr>
        <b/>
        <u/>
        <sz val="10"/>
        <color theme="1"/>
        <rFont val="Book Antiqua"/>
        <family val="1"/>
      </rPr>
      <t>quantity</t>
    </r>
    <r>
      <rPr>
        <b/>
        <sz val="10"/>
        <color theme="1"/>
        <rFont val="Book Antiqua"/>
        <family val="1"/>
      </rPr>
      <t xml:space="preserve"> sub-indexes and sub index growth rates</t>
    </r>
  </si>
  <si>
    <t>Quantity Sub-indexes</t>
  </si>
  <si>
    <t>Quantity Sub-indexes Growth rates</t>
  </si>
  <si>
    <t>Input</t>
  </si>
  <si>
    <t>Output</t>
  </si>
  <si>
    <t>Net_generation (MWh)</t>
  </si>
  <si>
    <t>Average</t>
  </si>
  <si>
    <r>
      <t xml:space="preserve">Step 4: Calculate </t>
    </r>
    <r>
      <rPr>
        <b/>
        <u/>
        <sz val="10"/>
        <color theme="1"/>
        <rFont val="Book Antiqua"/>
        <family val="1"/>
      </rPr>
      <t>implicit</t>
    </r>
    <r>
      <rPr>
        <b/>
        <sz val="10"/>
        <color theme="1"/>
        <rFont val="Book Antiqua"/>
        <family val="1"/>
      </rPr>
      <t xml:space="preserve"> price indexes and sub index growth rates</t>
    </r>
  </si>
  <si>
    <t>(Implicit) Price Indexes</t>
  </si>
  <si>
    <t>(Implicit) Price Indexes Growth Rates</t>
  </si>
  <si>
    <t xml:space="preserve">Step 5: Calculate the year over year changes to Laspeyres, Paasche, and Fisher total Input and total Output Indexes </t>
  </si>
  <si>
    <t>Year to year changes</t>
  </si>
  <si>
    <t>Laspeyres Index</t>
  </si>
  <si>
    <t>Paasche Index</t>
  </si>
  <si>
    <t>Fisher Index</t>
  </si>
  <si>
    <t>Step 6: Calculate the Laspeyres, Paasche, and Fisher Ideal total Input, total Output, and Total Factor Productivity Indexes</t>
  </si>
  <si>
    <t>Index</t>
  </si>
  <si>
    <t>TFP</t>
  </si>
  <si>
    <t>Growth</t>
  </si>
  <si>
    <t>Step 7: Calculate TFP growth rates using 'average growth' and 'trend regression' methods</t>
  </si>
  <si>
    <t>A) Average growth method of measuring TFP</t>
  </si>
  <si>
    <t>TFP Index</t>
  </si>
  <si>
    <t>Input index growth</t>
  </si>
  <si>
    <t>Output index growth</t>
  </si>
  <si>
    <t>TFP index Growth</t>
  </si>
  <si>
    <t>2002-2003</t>
  </si>
  <si>
    <t>2003-2004</t>
  </si>
  <si>
    <t>2004-2005</t>
  </si>
  <si>
    <t>2005-2006</t>
  </si>
  <si>
    <t>2006-2007</t>
  </si>
  <si>
    <t>2007-2008</t>
  </si>
  <si>
    <t>2008-2009</t>
  </si>
  <si>
    <t>2009-2010</t>
  </si>
  <si>
    <t>2010-2011</t>
  </si>
  <si>
    <t>2011-2012</t>
  </si>
  <si>
    <t>2012-2013</t>
  </si>
  <si>
    <t>2013-2014</t>
  </si>
  <si>
    <t>2014-2015</t>
  </si>
  <si>
    <t>2015-2016</t>
  </si>
  <si>
    <t>2016-2017</t>
  </si>
  <si>
    <t>2017-2018</t>
  </si>
  <si>
    <t>2018-2019</t>
  </si>
  <si>
    <t>2019-2020</t>
  </si>
  <si>
    <t>2020-2021</t>
  </si>
  <si>
    <t>2021-2022</t>
  </si>
  <si>
    <t>2022-2023</t>
  </si>
  <si>
    <t>AVERAGE</t>
  </si>
  <si>
    <t>B) Trend regression method of measuring TFP</t>
  </si>
  <si>
    <t>T</t>
  </si>
  <si>
    <t>Natural log of TFP index values</t>
  </si>
  <si>
    <t>TFP trend growth rate (2002-2023):</t>
  </si>
  <si>
    <t>Natural log of TFP input values</t>
  </si>
  <si>
    <t>TFP input index (2002-2023):</t>
  </si>
  <si>
    <t>Natural log of TFP output values</t>
  </si>
  <si>
    <t>TFP output index (2002-2023):</t>
  </si>
  <si>
    <t>Sub-index</t>
  </si>
  <si>
    <t>MW</t>
  </si>
  <si>
    <t>%</t>
  </si>
  <si>
    <t>K$</t>
  </si>
  <si>
    <t>MWh</t>
  </si>
  <si>
    <t>unit</t>
  </si>
  <si>
    <t>Mod_ID</t>
  </si>
  <si>
    <t>LEI_ID</t>
  </si>
  <si>
    <t>Company Name</t>
  </si>
  <si>
    <t>MCR</t>
  </si>
  <si>
    <t>Capacity Factor</t>
  </si>
  <si>
    <t>Labour_O&amp;M</t>
  </si>
  <si>
    <t>Non-labour_O&amp;M</t>
  </si>
  <si>
    <t>O&amp;M_total</t>
  </si>
  <si>
    <t>O&amp;M industry share</t>
  </si>
  <si>
    <t>Labour_OM&amp;A share</t>
  </si>
  <si>
    <t>Net_generation</t>
  </si>
  <si>
    <t>Revenue</t>
  </si>
  <si>
    <t>Capital</t>
  </si>
  <si>
    <t>Labour O&amp;M Share</t>
  </si>
  <si>
    <t>Non-labour O&amp;M Share</t>
  </si>
  <si>
    <t>O&amp;M price index</t>
  </si>
  <si>
    <t>OPG</t>
  </si>
  <si>
    <t>Is it in the modeling? 1 = yes; 0 = no</t>
  </si>
  <si>
    <t>Short name</t>
  </si>
  <si>
    <t>Full utility name</t>
  </si>
  <si>
    <t>OPG Hydro Total</t>
  </si>
  <si>
    <t>CA</t>
  </si>
  <si>
    <t>PG&amp;E</t>
  </si>
  <si>
    <t>PACIFIC GAS AND ELECTRIC COMPANY</t>
  </si>
  <si>
    <t>US</t>
  </si>
  <si>
    <t>Duke</t>
  </si>
  <si>
    <t>Duke Energy Carolinas, LLC</t>
  </si>
  <si>
    <t>VA Electric</t>
  </si>
  <si>
    <t>VIRGINIA ELECTRIC AND POWER COMPANY</t>
  </si>
  <si>
    <t>ID Power</t>
  </si>
  <si>
    <t>Idaho Power Company</t>
  </si>
  <si>
    <t>AB Power</t>
  </si>
  <si>
    <t>ALABAMA POWER COMPANY</t>
  </si>
  <si>
    <t>SoCal Edison</t>
  </si>
  <si>
    <t>Southern California Edison Company</t>
  </si>
  <si>
    <t>GA Power</t>
  </si>
  <si>
    <t>Georgia Power Company</t>
  </si>
  <si>
    <t>PacifiCorp</t>
  </si>
  <si>
    <t>Avista</t>
  </si>
  <si>
    <t>Avista Corporation</t>
  </si>
  <si>
    <t>Portland</t>
  </si>
  <si>
    <t>Portland General Electric Company</t>
  </si>
  <si>
    <t>Ameren MI - Union</t>
  </si>
  <si>
    <t>UNION ELECTRIC COMPANY</t>
  </si>
  <si>
    <t>AP Power</t>
  </si>
  <si>
    <t>Appalachian Power Company</t>
  </si>
  <si>
    <t>Dominion SC</t>
  </si>
  <si>
    <t>Dominion Energy South Carolina, Inc.</t>
  </si>
  <si>
    <t>Duke Progress</t>
  </si>
  <si>
    <t>Duke Energy Progress, LLC</t>
  </si>
  <si>
    <t>Lockhart</t>
  </si>
  <si>
    <t>Lockhart Power Company</t>
  </si>
  <si>
    <t>NYSEG</t>
  </si>
  <si>
    <t xml:space="preserve">New York State Electric &amp; Gas Corporation     </t>
  </si>
  <si>
    <t>SEPA</t>
  </si>
  <si>
    <t>Southeastern Power Administration</t>
  </si>
  <si>
    <t>Seattle</t>
  </si>
  <si>
    <t>Seattle City Light</t>
  </si>
  <si>
    <t>Chelan</t>
  </si>
  <si>
    <t>Chelan County Public Utility District</t>
  </si>
  <si>
    <t>WAPA</t>
  </si>
  <si>
    <t>Western Area Power Administration</t>
  </si>
  <si>
    <t>OPG Hydro Peer Industry Total</t>
  </si>
  <si>
    <t>NA</t>
  </si>
  <si>
    <t>Peer Industry less OPG</t>
  </si>
  <si>
    <t>Peer Industry Total (without OPG)</t>
  </si>
  <si>
    <t>FERC Peers + OPG</t>
  </si>
  <si>
    <t>16 US peers plus OPG</t>
  </si>
  <si>
    <t>Note: combined index for North America (based on O&amp;M share)</t>
  </si>
  <si>
    <t>O&amp;M share of Canada</t>
  </si>
  <si>
    <t>O&amp;M share of US</t>
  </si>
  <si>
    <t>Calculating NA L/NL/O&amp;M growths</t>
  </si>
  <si>
    <t>O&amp;M Price Index</t>
  </si>
  <si>
    <t>Labour Price Index</t>
  </si>
  <si>
    <t>Non-Labour Price Index</t>
  </si>
  <si>
    <t xml:space="preserve">O&amp;M Price Index </t>
  </si>
  <si>
    <t>Labour Price Index Growth</t>
  </si>
  <si>
    <t>Non-Labour Price Index Growth</t>
  </si>
  <si>
    <t>O&amp;M Price Index Growth</t>
  </si>
  <si>
    <t>Average GR</t>
  </si>
  <si>
    <t>O&amp;M Price Index Growth Rates</t>
  </si>
  <si>
    <t>Note: Indices are for Canada</t>
  </si>
  <si>
    <t>Share of Labour</t>
  </si>
  <si>
    <t>Source: See StatsCan CANSIM Tables</t>
  </si>
  <si>
    <t>Share of Non-labour</t>
  </si>
  <si>
    <t>Ontario</t>
  </si>
  <si>
    <t>Canada</t>
  </si>
  <si>
    <t>On+Can</t>
  </si>
  <si>
    <t>Industries</t>
  </si>
  <si>
    <t>GDP-IPI FDD</t>
  </si>
  <si>
    <t>(Ontario) 
Average Weekly Earnings, Industrial</t>
  </si>
  <si>
    <t>(Ontario)
Industrial Labour Index Growth</t>
  </si>
  <si>
    <t>(Canada) 
GDP-IPI FDD</t>
  </si>
  <si>
    <t>(Canada)
GDP-IPI FDD Growth</t>
  </si>
  <si>
    <t>(Ind) Labour Price Index</t>
  </si>
  <si>
    <t>O&amp;M Price Index Growth Rates (%)</t>
  </si>
  <si>
    <t>EUCG L shares</t>
  </si>
  <si>
    <t>O&amp;M price index growth</t>
  </si>
  <si>
    <t>Note: Indices are for United States</t>
  </si>
  <si>
    <t>Source: See US BLS &amp; BEA tables</t>
  </si>
  <si>
    <t>USA</t>
  </si>
  <si>
    <t>Utilities</t>
  </si>
  <si>
    <t>GDP-PI</t>
  </si>
  <si>
    <t>(USA)
Employment Cost Index, Utilities</t>
  </si>
  <si>
    <t>(USA)
Labour Index Growth</t>
  </si>
  <si>
    <t>(USA)
GDP Price Index</t>
  </si>
  <si>
    <t>(USA)
GDP-PI Growth</t>
  </si>
  <si>
    <t>OPG data only (data from OPG)</t>
  </si>
  <si>
    <t>OM&amp;A Share</t>
  </si>
  <si>
    <t>Labor OM&amp;A share combined</t>
  </si>
  <si>
    <t>Other OM&amp;A share combined</t>
  </si>
  <si>
    <t>average 2002-2023</t>
  </si>
  <si>
    <t>average 2004-2018</t>
  </si>
  <si>
    <t>average 2004-2014</t>
  </si>
  <si>
    <t>Note: LEI derived the above tables from EUCG data</t>
  </si>
  <si>
    <t>StatsCan Tables: https://www150.statcan.gc.ca/t1/tbl1/en/tv.action?pid=1410020401</t>
  </si>
  <si>
    <t xml:space="preserve">     See lower for GDP-IPI FDD</t>
  </si>
  <si>
    <t>Labour Price Indices</t>
  </si>
  <si>
    <t>Table: 14-10-0204-01 (formerly CANSIM  281-0027)</t>
  </si>
  <si>
    <t>Average weekly earnings by industry, annual 1 2 3 4</t>
  </si>
  <si>
    <t>annual (current dollars)</t>
  </si>
  <si>
    <t>Geography = Ontario</t>
  </si>
  <si>
    <t>Type of employees = All employees 5</t>
  </si>
  <si>
    <t>Overtime = Including overtime</t>
  </si>
  <si>
    <t>Accessed on December 19, 2024</t>
  </si>
  <si>
    <r>
      <t>Industrial aggregate excluding unclassified businesses [11-91N]</t>
    </r>
    <r>
      <rPr>
        <b/>
        <i/>
        <vertAlign val="superscript"/>
        <sz val="8"/>
        <color rgb="FF222222"/>
        <rFont val="Verdana"/>
        <family val="2"/>
      </rPr>
      <t> </t>
    </r>
    <r>
      <rPr>
        <b/>
        <i/>
        <vertAlign val="superscript"/>
        <sz val="8"/>
        <color rgb="FF5A306B"/>
        <rFont val="Verdana"/>
        <family val="2"/>
      </rPr>
      <t>5</t>
    </r>
    <r>
      <rPr>
        <b/>
        <i/>
        <vertAlign val="superscript"/>
        <sz val="8"/>
        <color rgb="FF222222"/>
        <rFont val="Verdana"/>
        <family val="2"/>
      </rPr>
      <t>, </t>
    </r>
    <r>
      <rPr>
        <b/>
        <i/>
        <vertAlign val="superscript"/>
        <sz val="8"/>
        <color rgb="FF5A306B"/>
        <rFont val="Verdana"/>
        <family val="2"/>
      </rPr>
      <t>6</t>
    </r>
  </si>
  <si>
    <t>orig</t>
  </si>
  <si>
    <t>Industrial aggregate excluding unclassified businesses 6 7</t>
  </si>
  <si>
    <t>848.77A</t>
  </si>
  <si>
    <t>881.36A</t>
  </si>
  <si>
    <t>893.40A</t>
  </si>
  <si>
    <t>906.07A</t>
  </si>
  <si>
    <t>919.91A</t>
  </si>
  <si>
    <t>938.16A</t>
  </si>
  <si>
    <t>962.75A</t>
  </si>
  <si>
    <t>973.66A</t>
  </si>
  <si>
    <t>992.42A</t>
  </si>
  <si>
    <t>1,021.40A</t>
  </si>
  <si>
    <t>1,049.11A</t>
  </si>
  <si>
    <t xml:space="preserve">1,125.87B	</t>
  </si>
  <si>
    <t>1,165.62B</t>
  </si>
  <si>
    <t>1,193.26B</t>
  </si>
  <si>
    <t>1,231.95B</t>
  </si>
  <si>
    <t>NAICS [18]</t>
  </si>
  <si>
    <t>Footnotes:</t>
  </si>
  <si>
    <t>Data quality indicators are based on the coefficient of variation (CV). Quality indicators indicate the following: A - Excellent (CV from 0% to 4.99%); B - Very good (CV from 5% to 9.99%); C - Good (CV from 10% to 14.99%); D - Acceptable (CV from 15% to 24.99%); E - Use with caution (CV from 25% to 34.99%); F - Too unreliable to publish (CV greater than or equal to 35% or sample size is too small to produce reliable estimates).</t>
  </si>
  <si>
    <t>The introduction of administrative data in 2001 and the associated change in methodology resulted in level shifts for some series. This affects the comparability of pre- and post-2001 estimates.</t>
  </si>
  <si>
    <t>Earnings data are based on gross payroll before source deductions.</t>
  </si>
  <si>
    <t>Industry estimates in this table are based on the 2017 North American Industry Classification System (NAICS) Version 3.0.</t>
  </si>
  <si>
    <t>"All employees" is the sum of employees paid by the hour, salaried employees and other employees.</t>
  </si>
  <si>
    <t>Industrial aggregate covers all industrial sectors except those primarily involved in agriculture, fishing and trapping, private household services, religious organisations and the military personnel of the defence services.</t>
  </si>
  <si>
    <t>Unclassified businesses (00) are businesses for which the industrial classification (North American Industry Classification System [NAICS] 2017 Version 3.0) has yet to be determined.</t>
  </si>
  <si>
    <t>How to cite: Statistics Canada. Table null Average weekly earnings by industry, annual</t>
  </si>
  <si>
    <t>https://www150.statcan.gc.ca/t1/tbl1/en/tv.action?pid=1410020401</t>
  </si>
  <si>
    <t>Table: 36-10-0223-01 (formerly CANSIM 384-0039)</t>
  </si>
  <si>
    <t>Implicit price indexes, gross domestic product, provincial and territorial</t>
  </si>
  <si>
    <t>annual (2017=100)</t>
  </si>
  <si>
    <t>Geography: Canada, Province or territory</t>
  </si>
  <si>
    <t>Index = Implicit price indexes</t>
  </si>
  <si>
    <t>Estimates = Final domestic demand</t>
  </si>
  <si>
    <t>Geography</t>
  </si>
  <si>
    <t>Estimates</t>
  </si>
  <si>
    <t>Canada 1</t>
  </si>
  <si>
    <t>Final domestic demand</t>
  </si>
  <si>
    <t>Canada totals in the provincial and territorial gross domestic product by income and by expenditure accounts (PTEA) do not correspond to the national gross domestic product by income and by expenditure accounts (IEA) estimates at certain times of the year. The two accounts are brought back in line when annual revisions are incorporated.</t>
  </si>
  <si>
    <t>How to cite: Statistics Canada. Table null Implicit price indexes, gross domestic product, provincial and territorial</t>
  </si>
  <si>
    <t>https://www150.statcan.gc.ca/t1/tbl1/en/tv.action?pid=3610022301</t>
  </si>
  <si>
    <t>Employment Cost Index</t>
  </si>
  <si>
    <t>Table 1.1.9. Implicit Price Deflators for Gross Domestic Product</t>
  </si>
  <si>
    <t>Original Data Value</t>
  </si>
  <si>
    <t>[Index numbers, 2017=100]</t>
  </si>
  <si>
    <t>Bureau of Economic Analysis</t>
  </si>
  <si>
    <t>Series Id:</t>
  </si>
  <si>
    <t>CIU2024400000000I</t>
  </si>
  <si>
    <t>Last Revised on: Q4 2024</t>
  </si>
  <si>
    <t>Series Title:</t>
  </si>
  <si>
    <t>Wages and salaries for Private industry workers in Utilities, Index</t>
  </si>
  <si>
    <t>accessed on December 19, 2024</t>
  </si>
  <si>
    <t xml:space="preserve">source: </t>
  </si>
  <si>
    <t>https://apps.bea.gov/iTable/iTable.cfm?reqid=19&amp;step=3&amp;isuri=1&amp;1921=survey&amp;1903=13#reqid=19&amp;step=3&amp;isuri=1&amp;1921=survey&amp;1903=13</t>
  </si>
  <si>
    <t>Ownership:</t>
  </si>
  <si>
    <t>Private industry workers</t>
  </si>
  <si>
    <t>Component:</t>
  </si>
  <si>
    <t>Wages and salaries</t>
  </si>
  <si>
    <t>Occupation:</t>
  </si>
  <si>
    <t>All workers</t>
  </si>
  <si>
    <t>Industry:</t>
  </si>
  <si>
    <t>Subcategory:</t>
  </si>
  <si>
    <t>Area:</t>
  </si>
  <si>
    <t>United States (National)</t>
  </si>
  <si>
    <t>Periodicity:</t>
  </si>
  <si>
    <t>Index number</t>
  </si>
  <si>
    <t>Years:</t>
  </si>
  <si>
    <t>2001 to 2024</t>
  </si>
  <si>
    <t>Source:</t>
  </si>
  <si>
    <t>http://data.bls.gov/timeseries/CIU2024400000000I</t>
  </si>
  <si>
    <t>Gross domestic product</t>
  </si>
  <si>
    <t>Line</t>
  </si>
  <si>
    <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</si>
  <si>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</si>
  <si>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</si>
  <si>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</si>
  <si>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</si>
  <si>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</si>
  <si>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</si>
  <si>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</si>
  <si>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</si>
  <si>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</si>
  <si>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</si>
  <si>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</si>
  <si>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</si>
  <si>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</si>
  <si>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</si>
  <si>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</si>
  <si>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</si>
  <si>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</si>
  <si>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</si>
  <si>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</si>
  <si>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</si>
  <si>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</si>
  <si>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</si>
  <si>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</si>
  <si>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</si>
  <si>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Qtr1</t>
  </si>
  <si>
    <t>Qtr2</t>
  </si>
  <si>
    <t>Qtr3</t>
  </si>
  <si>
    <t>Qtr4</t>
  </si>
  <si>
    <t>Annual</t>
  </si>
  <si>
    <t>1</t>
  </si>
  <si>
    <t xml:space="preserve">        Gross domestic product</t>
  </si>
  <si>
    <t>2</t>
  </si>
  <si>
    <t>Personal consumption expenditures</t>
  </si>
  <si>
    <t>3</t>
  </si>
  <si>
    <t xml:space="preserve">    Goods</t>
  </si>
  <si>
    <t>4</t>
  </si>
  <si>
    <t xml:space="preserve">        Durable goods</t>
  </si>
  <si>
    <t>5</t>
  </si>
  <si>
    <t xml:space="preserve">        Nondurable goods</t>
  </si>
  <si>
    <t>6</t>
  </si>
  <si>
    <t xml:space="preserve">    Services</t>
  </si>
  <si>
    <t>7</t>
  </si>
  <si>
    <t>Gross private domestic investment</t>
  </si>
  <si>
    <t>8</t>
  </si>
  <si>
    <t xml:space="preserve">    Fixed investment</t>
  </si>
  <si>
    <t>9</t>
  </si>
  <si>
    <t xml:space="preserve">        Nonresidential</t>
  </si>
  <si>
    <t>10</t>
  </si>
  <si>
    <t xml:space="preserve">            Structures</t>
  </si>
  <si>
    <t>11</t>
  </si>
  <si>
    <t xml:space="preserve">            Equipment</t>
  </si>
  <si>
    <t>12</t>
  </si>
  <si>
    <t xml:space="preserve">            Intellectual property products</t>
  </si>
  <si>
    <t>13</t>
  </si>
  <si>
    <t xml:space="preserve">        Residential</t>
  </si>
  <si>
    <t>14</t>
  </si>
  <si>
    <t xml:space="preserve">    Change in private inventories</t>
  </si>
  <si>
    <t>---</t>
  </si>
  <si>
    <t>15</t>
  </si>
  <si>
    <t>Net exports of goods and services</t>
  </si>
  <si>
    <t>16</t>
  </si>
  <si>
    <t xml:space="preserve">    Exports</t>
  </si>
  <si>
    <t>17</t>
  </si>
  <si>
    <t xml:space="preserve">        Goods</t>
  </si>
  <si>
    <t>18</t>
  </si>
  <si>
    <t xml:space="preserve">        Services</t>
  </si>
  <si>
    <t>19</t>
  </si>
  <si>
    <t xml:space="preserve">    Imports</t>
  </si>
  <si>
    <t>20</t>
  </si>
  <si>
    <t>21</t>
  </si>
  <si>
    <t>22</t>
  </si>
  <si>
    <t>Government consumption expenditures and gross investment</t>
  </si>
  <si>
    <t>23</t>
  </si>
  <si>
    <t xml:space="preserve">    Federal</t>
  </si>
  <si>
    <t>24</t>
  </si>
  <si>
    <t xml:space="preserve">        National defense</t>
  </si>
  <si>
    <t>25</t>
  </si>
  <si>
    <t xml:space="preserve">        Nondefense</t>
  </si>
  <si>
    <t>26</t>
  </si>
  <si>
    <t xml:space="preserve">    State and local</t>
  </si>
  <si>
    <t>Addendum:</t>
  </si>
  <si>
    <t>27</t>
  </si>
  <si>
    <t xml:space="preserve">    Gross national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</si>
</sst>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
    <numFmt numFmtId="166" formatCode="0.0%"/>
    <numFmt numFmtId="167" formatCode="_(* #,##0.000_);_(* \(#,##0.000\);_(* &quot;-&quot;??_);_(@_)"/>
    <numFmt numFmtId="168" formatCode="#0.0"/>
    <numFmt numFmtId="169" formatCode="0.000000%"/>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Book Antiqua"/>
      <family val="1"/>
    </font>
    <font>
      <sz val="10"/>
      <name val="Book Antiqua"/>
      <family val="1"/>
    </font>
    <font>
      <sz val="10"/>
      <name val="Arial"/>
      <family val="2"/>
    </font>
    <font>
      <b/>
      <sz val="10"/>
      <name val="Book Antiqua"/>
      <family val="1"/>
    </font>
    <font>
      <sz val="10"/>
      <color theme="0"/>
      <name val="Book Antiqua"/>
      <family val="1"/>
    </font>
    <font>
      <b/>
      <sz val="12"/>
      <color theme="0"/>
      <name val="Arial"/>
      <family val="2"/>
    </font>
    <font>
      <sz val="12"/>
      <name val="Arial"/>
      <family val="2"/>
    </font>
    <font>
      <b/>
      <i/>
      <sz val="10"/>
      <color theme="9"/>
      <name val="Arial"/>
      <family val="2"/>
    </font>
    <font>
      <b/>
      <i/>
      <sz val="10"/>
      <name val="Book Antiqua"/>
      <family val="1"/>
    </font>
    <font>
      <b/>
      <sz val="10"/>
      <color rgb="FF000000"/>
      <name val="Verdana"/>
      <family val="2"/>
    </font>
    <font>
      <b/>
      <sz val="10"/>
      <color rgb="FF333333"/>
      <name val="Arial"/>
      <family val="2"/>
    </font>
    <font>
      <b/>
      <sz val="11"/>
      <color rgb="FF333333"/>
      <name val="Arial"/>
      <family val="2"/>
    </font>
    <font>
      <b/>
      <sz val="10"/>
      <color rgb="FF333333"/>
      <name val="Verdana"/>
      <family val="2"/>
    </font>
    <font>
      <sz val="10"/>
      <color rgb="FF000000"/>
      <name val="Verdana"/>
      <family val="2"/>
    </font>
    <font>
      <b/>
      <i/>
      <sz val="10"/>
      <color rgb="FF222222"/>
      <name val="Verdana"/>
      <family val="2"/>
    </font>
    <font>
      <b/>
      <i/>
      <vertAlign val="superscript"/>
      <sz val="8"/>
      <color rgb="FF222222"/>
      <name val="Verdana"/>
      <family val="2"/>
    </font>
    <font>
      <b/>
      <i/>
      <vertAlign val="superscript"/>
      <sz val="8"/>
      <color rgb="FF5A306B"/>
      <name val="Verdana"/>
      <family val="2"/>
    </font>
    <font>
      <b/>
      <sz val="10"/>
      <color rgb="FF222222"/>
      <name val="Verdana"/>
      <family val="2"/>
    </font>
    <font>
      <b/>
      <u/>
      <sz val="10"/>
      <color rgb="FF666666"/>
      <name val="Verdana"/>
      <family val="2"/>
    </font>
    <font>
      <u/>
      <sz val="10"/>
      <color indexed="12"/>
      <name val="Arial"/>
      <family val="2"/>
    </font>
    <font>
      <b/>
      <i/>
      <sz val="11"/>
      <color theme="9" tint="-0.249977111117893"/>
      <name val="Book Antiqua"/>
      <family val="1"/>
    </font>
    <font>
      <sz val="10"/>
      <color theme="8"/>
      <name val="Arial"/>
      <family val="2"/>
    </font>
    <font>
      <b/>
      <sz val="11"/>
      <color theme="1"/>
      <name val="Calibri"/>
      <family val="2"/>
      <scheme val="minor"/>
    </font>
    <font>
      <u/>
      <sz val="11"/>
      <color theme="10"/>
      <name val="Calibri"/>
      <family val="2"/>
      <scheme val="minor"/>
    </font>
    <font>
      <b/>
      <sz val="14"/>
      <name val="Arial"/>
      <family val="2"/>
    </font>
    <font>
      <b/>
      <sz val="11"/>
      <color theme="0"/>
      <name val="Calibri"/>
      <family val="2"/>
      <scheme val="minor"/>
    </font>
    <font>
      <sz val="9"/>
      <color theme="1"/>
      <name val="Lucida Sans"/>
      <family val="2"/>
    </font>
    <font>
      <sz val="10"/>
      <color theme="8"/>
      <name val="Book Antiqua"/>
      <family val="1"/>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Book Antiqua"/>
      <family val="1"/>
    </font>
    <font>
      <b/>
      <u/>
      <sz val="10"/>
      <color theme="1"/>
      <name val="Book Antiqua"/>
      <family val="1"/>
    </font>
    <font>
      <sz val="10"/>
      <color theme="1"/>
      <name val="Book Antiqua"/>
      <family val="1"/>
    </font>
    <font>
      <sz val="10"/>
      <name val="Arial"/>
      <family val="2"/>
    </font>
    <font>
      <sz val="11"/>
      <color indexed="8"/>
      <name val="Calibri"/>
      <family val="2"/>
      <scheme val="minor"/>
    </font>
    <font>
      <b/>
      <sz val="12"/>
      <color indexed="8"/>
      <name val="Arial"/>
      <family val="2"/>
    </font>
    <font>
      <sz val="10"/>
      <color indexed="8"/>
      <name val="Arial"/>
      <family val="2"/>
    </font>
    <font>
      <b/>
      <sz val="10"/>
      <color indexed="8"/>
      <name val="Arial"/>
      <family val="2"/>
    </font>
    <font>
      <i/>
      <sz val="11"/>
      <color theme="1"/>
      <name val="Calibri"/>
      <family val="2"/>
      <scheme val="minor"/>
    </font>
    <font>
      <i/>
      <sz val="10"/>
      <name val="Arial"/>
      <family val="2"/>
    </font>
    <font>
      <b/>
      <i/>
      <sz val="11"/>
      <color theme="1"/>
      <name val="Calibri"/>
      <family val="2"/>
      <scheme val="minor"/>
    </font>
    <font>
      <sz val="10"/>
      <name val="Arial"/>
      <family val="2"/>
    </font>
    <font>
      <sz val="10"/>
      <color rgb="FF0070C0"/>
      <name val="Book Antiqua"/>
      <family val="1"/>
    </font>
    <font>
      <sz val="10"/>
      <color rgb="FF00B050"/>
      <name val="Book Antiqua"/>
      <family val="1"/>
    </font>
    <font>
      <sz val="10"/>
      <color rgb="FF00B050"/>
      <name val="Arial"/>
      <family val="2"/>
    </font>
    <font>
      <sz val="10"/>
      <color rgb="FF00B050"/>
      <name val="Verdana"/>
      <family val="2"/>
    </font>
    <font>
      <sz val="10"/>
      <color rgb="FFFF0000"/>
      <name val="Book Antiqua"/>
      <family val="1"/>
    </font>
    <font>
      <sz val="10"/>
      <name val="Verdana"/>
      <family val="2"/>
    </font>
    <font>
      <b/>
      <sz val="10"/>
      <color indexed="9"/>
      <name val="Arial"/>
      <family val="2"/>
    </font>
    <font>
      <b/>
      <sz val="10"/>
      <name val="Arial"/>
      <family val="2"/>
    </font>
    <font>
      <sz val="13"/>
      <color rgb="FFFF0000"/>
      <name val="Arial"/>
      <family val="2"/>
    </font>
    <font>
      <b/>
      <sz val="10"/>
      <color rgb="FFFF0000"/>
      <name val="Verdana"/>
      <family val="2"/>
    </font>
    <font>
      <sz val="8"/>
      <name val="Arial"/>
      <family val="2"/>
    </font>
    <font>
      <sz val="9"/>
      <name val="Segoe UI"/>
      <family val="2"/>
    </font>
    <font>
      <sz val="8"/>
      <name val="Arial"/>
      <family val="2"/>
    </font>
  </fonts>
  <fills count="5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4"/>
        <bgColor indexed="64"/>
      </patternFill>
    </fill>
    <fill>
      <patternFill patternType="solid">
        <fgColor rgb="FFFFFF99"/>
        <bgColor indexed="64"/>
      </patternFill>
    </fill>
    <fill>
      <patternFill patternType="solid">
        <fgColor theme="4" tint="0.79998168889431442"/>
        <bgColor indexed="64"/>
      </patternFill>
    </fill>
    <fill>
      <patternFill patternType="solid">
        <fgColor rgb="FFEEEEEE"/>
        <bgColor indexed="64"/>
      </patternFill>
    </fill>
    <fill>
      <patternFill patternType="solid">
        <fgColor rgb="FFFFFFFF"/>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indexed="56"/>
        <bgColor indexed="23"/>
      </patternFill>
    </fill>
    <fill>
      <patternFill patternType="solid">
        <fgColor rgb="FFFF66F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rgb="FFD4D4D4"/>
      </left>
      <right style="medium">
        <color rgb="FFD4D4D4"/>
      </right>
      <top style="medium">
        <color rgb="FFD4D4D4"/>
      </top>
      <bottom style="medium">
        <color rgb="FFD4D4D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9"/>
      </left>
      <right style="thin">
        <color indexed="9"/>
      </right>
      <top style="thin">
        <color indexed="9"/>
      </top>
      <bottom style="thin">
        <color indexed="9"/>
      </bottom>
      <diagonal/>
    </border>
    <border>
      <left style="medium">
        <color indexed="64"/>
      </left>
      <right/>
      <top/>
      <bottom style="thin">
        <color indexed="64"/>
      </bottom>
      <diagonal/>
    </border>
    <border>
      <left/>
      <right style="medium">
        <color indexed="64"/>
      </right>
      <top/>
      <bottom style="thin">
        <color indexed="64"/>
      </bottom>
      <diagonal/>
    </border>
  </borders>
  <cellStyleXfs count="85">
    <xf numFmtId="0" fontId="0" fillId="0" borderId="0"/>
    <xf numFmtId="43" fontId="8" fillId="0" borderId="0" applyFont="0" applyFill="0" applyBorder="0" applyAlignment="0" applyProtection="0"/>
    <xf numFmtId="9" fontId="8" fillId="0" borderId="0" applyFont="0" applyFill="0" applyBorder="0" applyAlignment="0" applyProtection="0"/>
    <xf numFmtId="0" fontId="25" fillId="0" borderId="0" applyNumberFormat="0" applyFill="0" applyBorder="0" applyAlignment="0" applyProtection="0">
      <alignment vertical="top"/>
      <protection locked="0"/>
    </xf>
    <xf numFmtId="0" fontId="5" fillId="0" borderId="0"/>
    <xf numFmtId="43" fontId="5" fillId="0" borderId="0" applyFont="0" applyFill="0" applyBorder="0" applyAlignment="0" applyProtection="0"/>
    <xf numFmtId="9" fontId="5" fillId="0" borderId="0" applyFont="0" applyFill="0" applyBorder="0" applyAlignment="0" applyProtection="0"/>
    <xf numFmtId="0" fontId="29" fillId="0" borderId="0" applyNumberFormat="0" applyFill="0" applyBorder="0" applyAlignment="0" applyProtection="0"/>
    <xf numFmtId="0" fontId="8" fillId="0" borderId="0"/>
    <xf numFmtId="0" fontId="32" fillId="0" borderId="0"/>
    <xf numFmtId="9" fontId="4" fillId="0" borderId="0" applyFont="0" applyFill="0" applyBorder="0" applyAlignment="0" applyProtection="0"/>
    <xf numFmtId="43" fontId="32" fillId="0" borderId="0" applyFont="0" applyFill="0" applyBorder="0" applyAlignment="0" applyProtection="0"/>
    <xf numFmtId="0" fontId="34" fillId="0" borderId="0" applyNumberFormat="0" applyFill="0" applyBorder="0" applyAlignment="0" applyProtection="0"/>
    <xf numFmtId="0" fontId="35" fillId="0" borderId="22" applyNumberFormat="0" applyFill="0" applyAlignment="0" applyProtection="0"/>
    <xf numFmtId="0" fontId="36" fillId="0" borderId="23" applyNumberFormat="0" applyFill="0" applyAlignment="0" applyProtection="0"/>
    <xf numFmtId="0" fontId="37" fillId="0" borderId="24" applyNumberFormat="0" applyFill="0" applyAlignment="0" applyProtection="0"/>
    <xf numFmtId="0" fontId="37" fillId="0" borderId="0" applyNumberFormat="0" applyFill="0" applyBorder="0" applyAlignment="0" applyProtection="0"/>
    <xf numFmtId="0" fontId="38" fillId="16" borderId="0" applyNumberFormat="0" applyBorder="0" applyAlignment="0" applyProtection="0"/>
    <xf numFmtId="0" fontId="39" fillId="17" borderId="0" applyNumberFormat="0" applyBorder="0" applyAlignment="0" applyProtection="0"/>
    <xf numFmtId="0" fontId="40" fillId="18" borderId="0" applyNumberFormat="0" applyBorder="0" applyAlignment="0" applyProtection="0"/>
    <xf numFmtId="0" fontId="41" fillId="19" borderId="25" applyNumberFormat="0" applyAlignment="0" applyProtection="0"/>
    <xf numFmtId="0" fontId="42" fillId="20" borderId="26" applyNumberFormat="0" applyAlignment="0" applyProtection="0"/>
    <xf numFmtId="0" fontId="43" fillId="20" borderId="25" applyNumberFormat="0" applyAlignment="0" applyProtection="0"/>
    <xf numFmtId="0" fontId="44" fillId="0" borderId="27" applyNumberFormat="0" applyFill="0" applyAlignment="0" applyProtection="0"/>
    <xf numFmtId="0" fontId="31" fillId="21" borderId="28"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28" fillId="0" borderId="30" applyNumberFormat="0" applyFill="0" applyAlignment="0" applyProtection="0"/>
    <xf numFmtId="0" fontId="47"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47" fillId="46" borderId="0" applyNumberFormat="0" applyBorder="0" applyAlignment="0" applyProtection="0"/>
    <xf numFmtId="0" fontId="3" fillId="0" borderId="0"/>
    <xf numFmtId="43" fontId="3" fillId="0" borderId="0" applyFont="0" applyFill="0" applyBorder="0" applyAlignment="0" applyProtection="0"/>
    <xf numFmtId="0" fontId="3" fillId="22" borderId="29" applyNumberFormat="0" applyFont="0" applyAlignment="0" applyProtection="0"/>
    <xf numFmtId="0" fontId="2" fillId="0" borderId="0"/>
    <xf numFmtId="0" fontId="51" fillId="0" borderId="0"/>
    <xf numFmtId="0" fontId="52" fillId="0" borderId="0"/>
    <xf numFmtId="0" fontId="1" fillId="0" borderId="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59" fillId="0" borderId="0"/>
    <xf numFmtId="43" fontId="8" fillId="0" borderId="0" applyFont="0" applyFill="0" applyBorder="0" applyAlignment="0" applyProtection="0"/>
    <xf numFmtId="9" fontId="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29" applyNumberFormat="0" applyFont="0" applyAlignment="0" applyProtection="0"/>
    <xf numFmtId="0" fontId="1" fillId="0" borderId="0"/>
    <xf numFmtId="0" fontId="8" fillId="0" borderId="0"/>
    <xf numFmtId="0" fontId="8" fillId="0" borderId="0"/>
    <xf numFmtId="9" fontId="32" fillId="0" borderId="0" applyFont="0" applyFill="0" applyBorder="0" applyAlignment="0" applyProtection="0"/>
  </cellStyleXfs>
  <cellXfs count="339">
    <xf numFmtId="0" fontId="0" fillId="0" borderId="0" xfId="0"/>
    <xf numFmtId="0" fontId="7" fillId="0" borderId="0" xfId="0" applyFont="1"/>
    <xf numFmtId="0" fontId="7" fillId="0" borderId="0" xfId="0" applyFont="1" applyAlignment="1">
      <alignment horizontal="center" vertical="center"/>
    </xf>
    <xf numFmtId="164" fontId="7" fillId="0" borderId="0" xfId="1" applyNumberFormat="1" applyFont="1" applyAlignment="1">
      <alignment horizontal="center" vertical="center"/>
    </xf>
    <xf numFmtId="43" fontId="7" fillId="0" borderId="0" xfId="0" applyNumberFormat="1" applyFont="1" applyAlignment="1">
      <alignment horizontal="center" vertical="center"/>
    </xf>
    <xf numFmtId="43" fontId="7" fillId="0" borderId="0" xfId="1" applyFont="1" applyAlignment="1">
      <alignment horizontal="center" vertical="center"/>
    </xf>
    <xf numFmtId="2" fontId="7" fillId="0" borderId="0" xfId="0" applyNumberFormat="1" applyFont="1"/>
    <xf numFmtId="165" fontId="7" fillId="0" borderId="0" xfId="0" applyNumberFormat="1" applyFont="1"/>
    <xf numFmtId="164" fontId="7" fillId="0" borderId="0" xfId="1" applyNumberFormat="1" applyFont="1"/>
    <xf numFmtId="43" fontId="7" fillId="0" borderId="0" xfId="1" applyFont="1"/>
    <xf numFmtId="2" fontId="7" fillId="0" borderId="4" xfId="0" applyNumberFormat="1" applyFont="1" applyBorder="1"/>
    <xf numFmtId="0" fontId="7" fillId="0" borderId="8" xfId="0" applyFont="1" applyBorder="1" applyAlignment="1">
      <alignment horizontal="center" vertical="center"/>
    </xf>
    <xf numFmtId="0" fontId="6" fillId="4" borderId="0" xfId="0" applyFont="1" applyFill="1" applyAlignment="1">
      <alignment horizontal="center" vertical="center"/>
    </xf>
    <xf numFmtId="9" fontId="7" fillId="0" borderId="0" xfId="2" applyFont="1" applyAlignment="1">
      <alignment horizontal="center" vertical="center"/>
    </xf>
    <xf numFmtId="0" fontId="8" fillId="0" borderId="0" xfId="0" applyFont="1"/>
    <xf numFmtId="9" fontId="8" fillId="0" borderId="0" xfId="0" applyNumberFormat="1" applyFont="1"/>
    <xf numFmtId="0" fontId="7" fillId="0" borderId="0" xfId="0" applyFont="1" applyAlignment="1">
      <alignment horizontal="center"/>
    </xf>
    <xf numFmtId="2" fontId="7" fillId="0" borderId="0" xfId="0" applyNumberFormat="1" applyFont="1" applyAlignment="1">
      <alignment horizontal="center"/>
    </xf>
    <xf numFmtId="43" fontId="7" fillId="0" borderId="0" xfId="1" applyFont="1" applyAlignment="1">
      <alignment horizontal="center"/>
    </xf>
    <xf numFmtId="0" fontId="11" fillId="2" borderId="0" xfId="0" applyFont="1" applyFill="1"/>
    <xf numFmtId="0" fontId="12" fillId="2" borderId="0" xfId="0" applyFont="1" applyFill="1"/>
    <xf numFmtId="0" fontId="11" fillId="0" borderId="0" xfId="0" applyFont="1"/>
    <xf numFmtId="0" fontId="12" fillId="0" borderId="0" xfId="0" applyFont="1"/>
    <xf numFmtId="0" fontId="13" fillId="0" borderId="0" xfId="0" applyFont="1"/>
    <xf numFmtId="0" fontId="14" fillId="6" borderId="0" xfId="0" applyFont="1" applyFill="1"/>
    <xf numFmtId="0" fontId="0" fillId="6" borderId="0" xfId="0" applyFill="1"/>
    <xf numFmtId="0" fontId="15" fillId="6" borderId="0" xfId="0" applyFont="1" applyFill="1"/>
    <xf numFmtId="0" fontId="16" fillId="6" borderId="0" xfId="0" applyFont="1" applyFill="1"/>
    <xf numFmtId="0" fontId="18" fillId="0" borderId="0" xfId="0" applyFont="1"/>
    <xf numFmtId="0" fontId="19" fillId="0" borderId="0" xfId="0" applyFont="1"/>
    <xf numFmtId="0" fontId="20" fillId="0" borderId="0" xfId="0" applyFont="1"/>
    <xf numFmtId="0" fontId="23" fillId="7" borderId="9" xfId="0" applyFont="1" applyFill="1" applyBorder="1" applyAlignment="1">
      <alignment horizontal="center" vertical="top"/>
    </xf>
    <xf numFmtId="0" fontId="23" fillId="7" borderId="9" xfId="0" applyFont="1" applyFill="1" applyBorder="1" applyAlignment="1">
      <alignment horizontal="center" vertical="top" wrapText="1"/>
    </xf>
    <xf numFmtId="0" fontId="23" fillId="7" borderId="9" xfId="0" applyFont="1" applyFill="1" applyBorder="1" applyAlignment="1">
      <alignment horizontal="left" vertical="top"/>
    </xf>
    <xf numFmtId="0" fontId="23" fillId="8" borderId="9" xfId="0" applyFont="1" applyFill="1" applyBorder="1" applyAlignment="1">
      <alignment horizontal="left" vertical="center"/>
    </xf>
    <xf numFmtId="0" fontId="24" fillId="0" borderId="0" xfId="0" applyFont="1" applyAlignment="1">
      <alignment horizontal="left"/>
    </xf>
    <xf numFmtId="0" fontId="15" fillId="0" borderId="0" xfId="0" applyFont="1" applyAlignment="1">
      <alignment horizontal="right" vertical="center"/>
    </xf>
    <xf numFmtId="0" fontId="19" fillId="0" borderId="0" xfId="0" applyFont="1" applyAlignment="1">
      <alignment horizontal="left" vertical="center"/>
    </xf>
    <xf numFmtId="0" fontId="0" fillId="0" borderId="10" xfId="0" applyBorder="1"/>
    <xf numFmtId="0" fontId="26" fillId="6" borderId="0" xfId="0" applyFont="1" applyFill="1"/>
    <xf numFmtId="0" fontId="17" fillId="6" borderId="0" xfId="0" applyFont="1" applyFill="1"/>
    <xf numFmtId="166" fontId="7" fillId="0" borderId="0" xfId="2" applyNumberFormat="1" applyFont="1"/>
    <xf numFmtId="0" fontId="6" fillId="9" borderId="0" xfId="0" applyFont="1" applyFill="1"/>
    <xf numFmtId="0" fontId="6" fillId="9" borderId="0" xfId="0" applyFont="1" applyFill="1" applyAlignment="1">
      <alignment horizontal="center" vertical="center"/>
    </xf>
    <xf numFmtId="0" fontId="7" fillId="10" borderId="0" xfId="0" applyFont="1" applyFill="1" applyAlignment="1">
      <alignment horizontal="center" vertical="center"/>
    </xf>
    <xf numFmtId="0" fontId="7" fillId="10" borderId="8" xfId="0" applyFont="1" applyFill="1" applyBorder="1" applyAlignment="1">
      <alignment horizontal="center" vertical="center"/>
    </xf>
    <xf numFmtId="164" fontId="7" fillId="10" borderId="0" xfId="1" applyNumberFormat="1" applyFont="1" applyFill="1" applyAlignment="1">
      <alignment horizontal="center" vertical="center"/>
    </xf>
    <xf numFmtId="0" fontId="7" fillId="11" borderId="0" xfId="0" applyFont="1" applyFill="1" applyAlignment="1">
      <alignment horizontal="center" vertical="center"/>
    </xf>
    <xf numFmtId="0" fontId="7" fillId="11" borderId="8" xfId="0" applyFont="1" applyFill="1" applyBorder="1" applyAlignment="1">
      <alignment horizontal="center" vertical="center"/>
    </xf>
    <xf numFmtId="164" fontId="7" fillId="11" borderId="0" xfId="1" applyNumberFormat="1" applyFont="1" applyFill="1" applyAlignment="1">
      <alignment horizontal="center" vertical="center"/>
    </xf>
    <xf numFmtId="9" fontId="7" fillId="11" borderId="0" xfId="2" applyFont="1" applyFill="1" applyAlignment="1">
      <alignment horizontal="center" vertical="center"/>
    </xf>
    <xf numFmtId="9" fontId="7" fillId="10" borderId="0" xfId="2" applyFont="1" applyFill="1" applyAlignment="1">
      <alignment horizontal="center" vertical="center"/>
    </xf>
    <xf numFmtId="0" fontId="6" fillId="9" borderId="0" xfId="0" applyFont="1" applyFill="1" applyAlignment="1">
      <alignment horizontal="center" vertical="center" wrapText="1"/>
    </xf>
    <xf numFmtId="0" fontId="7" fillId="9" borderId="0" xfId="0" applyFont="1" applyFill="1" applyAlignment="1">
      <alignment horizontal="center" vertical="center"/>
    </xf>
    <xf numFmtId="0" fontId="10" fillId="9" borderId="0" xfId="0" applyFont="1" applyFill="1" applyAlignment="1">
      <alignment horizontal="center" vertical="center"/>
    </xf>
    <xf numFmtId="0" fontId="10" fillId="9" borderId="8" xfId="0" applyFont="1" applyFill="1" applyBorder="1" applyAlignment="1">
      <alignment horizontal="center" vertical="center"/>
    </xf>
    <xf numFmtId="0" fontId="6" fillId="9" borderId="8" xfId="0" applyFont="1" applyFill="1" applyBorder="1" applyAlignment="1">
      <alignment horizontal="center" vertical="center"/>
    </xf>
    <xf numFmtId="9" fontId="27" fillId="5" borderId="0" xfId="0" applyNumberFormat="1" applyFont="1" applyFill="1"/>
    <xf numFmtId="9" fontId="0" fillId="0" borderId="0" xfId="2" applyFont="1"/>
    <xf numFmtId="0" fontId="7" fillId="9" borderId="0" xfId="0" applyFont="1" applyFill="1"/>
    <xf numFmtId="0" fontId="9" fillId="0" borderId="17" xfId="0" applyFont="1" applyBorder="1" applyAlignment="1">
      <alignment horizontal="center" vertical="center"/>
    </xf>
    <xf numFmtId="0" fontId="7" fillId="9" borderId="1"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5" xfId="0" applyFont="1" applyFill="1" applyBorder="1" applyAlignment="1">
      <alignment horizontal="center" vertical="center"/>
    </xf>
    <xf numFmtId="0" fontId="7" fillId="12" borderId="0" xfId="0" applyFont="1" applyFill="1" applyAlignment="1">
      <alignment horizontal="center" vertical="center"/>
    </xf>
    <xf numFmtId="43" fontId="7" fillId="0" borderId="0" xfId="1" applyFont="1" applyFill="1" applyAlignment="1">
      <alignment horizontal="center" vertical="center"/>
    </xf>
    <xf numFmtId="43" fontId="7" fillId="0" borderId="0" xfId="0" applyNumberFormat="1" applyFont="1"/>
    <xf numFmtId="0" fontId="9" fillId="13" borderId="0" xfId="0" applyFont="1" applyFill="1"/>
    <xf numFmtId="0" fontId="7" fillId="0" borderId="0" xfId="0" quotePrefix="1" applyFont="1"/>
    <xf numFmtId="0" fontId="19" fillId="8" borderId="0" xfId="0" applyFont="1" applyFill="1" applyAlignment="1">
      <alignment vertical="top"/>
    </xf>
    <xf numFmtId="10" fontId="19" fillId="8" borderId="0" xfId="2" applyNumberFormat="1" applyFont="1" applyFill="1" applyBorder="1" applyAlignment="1">
      <alignment vertical="top"/>
    </xf>
    <xf numFmtId="10" fontId="0" fillId="0" borderId="0" xfId="2" applyNumberFormat="1" applyFont="1"/>
    <xf numFmtId="9" fontId="7" fillId="0" borderId="0" xfId="0" applyNumberFormat="1" applyFont="1"/>
    <xf numFmtId="0" fontId="9" fillId="0" borderId="18" xfId="0" applyFont="1" applyBorder="1" applyAlignment="1">
      <alignment horizontal="center" vertical="center"/>
    </xf>
    <xf numFmtId="9" fontId="9" fillId="0" borderId="17" xfId="2" applyFont="1" applyBorder="1" applyAlignment="1">
      <alignment horizontal="center" vertical="center"/>
    </xf>
    <xf numFmtId="43" fontId="7" fillId="0" borderId="0" xfId="2" applyNumberFormat="1" applyFont="1" applyAlignment="1">
      <alignment horizontal="center" vertical="center"/>
    </xf>
    <xf numFmtId="10" fontId="9" fillId="3" borderId="15" xfId="2" applyNumberFormat="1" applyFont="1" applyFill="1" applyBorder="1"/>
    <xf numFmtId="166" fontId="7" fillId="13" borderId="0" xfId="2" applyNumberFormat="1" applyFont="1" applyFill="1"/>
    <xf numFmtId="166" fontId="7" fillId="13" borderId="0" xfId="2" applyNumberFormat="1" applyFont="1" applyFill="1" applyBorder="1"/>
    <xf numFmtId="166" fontId="7" fillId="13" borderId="5" xfId="2" applyNumberFormat="1" applyFont="1" applyFill="1" applyBorder="1"/>
    <xf numFmtId="166" fontId="9" fillId="13" borderId="0" xfId="2" applyNumberFormat="1" applyFont="1" applyFill="1"/>
    <xf numFmtId="2" fontId="7" fillId="12" borderId="0" xfId="0" applyNumberFormat="1" applyFont="1" applyFill="1"/>
    <xf numFmtId="165" fontId="7" fillId="12" borderId="0" xfId="0" applyNumberFormat="1" applyFont="1" applyFill="1"/>
    <xf numFmtId="0" fontId="7" fillId="12" borderId="0" xfId="0" applyFont="1" applyFill="1"/>
    <xf numFmtId="166" fontId="9" fillId="13" borderId="13" xfId="2" applyNumberFormat="1" applyFont="1" applyFill="1" applyBorder="1"/>
    <xf numFmtId="166" fontId="9" fillId="13" borderId="14" xfId="2" applyNumberFormat="1" applyFont="1" applyFill="1" applyBorder="1"/>
    <xf numFmtId="0" fontId="6" fillId="9" borderId="5" xfId="0" applyFont="1" applyFill="1" applyBorder="1" applyAlignment="1">
      <alignment horizontal="center" vertical="center" wrapText="1"/>
    </xf>
    <xf numFmtId="0" fontId="7" fillId="0" borderId="4" xfId="0" applyFont="1" applyBorder="1" applyAlignment="1">
      <alignment horizontal="center"/>
    </xf>
    <xf numFmtId="43" fontId="7" fillId="0" borderId="0" xfId="1" applyFont="1" applyBorder="1" applyAlignment="1">
      <alignment horizontal="center"/>
    </xf>
    <xf numFmtId="2" fontId="7" fillId="0" borderId="5" xfId="0" applyNumberFormat="1" applyFont="1" applyBorder="1" applyAlignment="1">
      <alignment horizontal="center"/>
    </xf>
    <xf numFmtId="0" fontId="8" fillId="0" borderId="1" xfId="0" applyFont="1" applyBorder="1"/>
    <xf numFmtId="0" fontId="8" fillId="0" borderId="3" xfId="0" applyFont="1" applyBorder="1"/>
    <xf numFmtId="0" fontId="8" fillId="0" borderId="4" xfId="0" applyFont="1" applyBorder="1"/>
    <xf numFmtId="0" fontId="8" fillId="0" borderId="5" xfId="0" applyFont="1" applyBorder="1"/>
    <xf numFmtId="0" fontId="6" fillId="9" borderId="4" xfId="0" applyFont="1" applyFill="1" applyBorder="1" applyAlignment="1">
      <alignment horizontal="center" vertical="center" wrapText="1"/>
    </xf>
    <xf numFmtId="0" fontId="0" fillId="0" borderId="5" xfId="0" applyBorder="1"/>
    <xf numFmtId="43" fontId="9" fillId="0" borderId="4" xfId="1" applyFont="1" applyBorder="1" applyAlignment="1">
      <alignment horizontal="center"/>
    </xf>
    <xf numFmtId="0" fontId="0" fillId="0" borderId="6" xfId="0" applyBorder="1"/>
    <xf numFmtId="166" fontId="9" fillId="13" borderId="7" xfId="2" applyNumberFormat="1" applyFont="1" applyFill="1" applyBorder="1"/>
    <xf numFmtId="166" fontId="9" fillId="13" borderId="20" xfId="0" applyNumberFormat="1" applyFont="1" applyFill="1" applyBorder="1"/>
    <xf numFmtId="166" fontId="9" fillId="13" borderId="21" xfId="0" applyNumberFormat="1" applyFont="1" applyFill="1" applyBorder="1"/>
    <xf numFmtId="0" fontId="9" fillId="15" borderId="0" xfId="0" applyFont="1" applyFill="1"/>
    <xf numFmtId="10" fontId="9" fillId="15" borderId="0" xfId="0" applyNumberFormat="1" applyFont="1" applyFill="1"/>
    <xf numFmtId="0" fontId="9" fillId="0" borderId="0" xfId="0" applyFont="1"/>
    <xf numFmtId="0" fontId="7" fillId="0" borderId="33" xfId="0" applyFont="1" applyBorder="1" applyAlignment="1">
      <alignment horizontal="center"/>
    </xf>
    <xf numFmtId="0" fontId="7" fillId="0" borderId="34" xfId="0" applyFont="1" applyBorder="1" applyAlignment="1">
      <alignment horizontal="center"/>
    </xf>
    <xf numFmtId="2" fontId="7" fillId="0" borderId="36" xfId="0" applyNumberFormat="1" applyFont="1" applyBorder="1" applyAlignment="1">
      <alignment horizontal="center"/>
    </xf>
    <xf numFmtId="10" fontId="9" fillId="3" borderId="0" xfId="0" applyNumberFormat="1" applyFont="1" applyFill="1"/>
    <xf numFmtId="10" fontId="9" fillId="13" borderId="17" xfId="2" applyNumberFormat="1" applyFont="1" applyFill="1" applyBorder="1"/>
    <xf numFmtId="0" fontId="0" fillId="11" borderId="0" xfId="0" applyFill="1"/>
    <xf numFmtId="43" fontId="7" fillId="12" borderId="0" xfId="1" applyFont="1" applyFill="1" applyAlignment="1">
      <alignment horizontal="center" vertical="center"/>
    </xf>
    <xf numFmtId="0" fontId="0" fillId="12" borderId="0" xfId="0" applyFill="1"/>
    <xf numFmtId="0" fontId="0" fillId="10" borderId="0" xfId="0" applyFill="1"/>
    <xf numFmtId="0" fontId="10" fillId="47" borderId="0" xfId="0" applyFont="1" applyFill="1"/>
    <xf numFmtId="0" fontId="48" fillId="47" borderId="0" xfId="0" applyFont="1" applyFill="1"/>
    <xf numFmtId="0" fontId="7" fillId="47" borderId="0" xfId="0" applyFont="1" applyFill="1"/>
    <xf numFmtId="0" fontId="9" fillId="12" borderId="0" xfId="0" applyFont="1" applyFill="1"/>
    <xf numFmtId="0" fontId="6" fillId="12" borderId="0" xfId="0" applyFont="1" applyFill="1" applyAlignment="1">
      <alignment horizontal="center" vertical="center"/>
    </xf>
    <xf numFmtId="43" fontId="7" fillId="12" borderId="0" xfId="0" applyNumberFormat="1" applyFont="1" applyFill="1"/>
    <xf numFmtId="0" fontId="10" fillId="48" borderId="0" xfId="0" applyFont="1" applyFill="1"/>
    <xf numFmtId="0" fontId="48" fillId="48" borderId="0" xfId="0" applyFont="1" applyFill="1"/>
    <xf numFmtId="0" fontId="7" fillId="49" borderId="0" xfId="0" applyFont="1" applyFill="1"/>
    <xf numFmtId="0" fontId="48" fillId="49" borderId="0" xfId="0" applyFont="1" applyFill="1"/>
    <xf numFmtId="10" fontId="7" fillId="12" borderId="0" xfId="2" applyNumberFormat="1" applyFont="1" applyFill="1" applyBorder="1"/>
    <xf numFmtId="10" fontId="9" fillId="3" borderId="17" xfId="2" applyNumberFormat="1" applyFont="1" applyFill="1" applyBorder="1"/>
    <xf numFmtId="0" fontId="50" fillId="50" borderId="0" xfId="0" applyFont="1" applyFill="1"/>
    <xf numFmtId="0" fontId="48" fillId="50" borderId="0" xfId="0" applyFont="1" applyFill="1"/>
    <xf numFmtId="166" fontId="7" fillId="0" borderId="0" xfId="2" applyNumberFormat="1" applyFont="1" applyFill="1" applyBorder="1"/>
    <xf numFmtId="166" fontId="9" fillId="0" borderId="17" xfId="2" applyNumberFormat="1" applyFont="1" applyFill="1" applyBorder="1"/>
    <xf numFmtId="0" fontId="7" fillId="52" borderId="0" xfId="0" applyFont="1" applyFill="1"/>
    <xf numFmtId="0" fontId="48" fillId="52" borderId="0" xfId="0" applyFont="1" applyFill="1"/>
    <xf numFmtId="0" fontId="7" fillId="51" borderId="0" xfId="0" applyFont="1" applyFill="1"/>
    <xf numFmtId="0" fontId="48" fillId="51" borderId="0" xfId="0" applyFont="1" applyFill="1"/>
    <xf numFmtId="0" fontId="50" fillId="53" borderId="0" xfId="0" applyFont="1" applyFill="1"/>
    <xf numFmtId="0" fontId="48" fillId="53" borderId="0" xfId="0" applyFont="1" applyFill="1"/>
    <xf numFmtId="2" fontId="7" fillId="0" borderId="5" xfId="0" applyNumberFormat="1" applyFont="1" applyBorder="1"/>
    <xf numFmtId="166" fontId="7" fillId="0" borderId="5" xfId="2" applyNumberFormat="1" applyFont="1" applyFill="1" applyBorder="1"/>
    <xf numFmtId="166" fontId="9" fillId="0" borderId="14" xfId="2" applyNumberFormat="1" applyFont="1" applyFill="1" applyBorder="1"/>
    <xf numFmtId="0" fontId="9" fillId="15" borderId="1" xfId="0" applyFont="1" applyFill="1" applyBorder="1"/>
    <xf numFmtId="0" fontId="9" fillId="15" borderId="2" xfId="0" applyFont="1" applyFill="1" applyBorder="1"/>
    <xf numFmtId="0" fontId="9" fillId="15" borderId="3" xfId="0" applyFont="1" applyFill="1" applyBorder="1"/>
    <xf numFmtId="0" fontId="6" fillId="9" borderId="4" xfId="0" applyFont="1" applyFill="1" applyBorder="1"/>
    <xf numFmtId="0" fontId="7" fillId="0" borderId="4" xfId="0" applyFont="1" applyBorder="1" applyAlignment="1">
      <alignment horizontal="center" vertical="center"/>
    </xf>
    <xf numFmtId="0" fontId="9" fillId="0" borderId="13" xfId="0" applyFont="1" applyBorder="1"/>
    <xf numFmtId="10" fontId="7" fillId="14" borderId="37" xfId="2" applyNumberFormat="1" applyFont="1" applyFill="1" applyBorder="1" applyAlignment="1">
      <alignment horizontal="center"/>
    </xf>
    <xf numFmtId="0" fontId="7" fillId="0" borderId="5" xfId="0" applyFont="1" applyBorder="1"/>
    <xf numFmtId="43" fontId="9" fillId="0" borderId="0" xfId="0" applyNumberFormat="1" applyFont="1"/>
    <xf numFmtId="43" fontId="7" fillId="0" borderId="8" xfId="1" applyFont="1" applyBorder="1" applyAlignment="1">
      <alignment horizontal="center"/>
    </xf>
    <xf numFmtId="43" fontId="9" fillId="0" borderId="33" xfId="0" applyNumberFormat="1" applyFont="1" applyBorder="1"/>
    <xf numFmtId="43" fontId="9" fillId="0" borderId="8" xfId="0" applyNumberFormat="1" applyFont="1" applyBorder="1"/>
    <xf numFmtId="43" fontId="9" fillId="0" borderId="34" xfId="0" applyNumberFormat="1" applyFont="1" applyBorder="1"/>
    <xf numFmtId="43" fontId="9" fillId="0" borderId="10" xfId="0" applyNumberFormat="1" applyFont="1" applyBorder="1"/>
    <xf numFmtId="43" fontId="9" fillId="0" borderId="11" xfId="0" applyNumberFormat="1" applyFont="1" applyBorder="1"/>
    <xf numFmtId="0" fontId="7" fillId="0" borderId="35" xfId="0" applyFont="1" applyBorder="1"/>
    <xf numFmtId="0" fontId="7" fillId="0" borderId="36" xfId="0" applyFont="1" applyBorder="1"/>
    <xf numFmtId="0" fontId="7" fillId="0" borderId="37" xfId="0" applyFont="1" applyBorder="1"/>
    <xf numFmtId="43" fontId="7" fillId="0" borderId="12" xfId="0" applyNumberFormat="1" applyFont="1" applyBorder="1"/>
    <xf numFmtId="43" fontId="7" fillId="0" borderId="32" xfId="0" applyNumberFormat="1" applyFont="1" applyBorder="1"/>
    <xf numFmtId="43" fontId="7" fillId="0" borderId="8" xfId="0" applyNumberFormat="1" applyFont="1" applyBorder="1"/>
    <xf numFmtId="43" fontId="7" fillId="0" borderId="10" xfId="0" applyNumberFormat="1" applyFont="1" applyBorder="1"/>
    <xf numFmtId="43" fontId="7" fillId="0" borderId="11" xfId="0" applyNumberFormat="1" applyFont="1" applyBorder="1"/>
    <xf numFmtId="0" fontId="6" fillId="9" borderId="39"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32" xfId="0" applyFont="1" applyFill="1" applyBorder="1" applyAlignment="1">
      <alignment horizontal="center" vertical="center" wrapText="1"/>
    </xf>
    <xf numFmtId="43" fontId="7" fillId="0" borderId="33" xfId="1" applyFont="1" applyBorder="1" applyAlignment="1">
      <alignment horizontal="center"/>
    </xf>
    <xf numFmtId="43" fontId="9" fillId="0" borderId="0" xfId="1" applyFont="1" applyBorder="1" applyAlignment="1">
      <alignment horizontal="center"/>
    </xf>
    <xf numFmtId="0" fontId="7" fillId="0" borderId="17" xfId="0" applyFont="1" applyBorder="1"/>
    <xf numFmtId="2" fontId="7" fillId="0" borderId="8" xfId="0" applyNumberFormat="1" applyFont="1" applyBorder="1" applyAlignment="1">
      <alignment horizontal="center"/>
    </xf>
    <xf numFmtId="9" fontId="33" fillId="5" borderId="16" xfId="0" applyNumberFormat="1" applyFont="1" applyFill="1" applyBorder="1"/>
    <xf numFmtId="9" fontId="7" fillId="0" borderId="16" xfId="0" applyNumberFormat="1" applyFont="1" applyBorder="1"/>
    <xf numFmtId="0" fontId="6" fillId="9" borderId="31" xfId="0" applyFont="1" applyFill="1" applyBorder="1" applyAlignment="1">
      <alignment horizontal="center" vertical="center"/>
    </xf>
    <xf numFmtId="166" fontId="7" fillId="13" borderId="8" xfId="2" applyNumberFormat="1" applyFont="1" applyFill="1" applyBorder="1"/>
    <xf numFmtId="166" fontId="9" fillId="13" borderId="17" xfId="0" applyNumberFormat="1" applyFont="1" applyFill="1" applyBorder="1"/>
    <xf numFmtId="166" fontId="9" fillId="13" borderId="18" xfId="0" applyNumberFormat="1" applyFont="1" applyFill="1" applyBorder="1"/>
    <xf numFmtId="9" fontId="8" fillId="0" borderId="16" xfId="0" applyNumberFormat="1" applyFont="1" applyBorder="1"/>
    <xf numFmtId="43" fontId="9" fillId="0" borderId="33" xfId="1" applyFont="1" applyBorder="1" applyAlignment="1">
      <alignment horizontal="center"/>
    </xf>
    <xf numFmtId="0" fontId="0" fillId="0" borderId="34" xfId="0" applyBorder="1"/>
    <xf numFmtId="167" fontId="0" fillId="0" borderId="10" xfId="0" applyNumberFormat="1" applyBorder="1"/>
    <xf numFmtId="0" fontId="7" fillId="0" borderId="0" xfId="0" applyFont="1" applyAlignment="1">
      <alignment horizontal="right"/>
    </xf>
    <xf numFmtId="0" fontId="8" fillId="0" borderId="0" xfId="0" applyFont="1" applyAlignment="1">
      <alignment horizontal="right"/>
    </xf>
    <xf numFmtId="0" fontId="55" fillId="0" borderId="0" xfId="57" applyFont="1" applyAlignment="1">
      <alignment horizontal="left"/>
    </xf>
    <xf numFmtId="0" fontId="5" fillId="0" borderId="0" xfId="4"/>
    <xf numFmtId="0" fontId="25" fillId="0" borderId="0" xfId="3" applyFill="1" applyAlignment="1" applyProtection="1">
      <alignment horizontal="left"/>
    </xf>
    <xf numFmtId="0" fontId="54" fillId="0" borderId="0" xfId="57" applyFont="1"/>
    <xf numFmtId="168" fontId="55" fillId="0" borderId="0" xfId="57" applyNumberFormat="1" applyFont="1" applyAlignment="1">
      <alignment horizontal="right"/>
    </xf>
    <xf numFmtId="166" fontId="56" fillId="0" borderId="0" xfId="6" applyNumberFormat="1" applyFont="1" applyFill="1" applyAlignment="1"/>
    <xf numFmtId="0" fontId="0" fillId="0" borderId="0" xfId="0" applyAlignment="1">
      <alignment horizontal="center"/>
    </xf>
    <xf numFmtId="0" fontId="5" fillId="0" borderId="0" xfId="4" applyAlignment="1">
      <alignment horizontal="center"/>
    </xf>
    <xf numFmtId="0" fontId="10" fillId="0" borderId="0" xfId="0" applyFont="1"/>
    <xf numFmtId="0" fontId="50" fillId="0" borderId="0" xfId="0" applyFont="1"/>
    <xf numFmtId="0" fontId="6" fillId="0" borderId="0" xfId="0" applyFont="1" applyAlignment="1">
      <alignment horizontal="center" vertical="center"/>
    </xf>
    <xf numFmtId="0" fontId="6" fillId="0" borderId="0" xfId="0" applyFont="1" applyAlignment="1">
      <alignment horizontal="center"/>
    </xf>
    <xf numFmtId="43" fontId="0" fillId="0" borderId="0" xfId="1" applyFont="1"/>
    <xf numFmtId="2" fontId="7" fillId="0" borderId="40" xfId="0" applyNumberFormat="1" applyFont="1" applyBorder="1" applyAlignment="1">
      <alignment horizontal="center"/>
    </xf>
    <xf numFmtId="0" fontId="9" fillId="3" borderId="1" xfId="0" applyFont="1" applyFill="1" applyBorder="1"/>
    <xf numFmtId="0" fontId="9" fillId="3" borderId="2" xfId="0" applyFont="1" applyFill="1" applyBorder="1"/>
    <xf numFmtId="0" fontId="9" fillId="3" borderId="3" xfId="0" applyFont="1" applyFill="1" applyBorder="1"/>
    <xf numFmtId="10" fontId="7" fillId="14" borderId="41" xfId="2" applyNumberFormat="1" applyFont="1" applyFill="1" applyBorder="1" applyAlignment="1">
      <alignment horizontal="center"/>
    </xf>
    <xf numFmtId="166" fontId="9" fillId="14" borderId="17" xfId="2" applyNumberFormat="1" applyFont="1" applyFill="1" applyBorder="1" applyAlignment="1">
      <alignment horizontal="center" vertical="center"/>
    </xf>
    <xf numFmtId="10" fontId="7" fillId="0" borderId="0" xfId="0" applyNumberFormat="1" applyFont="1"/>
    <xf numFmtId="0" fontId="8" fillId="12" borderId="0" xfId="0" applyFont="1" applyFill="1"/>
    <xf numFmtId="164" fontId="60" fillId="10" borderId="0" xfId="1" applyNumberFormat="1" applyFont="1" applyFill="1" applyAlignment="1">
      <alignment horizontal="center" vertical="center"/>
    </xf>
    <xf numFmtId="164" fontId="60" fillId="11" borderId="0" xfId="1" applyNumberFormat="1" applyFont="1" applyFill="1" applyAlignment="1">
      <alignment horizontal="center" vertical="center"/>
    </xf>
    <xf numFmtId="164" fontId="60" fillId="11" borderId="0" xfId="0" applyNumberFormat="1" applyFont="1" applyFill="1" applyAlignment="1">
      <alignment horizontal="center" vertical="center"/>
    </xf>
    <xf numFmtId="0" fontId="63" fillId="8" borderId="9" xfId="0" applyFont="1" applyFill="1" applyBorder="1" applyAlignment="1">
      <alignment vertical="top"/>
    </xf>
    <xf numFmtId="168" fontId="62" fillId="0" borderId="0" xfId="57" applyNumberFormat="1" applyFont="1" applyAlignment="1">
      <alignment horizontal="right"/>
    </xf>
    <xf numFmtId="0" fontId="10" fillId="12" borderId="0" xfId="0" applyFont="1" applyFill="1"/>
    <xf numFmtId="9" fontId="7" fillId="12" borderId="0" xfId="2" applyFont="1" applyFill="1"/>
    <xf numFmtId="9" fontId="7" fillId="12" borderId="0" xfId="0" applyNumberFormat="1" applyFont="1" applyFill="1"/>
    <xf numFmtId="0" fontId="50" fillId="12" borderId="0" xfId="0" applyFont="1" applyFill="1"/>
    <xf numFmtId="166" fontId="7" fillId="12" borderId="0" xfId="0" applyNumberFormat="1" applyFont="1" applyFill="1"/>
    <xf numFmtId="164" fontId="64" fillId="12" borderId="0" xfId="1" applyNumberFormat="1" applyFont="1" applyFill="1" applyAlignment="1">
      <alignment horizontal="center" vertical="center"/>
    </xf>
    <xf numFmtId="164" fontId="64" fillId="0" borderId="0" xfId="1" applyNumberFormat="1" applyFont="1" applyAlignment="1">
      <alignment horizontal="center" vertical="center"/>
    </xf>
    <xf numFmtId="9" fontId="64" fillId="0" borderId="0" xfId="2" applyFont="1" applyAlignment="1">
      <alignment horizontal="center" vertical="center"/>
    </xf>
    <xf numFmtId="166" fontId="7" fillId="0" borderId="0" xfId="0" applyNumberFormat="1" applyFont="1" applyAlignment="1">
      <alignment horizontal="center" vertical="center"/>
    </xf>
    <xf numFmtId="166" fontId="7" fillId="13" borderId="0" xfId="0" applyNumberFormat="1" applyFont="1" applyFill="1" applyAlignment="1">
      <alignment horizontal="center" vertical="center"/>
    </xf>
    <xf numFmtId="2" fontId="65" fillId="8" borderId="9" xfId="0" applyNumberFormat="1" applyFont="1" applyFill="1" applyBorder="1" applyAlignment="1">
      <alignment vertical="top"/>
    </xf>
    <xf numFmtId="10" fontId="9" fillId="13" borderId="0" xfId="0" applyNumberFormat="1" applyFont="1" applyFill="1"/>
    <xf numFmtId="0" fontId="52" fillId="0" borderId="0" xfId="57"/>
    <xf numFmtId="0" fontId="30" fillId="0" borderId="0" xfId="8" applyFont="1"/>
    <xf numFmtId="0" fontId="8" fillId="0" borderId="0" xfId="8"/>
    <xf numFmtId="0" fontId="57" fillId="0" borderId="0" xfId="8" applyFont="1"/>
    <xf numFmtId="0" fontId="53" fillId="0" borderId="0" xfId="57" applyFont="1"/>
    <xf numFmtId="0" fontId="25" fillId="0" borderId="0" xfId="3" applyAlignment="1" applyProtection="1"/>
    <xf numFmtId="0" fontId="66" fillId="54" borderId="42" xfId="0" applyFont="1" applyFill="1" applyBorder="1" applyAlignment="1">
      <alignment horizontal="center"/>
    </xf>
    <xf numFmtId="0" fontId="67" fillId="0" borderId="0" xfId="0" applyFont="1"/>
    <xf numFmtId="0" fontId="68" fillId="0" borderId="0" xfId="8" applyFont="1"/>
    <xf numFmtId="0" fontId="23" fillId="0" borderId="0" xfId="0" applyFont="1"/>
    <xf numFmtId="0" fontId="23" fillId="0" borderId="0" xfId="0" applyFont="1" applyAlignment="1">
      <alignment horizontal="center" wrapText="1"/>
    </xf>
    <xf numFmtId="2" fontId="63" fillId="0" borderId="0" xfId="0" applyNumberFormat="1" applyFont="1" applyAlignment="1">
      <alignment horizontal="center"/>
    </xf>
    <xf numFmtId="0" fontId="55" fillId="0" borderId="10" xfId="57" applyFont="1" applyBorder="1" applyAlignment="1">
      <alignment horizontal="center" wrapText="1"/>
    </xf>
    <xf numFmtId="0" fontId="58" fillId="0" borderId="10" xfId="4" applyFont="1" applyBorder="1" applyAlignment="1">
      <alignment horizontal="center"/>
    </xf>
    <xf numFmtId="0" fontId="7" fillId="0" borderId="12" xfId="0" applyFont="1" applyBorder="1"/>
    <xf numFmtId="0" fontId="69" fillId="0" borderId="0" xfId="0" applyFont="1"/>
    <xf numFmtId="10" fontId="0" fillId="0" borderId="0" xfId="2" applyNumberFormat="1" applyFont="1" applyBorder="1"/>
    <xf numFmtId="0" fontId="0" fillId="0" borderId="33" xfId="0" applyBorder="1"/>
    <xf numFmtId="0" fontId="0" fillId="0" borderId="33" xfId="0" applyBorder="1" applyAlignment="1">
      <alignment horizontal="center"/>
    </xf>
    <xf numFmtId="9" fontId="64" fillId="0" borderId="0" xfId="2" applyFont="1" applyFill="1" applyAlignment="1">
      <alignment horizontal="center" vertical="center"/>
    </xf>
    <xf numFmtId="9" fontId="64" fillId="0" borderId="0" xfId="2" applyFont="1" applyFill="1" applyAlignment="1">
      <alignment horizontal="center"/>
    </xf>
    <xf numFmtId="9" fontId="64" fillId="0" borderId="0" xfId="0" applyNumberFormat="1" applyFont="1" applyAlignment="1">
      <alignment horizontal="center"/>
    </xf>
    <xf numFmtId="9" fontId="64" fillId="0" borderId="0" xfId="2" applyFont="1" applyAlignment="1">
      <alignment horizontal="center"/>
    </xf>
    <xf numFmtId="0" fontId="48" fillId="0" borderId="17" xfId="0" applyFont="1" applyBorder="1" applyAlignment="1">
      <alignment horizontal="center" vertical="center" wrapText="1"/>
    </xf>
    <xf numFmtId="9" fontId="61" fillId="0" borderId="0" xfId="2" applyFont="1" applyAlignment="1">
      <alignment horizontal="center"/>
    </xf>
    <xf numFmtId="0" fontId="48" fillId="0" borderId="0" xfId="0" applyFont="1"/>
    <xf numFmtId="9" fontId="7" fillId="0" borderId="0" xfId="2" applyFont="1" applyAlignment="1">
      <alignment horizontal="center"/>
    </xf>
    <xf numFmtId="9" fontId="7" fillId="0" borderId="0" xfId="2" applyFont="1" applyAlignment="1">
      <alignment horizontal="left"/>
    </xf>
    <xf numFmtId="9" fontId="61" fillId="0" borderId="0" xfId="2" applyFont="1" applyAlignment="1">
      <alignment horizontal="center" vertical="center"/>
    </xf>
    <xf numFmtId="0" fontId="7" fillId="0" borderId="19" xfId="0" applyFont="1" applyBorder="1" applyAlignment="1">
      <alignment horizontal="center"/>
    </xf>
    <xf numFmtId="0" fontId="7" fillId="0" borderId="39"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31" xfId="0" applyFont="1" applyBorder="1" applyAlignment="1">
      <alignment horizontal="center"/>
    </xf>
    <xf numFmtId="0" fontId="7" fillId="0" borderId="12" xfId="0" applyFont="1" applyBorder="1" applyAlignment="1">
      <alignment horizontal="center"/>
    </xf>
    <xf numFmtId="0" fontId="7" fillId="0" borderId="32"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35" xfId="1" applyNumberFormat="1" applyFont="1" applyBorder="1"/>
    <xf numFmtId="0" fontId="7" fillId="0" borderId="36" xfId="1" applyNumberFormat="1" applyFont="1" applyBorder="1"/>
    <xf numFmtId="43" fontId="7" fillId="0" borderId="0" xfId="1" applyFont="1" applyBorder="1" applyAlignment="1"/>
    <xf numFmtId="43" fontId="7" fillId="0" borderId="8" xfId="1" applyFont="1" applyBorder="1" applyAlignment="1"/>
    <xf numFmtId="2" fontId="64" fillId="0" borderId="0" xfId="0" applyNumberFormat="1" applyFont="1"/>
    <xf numFmtId="2" fontId="7" fillId="0" borderId="10" xfId="0" applyNumberFormat="1" applyFont="1" applyBorder="1"/>
    <xf numFmtId="0" fontId="8" fillId="0" borderId="0" xfId="0" applyFont="1" applyAlignment="1">
      <alignment horizontal="center"/>
    </xf>
    <xf numFmtId="0" fontId="8" fillId="0" borderId="1" xfId="0" applyFont="1" applyBorder="1" applyAlignment="1">
      <alignment horizontal="center"/>
    </xf>
    <xf numFmtId="0" fontId="8" fillId="0" borderId="3" xfId="0" applyFont="1" applyBorder="1" applyAlignment="1">
      <alignment horizontal="center"/>
    </xf>
    <xf numFmtId="0" fontId="0" fillId="0" borderId="5" xfId="0" applyBorder="1" applyAlignment="1">
      <alignment horizontal="center"/>
    </xf>
    <xf numFmtId="166" fontId="7" fillId="13" borderId="5" xfId="2" applyNumberFormat="1" applyFont="1" applyFill="1" applyBorder="1" applyAlignment="1">
      <alignment horizontal="center"/>
    </xf>
    <xf numFmtId="0" fontId="0" fillId="0" borderId="6" xfId="0" applyBorder="1" applyAlignment="1">
      <alignment horizontal="center"/>
    </xf>
    <xf numFmtId="166" fontId="9" fillId="13" borderId="7" xfId="2" applyNumberFormat="1" applyFont="1" applyFill="1" applyBorder="1" applyAlignment="1">
      <alignment horizontal="center"/>
    </xf>
    <xf numFmtId="43" fontId="7" fillId="0" borderId="0" xfId="1" applyFont="1" applyAlignment="1"/>
    <xf numFmtId="164" fontId="7" fillId="12" borderId="0" xfId="1" applyNumberFormat="1" applyFont="1" applyFill="1" applyAlignment="1">
      <alignment horizontal="center" vertical="center"/>
    </xf>
    <xf numFmtId="9" fontId="64" fillId="0" borderId="0" xfId="2" applyFont="1" applyAlignment="1">
      <alignment horizontal="left"/>
    </xf>
    <xf numFmtId="169" fontId="7" fillId="0" borderId="0" xfId="0" applyNumberFormat="1" applyFont="1" applyAlignment="1">
      <alignment horizontal="center"/>
    </xf>
    <xf numFmtId="164" fontId="64" fillId="0" borderId="0" xfId="1" applyNumberFormat="1" applyFont="1" applyAlignment="1">
      <alignment horizontal="center"/>
    </xf>
    <xf numFmtId="164" fontId="64" fillId="0" borderId="0" xfId="1" applyNumberFormat="1" applyFont="1"/>
    <xf numFmtId="0" fontId="9" fillId="0" borderId="14" xfId="0" applyFont="1" applyBorder="1" applyAlignment="1">
      <alignment horizontal="center"/>
    </xf>
    <xf numFmtId="166" fontId="9" fillId="15" borderId="14" xfId="0" applyNumberFormat="1" applyFont="1" applyFill="1" applyBorder="1" applyAlignment="1">
      <alignment horizontal="center"/>
    </xf>
    <xf numFmtId="168" fontId="62" fillId="0" borderId="0" xfId="0" applyNumberFormat="1" applyFont="1" applyAlignment="1">
      <alignment horizontal="right"/>
    </xf>
    <xf numFmtId="0" fontId="71" fillId="0" borderId="0" xfId="0" applyFont="1" applyAlignment="1">
      <alignment vertical="center"/>
    </xf>
    <xf numFmtId="2" fontId="50" fillId="0" borderId="0" xfId="0" applyNumberFormat="1" applyFont="1"/>
    <xf numFmtId="2" fontId="7" fillId="0" borderId="43" xfId="0" applyNumberFormat="1" applyFont="1" applyBorder="1"/>
    <xf numFmtId="166" fontId="7" fillId="0" borderId="44" xfId="2" applyNumberFormat="1" applyFont="1" applyFill="1" applyBorder="1"/>
    <xf numFmtId="0" fontId="7" fillId="0" borderId="43" xfId="0" applyFont="1" applyBorder="1" applyAlignment="1">
      <alignment horizontal="center"/>
    </xf>
    <xf numFmtId="2" fontId="7" fillId="0" borderId="37" xfId="0" applyNumberFormat="1" applyFont="1" applyBorder="1" applyAlignment="1">
      <alignment horizontal="center"/>
    </xf>
    <xf numFmtId="0" fontId="7" fillId="0" borderId="10" xfId="0" applyFont="1" applyBorder="1"/>
    <xf numFmtId="0" fontId="7" fillId="0" borderId="44" xfId="0" applyFont="1" applyBorder="1"/>
    <xf numFmtId="2" fontId="7" fillId="55" borderId="0" xfId="0" applyNumberFormat="1" applyFont="1" applyFill="1"/>
    <xf numFmtId="2" fontId="7" fillId="55" borderId="10" xfId="0" applyNumberFormat="1" applyFont="1" applyFill="1" applyBorder="1"/>
    <xf numFmtId="43" fontId="7" fillId="55" borderId="0" xfId="1" applyFont="1" applyFill="1" applyBorder="1" applyAlignment="1"/>
    <xf numFmtId="43" fontId="7" fillId="55" borderId="10" xfId="1" applyFont="1" applyFill="1" applyBorder="1" applyAlignment="1"/>
    <xf numFmtId="43" fontId="7" fillId="55" borderId="8" xfId="1" applyFont="1" applyFill="1" applyBorder="1" applyAlignment="1"/>
    <xf numFmtId="43" fontId="7" fillId="55" borderId="11" xfId="1" applyFont="1" applyFill="1" applyBorder="1" applyAlignment="1"/>
    <xf numFmtId="43" fontId="0" fillId="12" borderId="0" xfId="1" applyFont="1" applyFill="1"/>
    <xf numFmtId="166" fontId="7" fillId="0" borderId="0" xfId="0" applyNumberFormat="1" applyFont="1"/>
    <xf numFmtId="10" fontId="7" fillId="0" borderId="0" xfId="2" applyNumberFormat="1" applyFont="1"/>
    <xf numFmtId="0" fontId="7" fillId="12" borderId="0" xfId="0" applyFont="1" applyFill="1" applyAlignment="1">
      <alignment horizontal="left" vertical="center"/>
    </xf>
    <xf numFmtId="0" fontId="7" fillId="12" borderId="10" xfId="0" applyFont="1" applyFill="1" applyBorder="1" applyAlignment="1">
      <alignment horizontal="center" vertical="center"/>
    </xf>
    <xf numFmtId="0" fontId="7" fillId="12" borderId="10" xfId="0" applyFont="1" applyFill="1" applyBorder="1" applyAlignment="1">
      <alignment horizontal="left" vertical="center"/>
    </xf>
    <xf numFmtId="0" fontId="10" fillId="9" borderId="31"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32" xfId="0" applyFont="1" applyFill="1" applyBorder="1" applyAlignment="1">
      <alignment horizontal="center" vertical="center"/>
    </xf>
    <xf numFmtId="0" fontId="6" fillId="9" borderId="33" xfId="0" applyFont="1" applyFill="1" applyBorder="1" applyAlignment="1">
      <alignment horizontal="center" vertical="center"/>
    </xf>
    <xf numFmtId="0" fontId="7" fillId="12" borderId="33" xfId="0" applyFont="1" applyFill="1" applyBorder="1" applyAlignment="1">
      <alignment horizontal="center" vertical="center"/>
    </xf>
    <xf numFmtId="0" fontId="7" fillId="12" borderId="8" xfId="0" applyFont="1" applyFill="1" applyBorder="1" applyAlignment="1">
      <alignment horizontal="left" vertical="center"/>
    </xf>
    <xf numFmtId="0" fontId="7" fillId="12" borderId="34" xfId="0" applyFont="1" applyFill="1" applyBorder="1" applyAlignment="1">
      <alignment horizontal="center" vertical="center"/>
    </xf>
    <xf numFmtId="0" fontId="7" fillId="12" borderId="11" xfId="0" applyFont="1" applyFill="1" applyBorder="1" applyAlignment="1">
      <alignment horizontal="left" vertical="center"/>
    </xf>
    <xf numFmtId="9" fontId="61" fillId="0" borderId="0" xfId="2" applyFont="1" applyFill="1" applyAlignment="1">
      <alignment horizontal="center" vertical="center"/>
    </xf>
    <xf numFmtId="9" fontId="61" fillId="0" borderId="0" xfId="2" applyFont="1" applyFill="1" applyAlignment="1">
      <alignment horizontal="center"/>
    </xf>
    <xf numFmtId="0" fontId="48" fillId="12" borderId="0" xfId="0" applyFont="1" applyFill="1"/>
    <xf numFmtId="0" fontId="50" fillId="12" borderId="0" xfId="0" applyFont="1" applyFill="1" applyAlignment="1">
      <alignment horizontal="center"/>
    </xf>
    <xf numFmtId="0" fontId="50" fillId="12" borderId="39" xfId="0" applyFont="1" applyFill="1" applyBorder="1"/>
    <xf numFmtId="0" fontId="48" fillId="12" borderId="18" xfId="0" applyFont="1" applyFill="1" applyBorder="1" applyAlignment="1">
      <alignment horizontal="center" vertical="center" wrapText="1"/>
    </xf>
    <xf numFmtId="0" fontId="7" fillId="12" borderId="36" xfId="0" applyFont="1" applyFill="1" applyBorder="1" applyAlignment="1">
      <alignment horizontal="center" vertical="center"/>
    </xf>
    <xf numFmtId="9" fontId="60" fillId="12" borderId="8" xfId="0" applyNumberFormat="1" applyFont="1" applyFill="1" applyBorder="1" applyAlignment="1">
      <alignment horizontal="center"/>
    </xf>
    <xf numFmtId="9" fontId="60" fillId="12" borderId="8" xfId="6" applyFont="1" applyFill="1" applyBorder="1" applyAlignment="1">
      <alignment horizontal="center" vertical="center"/>
    </xf>
    <xf numFmtId="0" fontId="6" fillId="9" borderId="16" xfId="71" applyFont="1" applyFill="1" applyBorder="1" applyAlignment="1">
      <alignment horizontal="center" vertical="center" wrapText="1"/>
    </xf>
    <xf numFmtId="9" fontId="60" fillId="12" borderId="16" xfId="2" applyFont="1" applyFill="1" applyBorder="1" applyAlignment="1">
      <alignment horizontal="center" vertical="center"/>
    </xf>
    <xf numFmtId="9" fontId="7" fillId="12" borderId="16" xfId="2" applyFont="1" applyFill="1" applyBorder="1" applyAlignment="1">
      <alignment horizontal="center" vertical="center"/>
    </xf>
    <xf numFmtId="166" fontId="50" fillId="12" borderId="16" xfId="2" applyNumberFormat="1" applyFont="1" applyFill="1" applyBorder="1" applyAlignment="1">
      <alignment horizontal="center"/>
    </xf>
    <xf numFmtId="0" fontId="48" fillId="12" borderId="16" xfId="71" applyFont="1" applyFill="1" applyBorder="1" applyAlignment="1">
      <alignment horizontal="center"/>
    </xf>
    <xf numFmtId="0" fontId="7" fillId="12" borderId="37" xfId="0" applyFont="1" applyFill="1" applyBorder="1" applyAlignment="1">
      <alignment horizontal="center" vertical="center"/>
    </xf>
    <xf numFmtId="9" fontId="50" fillId="12" borderId="16" xfId="2" applyFont="1" applyFill="1" applyBorder="1" applyAlignment="1">
      <alignment horizontal="center"/>
    </xf>
    <xf numFmtId="10" fontId="48" fillId="12" borderId="16" xfId="84" applyNumberFormat="1" applyFont="1" applyFill="1" applyBorder="1" applyAlignment="1">
      <alignment horizontal="center"/>
    </xf>
    <xf numFmtId="9" fontId="60" fillId="12" borderId="11" xfId="6" applyFont="1" applyFill="1" applyBorder="1" applyAlignment="1">
      <alignment horizontal="center" vertical="center"/>
    </xf>
    <xf numFmtId="166" fontId="48" fillId="13" borderId="16" xfId="2" applyNumberFormat="1" applyFont="1" applyFill="1" applyBorder="1" applyAlignment="1">
      <alignment horizontal="center"/>
    </xf>
    <xf numFmtId="0" fontId="48" fillId="0" borderId="16" xfId="71" applyFont="1" applyBorder="1" applyAlignment="1">
      <alignment horizontal="center"/>
    </xf>
    <xf numFmtId="43" fontId="1" fillId="0" borderId="0" xfId="5" applyFont="1" applyFill="1" applyAlignment="1"/>
    <xf numFmtId="0" fontId="48" fillId="0" borderId="10" xfId="0" applyFont="1" applyBorder="1" applyAlignment="1">
      <alignment horizontal="left"/>
    </xf>
    <xf numFmtId="0" fontId="6" fillId="9" borderId="38" xfId="0" applyFont="1" applyFill="1" applyBorder="1" applyAlignment="1">
      <alignment horizontal="center" vertical="center" wrapText="1"/>
    </xf>
    <xf numFmtId="0" fontId="0" fillId="0" borderId="38" xfId="0" applyBorder="1" applyAlignment="1">
      <alignment horizontal="center" vertical="center" wrapText="1"/>
    </xf>
    <xf numFmtId="0" fontId="7" fillId="13" borderId="0" xfId="0" applyFont="1" applyFill="1" applyAlignment="1">
      <alignment horizontal="center"/>
    </xf>
    <xf numFmtId="0" fontId="54" fillId="0" borderId="0" xfId="57" applyFont="1" applyAlignment="1">
      <alignment horizontal="left"/>
    </xf>
    <xf numFmtId="0" fontId="52" fillId="0" borderId="0" xfId="57"/>
  </cellXfs>
  <cellStyles count="85">
    <cellStyle name="20% - Accent1" xfId="29" builtinId="30" customBuiltin="1"/>
    <cellStyle name="20% - Accent1 2" xfId="59" xr:uid="{00000000-0005-0000-0000-000001000000}"/>
    <cellStyle name="20% - Accent2" xfId="33" builtinId="34" customBuiltin="1"/>
    <cellStyle name="20% - Accent2 2" xfId="61" xr:uid="{00000000-0005-0000-0000-000003000000}"/>
    <cellStyle name="20% - Accent3" xfId="37" builtinId="38" customBuiltin="1"/>
    <cellStyle name="20% - Accent3 2" xfId="63" xr:uid="{00000000-0005-0000-0000-000005000000}"/>
    <cellStyle name="20% - Accent4" xfId="41" builtinId="42" customBuiltin="1"/>
    <cellStyle name="20% - Accent4 2" xfId="65" xr:uid="{00000000-0005-0000-0000-000007000000}"/>
    <cellStyle name="20% - Accent5" xfId="45" builtinId="46" customBuiltin="1"/>
    <cellStyle name="20% - Accent5 2" xfId="67" xr:uid="{00000000-0005-0000-0000-000009000000}"/>
    <cellStyle name="20% - Accent6" xfId="49" builtinId="50" customBuiltin="1"/>
    <cellStyle name="20% - Accent6 2" xfId="69" xr:uid="{00000000-0005-0000-0000-00000B000000}"/>
    <cellStyle name="40% - Accent1" xfId="30" builtinId="31" customBuiltin="1"/>
    <cellStyle name="40% - Accent1 2" xfId="60" xr:uid="{00000000-0005-0000-0000-00000D000000}"/>
    <cellStyle name="40% - Accent2" xfId="34" builtinId="35" customBuiltin="1"/>
    <cellStyle name="40% - Accent2 2" xfId="62" xr:uid="{00000000-0005-0000-0000-00000F000000}"/>
    <cellStyle name="40% - Accent3" xfId="38" builtinId="39" customBuiltin="1"/>
    <cellStyle name="40% - Accent3 2" xfId="64" xr:uid="{00000000-0005-0000-0000-000011000000}"/>
    <cellStyle name="40% - Accent4" xfId="42" builtinId="43" customBuiltin="1"/>
    <cellStyle name="40% - Accent4 2" xfId="66" xr:uid="{00000000-0005-0000-0000-000013000000}"/>
    <cellStyle name="40% - Accent5" xfId="46" builtinId="47" customBuiltin="1"/>
    <cellStyle name="40% - Accent5 2" xfId="68" xr:uid="{00000000-0005-0000-0000-000015000000}"/>
    <cellStyle name="40% - Accent6" xfId="50" builtinId="51" customBuiltin="1"/>
    <cellStyle name="40% - Accent6 2" xfId="70" xr:uid="{00000000-0005-0000-0000-000017000000}"/>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8" builtinId="27" customBuiltin="1"/>
    <cellStyle name="Calculation" xfId="22" builtinId="22" customBuiltin="1"/>
    <cellStyle name="Check Cell" xfId="24" builtinId="23" customBuiltin="1"/>
    <cellStyle name="Comma" xfId="1" builtinId="3"/>
    <cellStyle name="Comma 2" xfId="5" xr:uid="{00000000-0005-0000-0000-000028000000}"/>
    <cellStyle name="Comma 2 2" xfId="75" xr:uid="{00000000-0005-0000-0000-000029000000}"/>
    <cellStyle name="Comma 3" xfId="11" xr:uid="{00000000-0005-0000-0000-00002A000000}"/>
    <cellStyle name="Comma 4" xfId="53" xr:uid="{00000000-0005-0000-0000-00002B000000}"/>
    <cellStyle name="Comma 4 2" xfId="79" xr:uid="{00000000-0005-0000-0000-00002C000000}"/>
    <cellStyle name="Comma 5" xfId="72" xr:uid="{00000000-0005-0000-0000-00002D000000}"/>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3" builtinId="8"/>
    <cellStyle name="Hyperlink 2" xfId="7" xr:uid="{00000000-0005-0000-0000-000035000000}"/>
    <cellStyle name="Input" xfId="20" builtinId="20" customBuiltin="1"/>
    <cellStyle name="Linked Cell" xfId="23" builtinId="24" customBuiltin="1"/>
    <cellStyle name="Neutral" xfId="19" builtinId="28" customBuiltin="1"/>
    <cellStyle name="Normal" xfId="0" builtinId="0"/>
    <cellStyle name="Normal 2" xfId="4" xr:uid="{00000000-0005-0000-0000-00003A000000}"/>
    <cellStyle name="Normal 2 2" xfId="55" xr:uid="{00000000-0005-0000-0000-00003B000000}"/>
    <cellStyle name="Normal 2 2 2" xfId="81" xr:uid="{00000000-0005-0000-0000-00003C000000}"/>
    <cellStyle name="Normal 2 3" xfId="74" xr:uid="{00000000-0005-0000-0000-00003D000000}"/>
    <cellStyle name="Normal 3" xfId="8" xr:uid="{00000000-0005-0000-0000-00003E000000}"/>
    <cellStyle name="Normal 4" xfId="9" xr:uid="{00000000-0005-0000-0000-00003F000000}"/>
    <cellStyle name="Normal 5" xfId="52" xr:uid="{00000000-0005-0000-0000-000040000000}"/>
    <cellStyle name="Normal 5 2" xfId="78" xr:uid="{00000000-0005-0000-0000-000041000000}"/>
    <cellStyle name="Normal 5 3" xfId="83" xr:uid="{00000000-0005-0000-0000-000042000000}"/>
    <cellStyle name="Normal 6" xfId="56" xr:uid="{00000000-0005-0000-0000-000043000000}"/>
    <cellStyle name="Normal 6 2" xfId="82" xr:uid="{00000000-0005-0000-0000-000044000000}"/>
    <cellStyle name="Normal 7" xfId="57" xr:uid="{00000000-0005-0000-0000-000045000000}"/>
    <cellStyle name="Normal 8" xfId="71" xr:uid="{00000000-0005-0000-0000-000046000000}"/>
    <cellStyle name="Normal 9" xfId="58" xr:uid="{00000000-0005-0000-0000-000047000000}"/>
    <cellStyle name="Note 2" xfId="54" xr:uid="{00000000-0005-0000-0000-000048000000}"/>
    <cellStyle name="Note 2 2" xfId="80" xr:uid="{00000000-0005-0000-0000-000049000000}"/>
    <cellStyle name="Output" xfId="21" builtinId="21" customBuiltin="1"/>
    <cellStyle name="Percent" xfId="2" builtinId="5"/>
    <cellStyle name="Percent 2" xfId="6" xr:uid="{00000000-0005-0000-0000-00004C000000}"/>
    <cellStyle name="Percent 2 2" xfId="76" xr:uid="{00000000-0005-0000-0000-00004D000000}"/>
    <cellStyle name="Percent 3" xfId="10" xr:uid="{00000000-0005-0000-0000-00004E000000}"/>
    <cellStyle name="Percent 3 2" xfId="77" xr:uid="{00000000-0005-0000-0000-00004F000000}"/>
    <cellStyle name="Percent 4" xfId="73" xr:uid="{00000000-0005-0000-0000-000050000000}"/>
    <cellStyle name="Percent 7" xfId="84" xr:uid="{94C31B4D-DFB9-4671-8A5E-9D950AA2498B}"/>
    <cellStyle name="Title" xfId="12" builtinId="15" customBuiltin="1"/>
    <cellStyle name="Total" xfId="27" builtinId="25" customBuiltin="1"/>
    <cellStyle name="Warning Text" xfId="25" builtinId="11" customBuiltin="1"/>
  </cellStyles>
  <dxfs count="0"/>
  <tableStyles count="0" defaultTableStyle="TableStyleMedium2" defaultPivotStyle="PivotStyleLight16"/>
  <colors>
    <mruColors>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66675</xdr:rowOff>
    </xdr:from>
    <xdr:to>
      <xdr:col>0</xdr:col>
      <xdr:colOff>171450</xdr:colOff>
      <xdr:row>3</xdr:row>
      <xdr:rowOff>123825</xdr:rowOff>
    </xdr:to>
    <xdr:sp macro="" textlink="">
      <xdr:nvSpPr>
        <xdr:cNvPr id="2" name="Down Arrow 1">
          <a:extLst>
            <a:ext uri="{FF2B5EF4-FFF2-40B4-BE49-F238E27FC236}">
              <a16:creationId xmlns:a16="http://schemas.microsoft.com/office/drawing/2014/main" id="{00000000-0008-0000-0A00-000002000000}"/>
            </a:ext>
          </a:extLst>
        </xdr:cNvPr>
        <xdr:cNvSpPr/>
      </xdr:nvSpPr>
      <xdr:spPr>
        <a:xfrm>
          <a:off x="47625" y="266700"/>
          <a:ext cx="123825" cy="419100"/>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Lorenzo Perez" id="{C2805168-476D-4438-80BE-C73F3ED3E633}" userId="S::lorenzo@londoneconomics.com::b2bcc4f8-3e6a-4a65-a706-bbbd09a922b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3" dT="2024-12-19T18:20:27.87" personId="{C2805168-476D-4438-80BE-C73F3ED3E633}" id="{86620AF1-6748-43F0-B82F-A528512A5774}">
    <text xml:space="preserve">2019 TFP was [2012=100]
</text>
  </threadedComment>
</ThreadedComment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pps.bea.gov/iTable/iTable.cfm?reqid=19&amp;step=3&amp;isuri=1&amp;1921=survey&amp;1903=13" TargetMode="External"/><Relationship Id="rId1" Type="http://schemas.openxmlformats.org/officeDocument/2006/relationships/hyperlink" Target="http://data.bls.gov/timeseries/CIU2024400000000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439E-57D9-4A08-9014-3355FEF9E089}">
  <sheetPr>
    <tabColor rgb="FFFFFF00"/>
  </sheetPr>
  <dimension ref="B2:I26"/>
  <sheetViews>
    <sheetView tabSelected="1" topLeftCell="A3" workbookViewId="0">
      <selection activeCell="R41" sqref="R41"/>
    </sheetView>
  </sheetViews>
  <sheetFormatPr defaultColWidth="8.7265625" defaultRowHeight="12.5" x14ac:dyDescent="0.25"/>
  <cols>
    <col min="1" max="1" width="8.7265625" style="113"/>
    <col min="2" max="2" width="19.1796875" style="113" bestFit="1" customWidth="1"/>
    <col min="3" max="3" width="12.1796875" style="113" customWidth="1"/>
    <col min="4" max="4" width="8.7265625" style="113"/>
    <col min="5" max="5" width="22" style="113" customWidth="1"/>
    <col min="6" max="6" width="11.26953125" style="113" customWidth="1"/>
    <col min="7" max="7" width="10" style="113" customWidth="1"/>
    <col min="8" max="8" width="8.7265625" style="113"/>
    <col min="9" max="9" width="9.7265625" style="113" customWidth="1"/>
    <col min="10" max="16384" width="8.7265625" style="113"/>
  </cols>
  <sheetData>
    <row r="2" spans="2:9" ht="13" x14ac:dyDescent="0.3">
      <c r="B2" s="314" t="s">
        <v>0</v>
      </c>
      <c r="C2" s="315"/>
      <c r="E2" s="333" t="s">
        <v>1</v>
      </c>
      <c r="F2" s="333"/>
      <c r="G2" s="333"/>
      <c r="H2" s="333"/>
      <c r="I2" s="333"/>
    </row>
    <row r="3" spans="2:9" ht="39" x14ac:dyDescent="0.3">
      <c r="B3" s="316"/>
      <c r="C3" s="317" t="s">
        <v>2</v>
      </c>
      <c r="E3" s="321" t="s">
        <v>3</v>
      </c>
      <c r="F3" s="321" t="s">
        <v>4</v>
      </c>
      <c r="G3" s="321" t="s">
        <v>5</v>
      </c>
      <c r="H3" s="321" t="s">
        <v>6</v>
      </c>
      <c r="I3" s="321" t="s">
        <v>7</v>
      </c>
    </row>
    <row r="4" spans="2:9" ht="13" x14ac:dyDescent="0.3">
      <c r="B4" s="318">
        <v>2002</v>
      </c>
      <c r="C4" s="319"/>
      <c r="E4" s="325">
        <v>2002</v>
      </c>
      <c r="F4" s="322">
        <f>TFP_Calcs!I7</f>
        <v>0.82698177886495583</v>
      </c>
      <c r="G4" s="323">
        <f>TFP_Calcs!J7</f>
        <v>0.17301822113504417</v>
      </c>
      <c r="H4" s="327">
        <f t="shared" ref="H4:H25" si="0">+$G4*$C$26</f>
        <v>0.10761958785586842</v>
      </c>
      <c r="I4" s="327">
        <f t="shared" ref="I4:I25" si="1">+(1-$C$26)*$G4</f>
        <v>6.539863327917575E-2</v>
      </c>
    </row>
    <row r="5" spans="2:9" ht="13" x14ac:dyDescent="0.3">
      <c r="B5" s="318">
        <v>2003</v>
      </c>
      <c r="C5" s="319"/>
      <c r="E5" s="325">
        <v>2003</v>
      </c>
      <c r="F5" s="322">
        <f>TFP_Calcs!I8</f>
        <v>0.84514283154131808</v>
      </c>
      <c r="G5" s="323">
        <f>TFP_Calcs!J8</f>
        <v>0.15485716845868192</v>
      </c>
      <c r="H5" s="327">
        <f t="shared" si="0"/>
        <v>9.632317646499354E-2</v>
      </c>
      <c r="I5" s="327">
        <f t="shared" si="1"/>
        <v>5.8533991993688375E-2</v>
      </c>
    </row>
    <row r="6" spans="2:9" ht="13" x14ac:dyDescent="0.3">
      <c r="B6" s="318">
        <v>2004</v>
      </c>
      <c r="C6" s="320">
        <f>'EUCG L share'!C32</f>
        <v>0.60445579215659795</v>
      </c>
      <c r="E6" s="325">
        <v>2004</v>
      </c>
      <c r="F6" s="322">
        <f>TFP_Calcs!I9</f>
        <v>0.83649894375245781</v>
      </c>
      <c r="G6" s="323">
        <f>TFP_Calcs!J9</f>
        <v>0.16350105624754219</v>
      </c>
      <c r="H6" s="327">
        <f t="shared" si="0"/>
        <v>0.10169978729364977</v>
      </c>
      <c r="I6" s="327">
        <f t="shared" si="1"/>
        <v>6.1801268953892423E-2</v>
      </c>
    </row>
    <row r="7" spans="2:9" ht="13" x14ac:dyDescent="0.3">
      <c r="B7" s="318">
        <v>2005</v>
      </c>
      <c r="C7" s="320">
        <f>'EUCG L share'!C33</f>
        <v>0.6299519507624024</v>
      </c>
      <c r="E7" s="325">
        <v>2005</v>
      </c>
      <c r="F7" s="322">
        <f>TFP_Calcs!I10</f>
        <v>0.85434663930840515</v>
      </c>
      <c r="G7" s="323">
        <f>TFP_Calcs!J10</f>
        <v>0.14565336069159485</v>
      </c>
      <c r="H7" s="327">
        <f t="shared" si="0"/>
        <v>9.0598288114503336E-2</v>
      </c>
      <c r="I7" s="327">
        <f t="shared" si="1"/>
        <v>5.5055072577091503E-2</v>
      </c>
    </row>
    <row r="8" spans="2:9" ht="13" x14ac:dyDescent="0.3">
      <c r="B8" s="318">
        <v>2006</v>
      </c>
      <c r="C8" s="320">
        <f>'EUCG L share'!C34</f>
        <v>0.60894898592160929</v>
      </c>
      <c r="E8" s="325">
        <v>2006</v>
      </c>
      <c r="F8" s="322">
        <f>TFP_Calcs!I11</f>
        <v>0.82776507364801077</v>
      </c>
      <c r="G8" s="323">
        <f>TFP_Calcs!J11</f>
        <v>0.17223492635198923</v>
      </c>
      <c r="H8" s="327">
        <f t="shared" si="0"/>
        <v>0.1071323682950094</v>
      </c>
      <c r="I8" s="327">
        <f t="shared" si="1"/>
        <v>6.5102558056979828E-2</v>
      </c>
    </row>
    <row r="9" spans="2:9" ht="13" x14ac:dyDescent="0.3">
      <c r="B9" s="318">
        <v>2007</v>
      </c>
      <c r="C9" s="320">
        <f>'EUCG L share'!C35</f>
        <v>0.61306700211317233</v>
      </c>
      <c r="E9" s="325">
        <v>2007</v>
      </c>
      <c r="F9" s="322">
        <f>TFP_Calcs!I12</f>
        <v>0.79475605291516993</v>
      </c>
      <c r="G9" s="323">
        <f>TFP_Calcs!J12</f>
        <v>0.20524394708483007</v>
      </c>
      <c r="H9" s="327">
        <f t="shared" si="0"/>
        <v>0.12766440927594988</v>
      </c>
      <c r="I9" s="327">
        <f t="shared" si="1"/>
        <v>7.7579537808880203E-2</v>
      </c>
    </row>
    <row r="10" spans="2:9" ht="13" x14ac:dyDescent="0.3">
      <c r="B10" s="318">
        <v>2008</v>
      </c>
      <c r="C10" s="320">
        <f>'EUCG L share'!C36</f>
        <v>0.60069739532944355</v>
      </c>
      <c r="E10" s="325">
        <v>2008</v>
      </c>
      <c r="F10" s="322">
        <f>TFP_Calcs!I13</f>
        <v>0.81126378051662251</v>
      </c>
      <c r="G10" s="323">
        <f>TFP_Calcs!J13</f>
        <v>0.18873621948337749</v>
      </c>
      <c r="H10" s="327">
        <f t="shared" si="0"/>
        <v>0.11739638762337125</v>
      </c>
      <c r="I10" s="327">
        <f t="shared" si="1"/>
        <v>7.1339831860006239E-2</v>
      </c>
    </row>
    <row r="11" spans="2:9" ht="13" x14ac:dyDescent="0.3">
      <c r="B11" s="318">
        <v>2009</v>
      </c>
      <c r="C11" s="320">
        <f>'EUCG L share'!C37</f>
        <v>0.62115919688781018</v>
      </c>
      <c r="E11" s="325">
        <v>2009</v>
      </c>
      <c r="F11" s="322">
        <f>TFP_Calcs!I14</f>
        <v>0.74697246069254264</v>
      </c>
      <c r="G11" s="323">
        <f>TFP_Calcs!J14</f>
        <v>0.25302753930745736</v>
      </c>
      <c r="H11" s="327">
        <f t="shared" si="0"/>
        <v>0.15738642622616603</v>
      </c>
      <c r="I11" s="327">
        <f t="shared" si="1"/>
        <v>9.5641113081291348E-2</v>
      </c>
    </row>
    <row r="12" spans="2:9" ht="13" x14ac:dyDescent="0.3">
      <c r="B12" s="318">
        <v>2010</v>
      </c>
      <c r="C12" s="320">
        <f>'EUCG L share'!C38</f>
        <v>0.65393733292566514</v>
      </c>
      <c r="E12" s="325">
        <v>2010</v>
      </c>
      <c r="F12" s="322">
        <f>TFP_Calcs!I15</f>
        <v>0.73595200590308663</v>
      </c>
      <c r="G12" s="323">
        <f>TFP_Calcs!J15</f>
        <v>0.26404799409691337</v>
      </c>
      <c r="H12" s="327">
        <f t="shared" si="0"/>
        <v>0.16424129269424614</v>
      </c>
      <c r="I12" s="327">
        <f t="shared" si="1"/>
        <v>9.9806701402667231E-2</v>
      </c>
    </row>
    <row r="13" spans="2:9" ht="13" x14ac:dyDescent="0.3">
      <c r="B13" s="318">
        <v>2011</v>
      </c>
      <c r="C13" s="320">
        <f>'EUCG L share'!C39</f>
        <v>0.63266651684835484</v>
      </c>
      <c r="E13" s="325">
        <v>2011</v>
      </c>
      <c r="F13" s="322">
        <f>TFP_Calcs!I16</f>
        <v>0.74016548964140838</v>
      </c>
      <c r="G13" s="323">
        <f>TFP_Calcs!J16</f>
        <v>0.25983451035859162</v>
      </c>
      <c r="H13" s="327">
        <f t="shared" si="0"/>
        <v>0.1616204509101796</v>
      </c>
      <c r="I13" s="327">
        <f t="shared" si="1"/>
        <v>9.8214059448412022E-2</v>
      </c>
    </row>
    <row r="14" spans="2:9" ht="13" x14ac:dyDescent="0.3">
      <c r="B14" s="318">
        <v>2012</v>
      </c>
      <c r="C14" s="320">
        <f>'EUCG L share'!C40</f>
        <v>0.65393733292566514</v>
      </c>
      <c r="E14" s="325">
        <v>2012</v>
      </c>
      <c r="F14" s="322">
        <f>TFP_Calcs!I17</f>
        <v>0.66618856288205153</v>
      </c>
      <c r="G14" s="323">
        <f>TFP_Calcs!J17</f>
        <v>0.33381143711794847</v>
      </c>
      <c r="H14" s="327">
        <f t="shared" si="0"/>
        <v>0.20763506322359451</v>
      </c>
      <c r="I14" s="327">
        <f t="shared" si="1"/>
        <v>0.12617637389435396</v>
      </c>
    </row>
    <row r="15" spans="2:9" ht="13" x14ac:dyDescent="0.3">
      <c r="B15" s="318">
        <v>2013</v>
      </c>
      <c r="C15" s="320">
        <f>'EUCG L share'!C41</f>
        <v>0.63782007263824037</v>
      </c>
      <c r="E15" s="325">
        <v>2013</v>
      </c>
      <c r="F15" s="322">
        <f>TFP_Calcs!I18</f>
        <v>0.73111293672223776</v>
      </c>
      <c r="G15" s="323">
        <f>TFP_Calcs!J18</f>
        <v>0.26888706327776224</v>
      </c>
      <c r="H15" s="327">
        <f t="shared" si="0"/>
        <v>0.16725125677451785</v>
      </c>
      <c r="I15" s="327">
        <f t="shared" si="1"/>
        <v>0.10163580650324439</v>
      </c>
    </row>
    <row r="16" spans="2:9" ht="13" x14ac:dyDescent="0.3">
      <c r="B16" s="318">
        <v>2014</v>
      </c>
      <c r="C16" s="320">
        <f>'EUCG L share'!C42</f>
        <v>0.641921054308773</v>
      </c>
      <c r="E16" s="325">
        <v>2014</v>
      </c>
      <c r="F16" s="322">
        <f>TFP_Calcs!I19</f>
        <v>0.74663328905612636</v>
      </c>
      <c r="G16" s="323">
        <f>TFP_Calcs!J19</f>
        <v>0.25336671094387364</v>
      </c>
      <c r="H16" s="327">
        <f t="shared" si="0"/>
        <v>0.15759739540319292</v>
      </c>
      <c r="I16" s="327">
        <f t="shared" si="1"/>
        <v>9.5769315540680716E-2</v>
      </c>
    </row>
    <row r="17" spans="2:9" ht="13" x14ac:dyDescent="0.3">
      <c r="B17" s="318">
        <v>2015</v>
      </c>
      <c r="C17" s="320">
        <f>'EUCG L share'!C43</f>
        <v>0.67565973874595819</v>
      </c>
      <c r="E17" s="325">
        <v>2015</v>
      </c>
      <c r="F17" s="322">
        <f>TFP_Calcs!I20</f>
        <v>0.69093820117405536</v>
      </c>
      <c r="G17" s="323">
        <f>TFP_Calcs!J20</f>
        <v>0.30906179882594464</v>
      </c>
      <c r="H17" s="327">
        <f t="shared" si="0"/>
        <v>0.19224046573499634</v>
      </c>
      <c r="I17" s="327">
        <f t="shared" si="1"/>
        <v>0.11682133309094829</v>
      </c>
    </row>
    <row r="18" spans="2:9" ht="13" x14ac:dyDescent="0.3">
      <c r="B18" s="318">
        <v>2016</v>
      </c>
      <c r="C18" s="320">
        <f>'EUCG L share'!C44</f>
        <v>0.65846203246560409</v>
      </c>
      <c r="E18" s="325">
        <v>2016</v>
      </c>
      <c r="F18" s="322">
        <f>TFP_Calcs!I21</f>
        <v>0.68133723269228419</v>
      </c>
      <c r="G18" s="323">
        <f>TFP_Calcs!J21</f>
        <v>0.31866276730771581</v>
      </c>
      <c r="H18" s="327">
        <f t="shared" si="0"/>
        <v>0.19821239322475434</v>
      </c>
      <c r="I18" s="327">
        <f t="shared" si="1"/>
        <v>0.12045037408296148</v>
      </c>
    </row>
    <row r="19" spans="2:9" ht="13" x14ac:dyDescent="0.3">
      <c r="B19" s="318">
        <v>2017</v>
      </c>
      <c r="C19" s="320">
        <f>'EUCG L share'!C45</f>
        <v>0.6684212227435099</v>
      </c>
      <c r="E19" s="325">
        <v>2017</v>
      </c>
      <c r="F19" s="322">
        <f>TFP_Calcs!I22</f>
        <v>0.71387148829119462</v>
      </c>
      <c r="G19" s="323">
        <f>TFP_Calcs!J22</f>
        <v>0.28612851170880538</v>
      </c>
      <c r="H19" s="327">
        <f t="shared" si="0"/>
        <v>0.1779756623429857</v>
      </c>
      <c r="I19" s="327">
        <f t="shared" si="1"/>
        <v>0.10815284936581966</v>
      </c>
    </row>
    <row r="20" spans="2:9" ht="13" x14ac:dyDescent="0.3">
      <c r="B20" s="318">
        <v>2018</v>
      </c>
      <c r="C20" s="320">
        <f>'EUCG L share'!C46</f>
        <v>0.64411045402440381</v>
      </c>
      <c r="E20" s="325">
        <v>2018</v>
      </c>
      <c r="F20" s="322">
        <f>TFP_Calcs!I23</f>
        <v>0.70312962253651612</v>
      </c>
      <c r="G20" s="323">
        <f>TFP_Calcs!J23</f>
        <v>0.29687037746348388</v>
      </c>
      <c r="H20" s="327">
        <f t="shared" si="0"/>
        <v>0.18465724280160839</v>
      </c>
      <c r="I20" s="327">
        <f t="shared" si="1"/>
        <v>0.11221313466187549</v>
      </c>
    </row>
    <row r="21" spans="2:9" ht="13" x14ac:dyDescent="0.3">
      <c r="B21" s="318">
        <v>2019</v>
      </c>
      <c r="C21" s="320">
        <f>'EUCG L share'!C47</f>
        <v>0.63528534284625815</v>
      </c>
      <c r="E21" s="325">
        <v>2019</v>
      </c>
      <c r="F21" s="322">
        <f>TFP_Calcs!I24</f>
        <v>0.71900005142889212</v>
      </c>
      <c r="G21" s="323">
        <f>TFP_Calcs!J24</f>
        <v>0.28099994857110788</v>
      </c>
      <c r="H21" s="327">
        <f t="shared" si="0"/>
        <v>0.17478562924964458</v>
      </c>
      <c r="I21" s="327">
        <f t="shared" si="1"/>
        <v>0.10621431932146329</v>
      </c>
    </row>
    <row r="22" spans="2:9" ht="13" x14ac:dyDescent="0.3">
      <c r="B22" s="318">
        <v>2020</v>
      </c>
      <c r="C22" s="320">
        <f>'EUCG L share'!C48</f>
        <v>0.61587260808002564</v>
      </c>
      <c r="E22" s="325">
        <v>2020</v>
      </c>
      <c r="F22" s="322">
        <f>TFP_Calcs!I25</f>
        <v>0.67043985812946405</v>
      </c>
      <c r="G22" s="323">
        <f>TFP_Calcs!J25</f>
        <v>0.32956014187053595</v>
      </c>
      <c r="H22" s="327">
        <f t="shared" si="0"/>
        <v>0.20499070218821522</v>
      </c>
      <c r="I22" s="327">
        <f t="shared" si="1"/>
        <v>0.12456943968232073</v>
      </c>
    </row>
    <row r="23" spans="2:9" ht="13" x14ac:dyDescent="0.3">
      <c r="B23" s="318">
        <v>2021</v>
      </c>
      <c r="C23" s="320">
        <f>'EUCG L share'!C49</f>
        <v>0.55643677782186729</v>
      </c>
      <c r="E23" s="325">
        <v>2021</v>
      </c>
      <c r="F23" s="322">
        <f>TFP_Calcs!I26</f>
        <v>0.71695125835290485</v>
      </c>
      <c r="G23" s="323">
        <f>TFP_Calcs!J26</f>
        <v>0.28304874164709515</v>
      </c>
      <c r="H23" s="327">
        <f t="shared" si="0"/>
        <v>0.17606000523729048</v>
      </c>
      <c r="I23" s="327">
        <f t="shared" si="1"/>
        <v>0.10698873640980468</v>
      </c>
    </row>
    <row r="24" spans="2:9" ht="13" x14ac:dyDescent="0.3">
      <c r="B24" s="318">
        <v>2022</v>
      </c>
      <c r="C24" s="320">
        <f>'EUCG L share'!C50</f>
        <v>0.55557939659362554</v>
      </c>
      <c r="E24" s="325">
        <v>2022</v>
      </c>
      <c r="F24" s="322">
        <f>TFP_Calcs!I27</f>
        <v>0.78836235797562926</v>
      </c>
      <c r="G24" s="323">
        <f>TFP_Calcs!J27</f>
        <v>0.21163764202437074</v>
      </c>
      <c r="H24" s="327">
        <f t="shared" si="0"/>
        <v>0.13164137083384528</v>
      </c>
      <c r="I24" s="327">
        <f t="shared" si="1"/>
        <v>7.9996271190525464E-2</v>
      </c>
    </row>
    <row r="25" spans="2:9" ht="13" x14ac:dyDescent="0.3">
      <c r="B25" s="326">
        <v>2023</v>
      </c>
      <c r="C25" s="329">
        <f>'EUCG L share'!C51</f>
        <v>0.53187038027280353</v>
      </c>
      <c r="E25" s="325">
        <v>2023</v>
      </c>
      <c r="F25" s="322">
        <f>TFP_Calcs!I28</f>
        <v>0.73290773207704851</v>
      </c>
      <c r="G25" s="323">
        <f>TFP_Calcs!J28</f>
        <v>0.26709226792295149</v>
      </c>
      <c r="H25" s="327">
        <f t="shared" si="0"/>
        <v>0.16613487067886148</v>
      </c>
      <c r="I25" s="327">
        <f t="shared" si="1"/>
        <v>0.10095739724408999</v>
      </c>
    </row>
    <row r="26" spans="2:9" ht="13" x14ac:dyDescent="0.3">
      <c r="B26" s="325" t="s">
        <v>8</v>
      </c>
      <c r="C26" s="328">
        <f>+AVERAGE(C6:C25)</f>
        <v>0.62201302932058922</v>
      </c>
      <c r="E26" s="331" t="s">
        <v>9</v>
      </c>
      <c r="F26" s="330">
        <f>+AVERAGE(F4:F25)</f>
        <v>0.75366898400465376</v>
      </c>
      <c r="G26" s="324">
        <f t="shared" ref="G26:I26" si="2">+AVERAGE(G4:G25)</f>
        <v>0.24633101599534626</v>
      </c>
      <c r="H26" s="330">
        <f t="shared" si="2"/>
        <v>0.15322110147488385</v>
      </c>
      <c r="I26" s="330">
        <f t="shared" si="2"/>
        <v>9.3109914520462411E-2</v>
      </c>
    </row>
  </sheetData>
  <mergeCells count="1">
    <mergeCell ref="E2:I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M45"/>
  <sheetViews>
    <sheetView showGridLines="0" zoomScaleNormal="100" workbookViewId="0">
      <selection activeCell="J24" sqref="J24"/>
    </sheetView>
  </sheetViews>
  <sheetFormatPr defaultColWidth="9.1796875" defaultRowHeight="12.5" x14ac:dyDescent="0.25"/>
  <cols>
    <col min="1" max="1" width="2.81640625" customWidth="1"/>
    <col min="2" max="2" width="16" customWidth="1"/>
    <col min="10" max="10" width="9.1796875" style="240"/>
    <col min="11" max="12" width="9.1796875" customWidth="1"/>
    <col min="14" max="14" width="9.1796875" customWidth="1"/>
    <col min="15" max="15" width="55.81640625" customWidth="1"/>
  </cols>
  <sheetData>
    <row r="1" spans="2:39" ht="18" x14ac:dyDescent="0.4">
      <c r="B1" s="227" t="s">
        <v>251</v>
      </c>
      <c r="C1" s="223"/>
      <c r="D1" s="223"/>
      <c r="E1" s="223"/>
      <c r="F1" s="223"/>
      <c r="G1" s="223"/>
      <c r="H1" s="186"/>
      <c r="K1" s="224" t="s">
        <v>252</v>
      </c>
      <c r="L1" s="225"/>
      <c r="M1" s="225"/>
      <c r="N1" s="225"/>
      <c r="O1" s="225"/>
      <c r="P1" s="225"/>
      <c r="Q1" s="225"/>
      <c r="R1" s="225"/>
      <c r="S1" s="225"/>
      <c r="T1" s="225"/>
      <c r="U1" s="225"/>
      <c r="V1" s="225"/>
      <c r="W1" s="225"/>
      <c r="X1" s="225"/>
      <c r="Y1" s="225"/>
      <c r="Z1" s="225"/>
    </row>
    <row r="2" spans="2:39" ht="16.5" x14ac:dyDescent="0.35">
      <c r="B2" s="227" t="s">
        <v>253</v>
      </c>
      <c r="C2" s="223"/>
      <c r="D2" s="223"/>
      <c r="E2" s="223"/>
      <c r="F2" s="223"/>
      <c r="G2" s="223"/>
      <c r="H2" s="186"/>
      <c r="K2" s="231" t="s">
        <v>254</v>
      </c>
      <c r="L2" s="225"/>
      <c r="M2" s="225"/>
      <c r="N2" s="225"/>
      <c r="O2" s="225"/>
      <c r="P2" s="225"/>
      <c r="Q2" s="225"/>
      <c r="R2" s="225"/>
      <c r="S2" s="225"/>
      <c r="T2" s="225"/>
      <c r="U2" s="225"/>
      <c r="V2" s="225"/>
      <c r="W2" s="225"/>
      <c r="X2" s="225"/>
      <c r="Y2" s="225"/>
      <c r="Z2" s="225"/>
    </row>
    <row r="3" spans="2:39" ht="14.5" x14ac:dyDescent="0.35">
      <c r="B3" s="223"/>
      <c r="C3" s="223"/>
      <c r="D3" s="223"/>
      <c r="E3" s="223"/>
      <c r="F3" s="223"/>
      <c r="G3" s="223"/>
      <c r="H3" s="186"/>
      <c r="K3" s="225" t="s">
        <v>255</v>
      </c>
      <c r="L3" s="225"/>
      <c r="M3" s="225"/>
      <c r="N3" s="225"/>
      <c r="O3" s="225"/>
      <c r="P3" s="225"/>
      <c r="Q3" s="225"/>
      <c r="R3" s="225"/>
      <c r="S3" s="225"/>
      <c r="T3" s="225"/>
      <c r="U3" s="225"/>
      <c r="V3" s="225"/>
      <c r="W3" s="225"/>
      <c r="X3" s="225"/>
      <c r="Y3" s="225"/>
      <c r="Z3" s="225"/>
    </row>
    <row r="4" spans="2:39" ht="14.5" x14ac:dyDescent="0.35">
      <c r="B4" s="185" t="s">
        <v>256</v>
      </c>
      <c r="C4" s="188" t="s">
        <v>257</v>
      </c>
      <c r="D4" s="223"/>
      <c r="E4" s="223"/>
      <c r="F4" s="223"/>
      <c r="G4" s="223"/>
      <c r="H4" s="186"/>
      <c r="K4" s="225" t="s">
        <v>258</v>
      </c>
      <c r="L4" s="225"/>
      <c r="M4" s="225"/>
      <c r="N4" s="225"/>
      <c r="O4" s="225"/>
      <c r="P4" s="225"/>
      <c r="Q4" s="225"/>
      <c r="R4" s="225"/>
      <c r="S4" s="225"/>
      <c r="T4" s="225"/>
      <c r="U4" s="225"/>
      <c r="V4" s="225"/>
      <c r="W4" s="225"/>
      <c r="X4" s="225"/>
      <c r="Y4" s="225"/>
      <c r="Z4" s="225"/>
    </row>
    <row r="5" spans="2:39" ht="15" customHeight="1" x14ac:dyDescent="0.35">
      <c r="B5" s="185" t="s">
        <v>259</v>
      </c>
      <c r="C5" s="188" t="s">
        <v>260</v>
      </c>
      <c r="D5" s="223"/>
      <c r="E5" s="223"/>
      <c r="F5" s="223"/>
      <c r="G5" s="223"/>
      <c r="H5" s="186"/>
      <c r="K5" s="226" t="s">
        <v>261</v>
      </c>
      <c r="L5" s="225"/>
      <c r="M5" s="225"/>
      <c r="N5" s="225" t="s">
        <v>262</v>
      </c>
      <c r="O5" s="228" t="s">
        <v>263</v>
      </c>
      <c r="P5" s="225"/>
      <c r="Q5" s="225"/>
      <c r="R5" s="225"/>
      <c r="S5" s="225"/>
      <c r="T5" s="225"/>
      <c r="U5" s="225"/>
      <c r="V5" s="225"/>
      <c r="W5" s="225"/>
      <c r="X5" s="225"/>
      <c r="Y5" s="225"/>
      <c r="Z5" s="225"/>
    </row>
    <row r="6" spans="2:39" ht="14.5" x14ac:dyDescent="0.35">
      <c r="B6" s="185" t="s">
        <v>264</v>
      </c>
      <c r="C6" s="188" t="s">
        <v>265</v>
      </c>
      <c r="D6" s="223"/>
      <c r="E6" s="223"/>
      <c r="F6" s="223"/>
      <c r="G6" s="223"/>
      <c r="H6" s="186"/>
    </row>
    <row r="7" spans="2:39" ht="14.5" x14ac:dyDescent="0.35">
      <c r="B7" s="185" t="s">
        <v>266</v>
      </c>
      <c r="C7" s="188" t="s">
        <v>267</v>
      </c>
      <c r="D7" s="223"/>
      <c r="E7" s="223"/>
      <c r="F7" s="223"/>
      <c r="G7" s="223"/>
      <c r="H7" s="186"/>
    </row>
    <row r="8" spans="2:39" ht="14.5" x14ac:dyDescent="0.35">
      <c r="B8" s="185" t="s">
        <v>268</v>
      </c>
      <c r="C8" s="188" t="s">
        <v>269</v>
      </c>
      <c r="D8" s="223"/>
      <c r="E8" s="223"/>
      <c r="F8" s="223"/>
      <c r="G8" s="223"/>
      <c r="H8" s="186"/>
    </row>
    <row r="9" spans="2:39" ht="14.5" x14ac:dyDescent="0.35">
      <c r="B9" s="185" t="s">
        <v>270</v>
      </c>
      <c r="C9" s="188" t="s">
        <v>185</v>
      </c>
      <c r="D9" s="223"/>
      <c r="E9" s="223"/>
      <c r="F9" s="223"/>
      <c r="G9" s="223"/>
      <c r="H9" s="186"/>
    </row>
    <row r="10" spans="2:39" ht="14.5" x14ac:dyDescent="0.35">
      <c r="B10" s="185" t="s">
        <v>271</v>
      </c>
      <c r="C10" s="188" t="s">
        <v>269</v>
      </c>
      <c r="D10" s="223"/>
      <c r="E10" s="223"/>
      <c r="F10" s="223"/>
      <c r="G10" s="284"/>
      <c r="H10" s="186"/>
    </row>
    <row r="11" spans="2:39" ht="14.5" x14ac:dyDescent="0.35">
      <c r="B11" s="185" t="s">
        <v>272</v>
      </c>
      <c r="C11" s="188" t="s">
        <v>273</v>
      </c>
      <c r="D11" s="223"/>
      <c r="E11" s="223"/>
      <c r="F11" s="223"/>
      <c r="G11" s="223"/>
      <c r="H11" s="186"/>
    </row>
    <row r="12" spans="2:39" ht="14.5" x14ac:dyDescent="0.35">
      <c r="B12" s="185" t="s">
        <v>274</v>
      </c>
      <c r="C12" s="188" t="s">
        <v>275</v>
      </c>
      <c r="D12" s="223"/>
      <c r="E12" s="223"/>
      <c r="F12" s="223"/>
      <c r="G12" s="223"/>
      <c r="H12" s="186"/>
    </row>
    <row r="13" spans="2:39" ht="14.5" x14ac:dyDescent="0.35">
      <c r="B13" s="185" t="s">
        <v>276</v>
      </c>
      <c r="C13" s="337" t="s">
        <v>277</v>
      </c>
      <c r="D13" s="338"/>
      <c r="E13" s="338"/>
      <c r="F13" s="338"/>
      <c r="G13" s="338"/>
      <c r="H13" s="186"/>
    </row>
    <row r="14" spans="2:39" ht="14.5" x14ac:dyDescent="0.35">
      <c r="B14" s="185" t="s">
        <v>278</v>
      </c>
      <c r="C14" s="187" t="s">
        <v>279</v>
      </c>
      <c r="D14" s="186"/>
      <c r="E14" s="186"/>
      <c r="F14" s="186"/>
      <c r="G14" s="186"/>
      <c r="H14" s="186"/>
    </row>
    <row r="15" spans="2:39" ht="14.5" x14ac:dyDescent="0.35">
      <c r="B15" s="226" t="s">
        <v>261</v>
      </c>
      <c r="C15" s="187"/>
      <c r="D15" s="186"/>
      <c r="E15" s="186"/>
      <c r="F15" s="186"/>
      <c r="G15" s="186"/>
      <c r="H15" s="186"/>
    </row>
    <row r="16" spans="2:39" ht="15.75" customHeight="1" x14ac:dyDescent="0.35">
      <c r="C16" s="186"/>
      <c r="D16" s="186"/>
      <c r="E16" s="186"/>
      <c r="F16" s="186"/>
      <c r="G16" s="186"/>
      <c r="H16" s="186"/>
      <c r="I16" s="186"/>
      <c r="K16" s="232" t="s">
        <v>280</v>
      </c>
      <c r="N16" s="229" t="s">
        <v>281</v>
      </c>
      <c r="O16" s="229" t="s">
        <v>282</v>
      </c>
      <c r="P16" s="229" t="s">
        <v>283</v>
      </c>
      <c r="Q16" s="229" t="s">
        <v>284</v>
      </c>
      <c r="R16" s="229" t="s">
        <v>285</v>
      </c>
      <c r="S16" s="229" t="s">
        <v>286</v>
      </c>
      <c r="T16" s="229" t="s">
        <v>287</v>
      </c>
      <c r="U16" s="229" t="s">
        <v>288</v>
      </c>
      <c r="V16" s="229" t="s">
        <v>289</v>
      </c>
      <c r="W16" s="229" t="s">
        <v>290</v>
      </c>
      <c r="X16" s="229" t="s">
        <v>291</v>
      </c>
      <c r="Y16" s="229" t="s">
        <v>292</v>
      </c>
      <c r="Z16" s="229" t="s">
        <v>293</v>
      </c>
      <c r="AA16" s="229" t="s">
        <v>294</v>
      </c>
      <c r="AB16" s="229" t="s">
        <v>295</v>
      </c>
      <c r="AC16" s="229" t="s">
        <v>296</v>
      </c>
      <c r="AD16" s="229" t="s">
        <v>297</v>
      </c>
      <c r="AE16" s="229" t="s">
        <v>298</v>
      </c>
      <c r="AF16" s="229" t="s">
        <v>299</v>
      </c>
      <c r="AG16" s="229" t="s">
        <v>300</v>
      </c>
      <c r="AH16" s="229" t="s">
        <v>301</v>
      </c>
      <c r="AI16" s="229" t="s">
        <v>302</v>
      </c>
      <c r="AJ16" s="229" t="s">
        <v>303</v>
      </c>
      <c r="AK16" s="229" t="s">
        <v>304</v>
      </c>
      <c r="AL16" s="229" t="s">
        <v>305</v>
      </c>
      <c r="AM16" s="229" t="s">
        <v>306</v>
      </c>
    </row>
    <row r="17" spans="2:39" s="191" customFormat="1" ht="14.5" x14ac:dyDescent="0.35">
      <c r="B17" s="235" t="s">
        <v>3</v>
      </c>
      <c r="C17" s="235" t="s">
        <v>307</v>
      </c>
      <c r="D17" s="235" t="s">
        <v>308</v>
      </c>
      <c r="E17" s="235" t="s">
        <v>309</v>
      </c>
      <c r="F17" s="235" t="s">
        <v>310</v>
      </c>
      <c r="G17" s="235" t="s">
        <v>311</v>
      </c>
      <c r="H17" s="236" t="s">
        <v>41</v>
      </c>
      <c r="I17" s="192"/>
      <c r="J17" s="241"/>
      <c r="K17" s="233" t="s">
        <v>283</v>
      </c>
      <c r="L17" s="234">
        <f>HLOOKUP(K17,$P$16:$AM$18,3,0)</f>
        <v>72.721999999999994</v>
      </c>
      <c r="M17"/>
      <c r="N17" t="s">
        <v>281</v>
      </c>
      <c r="O17" t="s">
        <v>282</v>
      </c>
      <c r="P17" t="s">
        <v>282</v>
      </c>
      <c r="Q17" t="s">
        <v>282</v>
      </c>
      <c r="R17" t="s">
        <v>282</v>
      </c>
      <c r="S17" t="s">
        <v>282</v>
      </c>
      <c r="T17" t="s">
        <v>282</v>
      </c>
      <c r="U17" t="s">
        <v>282</v>
      </c>
      <c r="V17" t="s">
        <v>282</v>
      </c>
      <c r="W17" t="s">
        <v>282</v>
      </c>
      <c r="X17" t="s">
        <v>282</v>
      </c>
      <c r="Y17" t="s">
        <v>282</v>
      </c>
      <c r="Z17" t="s">
        <v>282</v>
      </c>
      <c r="AA17" t="s">
        <v>282</v>
      </c>
      <c r="AB17" t="s">
        <v>282</v>
      </c>
      <c r="AC17" t="s">
        <v>282</v>
      </c>
      <c r="AD17" t="s">
        <v>282</v>
      </c>
      <c r="AE17" t="s">
        <v>282</v>
      </c>
      <c r="AF17" t="s">
        <v>282</v>
      </c>
      <c r="AG17" t="s">
        <v>282</v>
      </c>
      <c r="AH17" t="s">
        <v>282</v>
      </c>
    </row>
    <row r="18" spans="2:39" ht="14.5" x14ac:dyDescent="0.35">
      <c r="B18" s="185">
        <v>2001</v>
      </c>
      <c r="C18" s="210">
        <v>87</v>
      </c>
      <c r="D18" s="210">
        <v>88.1</v>
      </c>
      <c r="E18" s="210">
        <v>88.3</v>
      </c>
      <c r="F18" s="210">
        <v>89.1</v>
      </c>
      <c r="G18" s="189">
        <f>AVERAGE(C18:F18)</f>
        <v>88.125</v>
      </c>
      <c r="H18" s="186"/>
      <c r="I18" s="186"/>
      <c r="K18" s="233" t="s">
        <v>284</v>
      </c>
      <c r="L18" s="234">
        <f t="shared" ref="L18:L39" si="0">HLOOKUP(K18,$P$16:$AM$18,3,0)</f>
        <v>74.36</v>
      </c>
      <c r="N18" t="s">
        <v>312</v>
      </c>
      <c r="O18" s="230" t="s">
        <v>313</v>
      </c>
      <c r="P18">
        <v>72.721999999999994</v>
      </c>
      <c r="Q18">
        <v>74.36</v>
      </c>
      <c r="R18">
        <v>75.515000000000001</v>
      </c>
      <c r="S18">
        <v>77.006</v>
      </c>
      <c r="T18">
        <v>79.076999999999998</v>
      </c>
      <c r="U18">
        <v>81.555999999999997</v>
      </c>
      <c r="V18">
        <v>84.070999999999998</v>
      </c>
      <c r="W18">
        <v>86.349000000000004</v>
      </c>
      <c r="X18">
        <v>88.013000000000005</v>
      </c>
      <c r="Y18">
        <v>88.555999999999997</v>
      </c>
      <c r="Z18">
        <v>89.632000000000005</v>
      </c>
      <c r="AA18">
        <v>91.480999999999995</v>
      </c>
      <c r="AB18">
        <v>93.185000000000002</v>
      </c>
      <c r="AC18">
        <v>94.771000000000001</v>
      </c>
      <c r="AD18">
        <v>96.421000000000006</v>
      </c>
      <c r="AE18">
        <v>97.316000000000003</v>
      </c>
      <c r="AF18">
        <v>98.241</v>
      </c>
      <c r="AG18">
        <v>100</v>
      </c>
      <c r="AH18">
        <v>102.291</v>
      </c>
      <c r="AI18">
        <v>103.979</v>
      </c>
      <c r="AJ18">
        <v>105.361</v>
      </c>
      <c r="AK18">
        <v>110.172</v>
      </c>
      <c r="AL18">
        <v>118.026</v>
      </c>
      <c r="AM18">
        <v>122.273</v>
      </c>
    </row>
    <row r="19" spans="2:39" ht="14.5" x14ac:dyDescent="0.35">
      <c r="B19" s="185">
        <v>2002</v>
      </c>
      <c r="C19" s="210">
        <v>89.8</v>
      </c>
      <c r="D19" s="210">
        <v>91.4</v>
      </c>
      <c r="E19" s="210">
        <v>91.8</v>
      </c>
      <c r="F19" s="210">
        <v>92.2</v>
      </c>
      <c r="G19" s="189">
        <f t="shared" ref="G19:G39" si="1">AVERAGE(C19:F19)</f>
        <v>91.3</v>
      </c>
      <c r="H19" s="190">
        <f>LN(G19/G18)</f>
        <v>3.5394526468489958E-2</v>
      </c>
      <c r="I19" s="186"/>
      <c r="K19" s="233" t="s">
        <v>285</v>
      </c>
      <c r="L19" s="234">
        <f t="shared" si="0"/>
        <v>75.515000000000001</v>
      </c>
      <c r="N19" t="s">
        <v>314</v>
      </c>
      <c r="O19" s="230" t="s">
        <v>315</v>
      </c>
      <c r="P19">
        <v>73.822000000000003</v>
      </c>
      <c r="Q19">
        <v>75.302000000000007</v>
      </c>
      <c r="R19">
        <v>76.290999999999997</v>
      </c>
      <c r="S19">
        <v>77.894000000000005</v>
      </c>
      <c r="T19">
        <v>79.826999999999998</v>
      </c>
      <c r="U19">
        <v>82.126999999999995</v>
      </c>
      <c r="V19">
        <v>84.44</v>
      </c>
      <c r="W19">
        <v>86.606999999999999</v>
      </c>
      <c r="X19">
        <v>89.17</v>
      </c>
      <c r="Y19">
        <v>88.921000000000006</v>
      </c>
      <c r="Z19">
        <v>90.513999999999996</v>
      </c>
      <c r="AA19">
        <v>92.804000000000002</v>
      </c>
      <c r="AB19">
        <v>94.534000000000006</v>
      </c>
      <c r="AC19">
        <v>95.781000000000006</v>
      </c>
      <c r="AD19">
        <v>97.120999999999995</v>
      </c>
      <c r="AE19">
        <v>97.299000000000007</v>
      </c>
      <c r="AF19">
        <v>98.284000000000006</v>
      </c>
      <c r="AG19">
        <v>100</v>
      </c>
      <c r="AH19">
        <v>102.047</v>
      </c>
      <c r="AI19">
        <v>103.509</v>
      </c>
      <c r="AJ19">
        <v>104.64100000000001</v>
      </c>
      <c r="AK19">
        <v>108.97199999999999</v>
      </c>
      <c r="AL19">
        <v>116.111</v>
      </c>
      <c r="AM19">
        <v>120.491</v>
      </c>
    </row>
    <row r="20" spans="2:39" ht="14.5" x14ac:dyDescent="0.35">
      <c r="B20" s="185">
        <v>2003</v>
      </c>
      <c r="C20" s="210">
        <v>93</v>
      </c>
      <c r="D20" s="210">
        <v>93.6</v>
      </c>
      <c r="E20" s="210">
        <v>94</v>
      </c>
      <c r="F20" s="210">
        <v>94.5</v>
      </c>
      <c r="G20" s="189">
        <f t="shared" si="1"/>
        <v>93.775000000000006</v>
      </c>
      <c r="H20" s="190">
        <f t="shared" ref="H20:H29" si="2">LN(G20/G19)</f>
        <v>2.6747508367028359E-2</v>
      </c>
      <c r="I20" s="186"/>
      <c r="K20" s="233" t="s">
        <v>286</v>
      </c>
      <c r="L20" s="234">
        <f t="shared" si="0"/>
        <v>77.006</v>
      </c>
      <c r="N20" t="s">
        <v>316</v>
      </c>
      <c r="O20" t="s">
        <v>317</v>
      </c>
      <c r="P20">
        <v>94.088999999999999</v>
      </c>
      <c r="Q20">
        <v>94.018000000000001</v>
      </c>
      <c r="R20">
        <v>93.122</v>
      </c>
      <c r="S20">
        <v>93.003</v>
      </c>
      <c r="T20">
        <v>94.311000000000007</v>
      </c>
      <c r="U20">
        <v>96.203000000000003</v>
      </c>
      <c r="V20">
        <v>97.494</v>
      </c>
      <c r="W20">
        <v>98.575999999999993</v>
      </c>
      <c r="X20">
        <v>101.524</v>
      </c>
      <c r="Y20">
        <v>99.084000000000003</v>
      </c>
      <c r="Z20">
        <v>100.533</v>
      </c>
      <c r="AA20">
        <v>104.325</v>
      </c>
      <c r="AB20">
        <v>105.62</v>
      </c>
      <c r="AC20">
        <v>105.04900000000001</v>
      </c>
      <c r="AD20">
        <v>104.542</v>
      </c>
      <c r="AE20">
        <v>101.35</v>
      </c>
      <c r="AF20">
        <v>99.71</v>
      </c>
      <c r="AG20">
        <v>100</v>
      </c>
      <c r="AH20">
        <v>100.81100000000001</v>
      </c>
      <c r="AI20">
        <v>100.426</v>
      </c>
      <c r="AJ20">
        <v>99.656000000000006</v>
      </c>
      <c r="AK20">
        <v>104.59699999999999</v>
      </c>
      <c r="AL20">
        <v>113.63800000000001</v>
      </c>
      <c r="AM20">
        <v>115.03</v>
      </c>
    </row>
    <row r="21" spans="2:39" ht="14.5" x14ac:dyDescent="0.35">
      <c r="B21" s="185">
        <v>2004</v>
      </c>
      <c r="C21" s="210">
        <v>95.4</v>
      </c>
      <c r="D21" s="210">
        <v>96.6</v>
      </c>
      <c r="E21" s="210">
        <v>97.1</v>
      </c>
      <c r="F21" s="210">
        <v>97.4</v>
      </c>
      <c r="G21" s="189">
        <f t="shared" si="1"/>
        <v>96.625</v>
      </c>
      <c r="H21" s="190">
        <f t="shared" si="2"/>
        <v>2.9939210939635016E-2</v>
      </c>
      <c r="I21" s="186"/>
      <c r="K21" s="233" t="s">
        <v>287</v>
      </c>
      <c r="L21" s="234">
        <f t="shared" si="0"/>
        <v>79.076999999999998</v>
      </c>
      <c r="N21" t="s">
        <v>318</v>
      </c>
      <c r="O21" t="s">
        <v>319</v>
      </c>
      <c r="P21">
        <v>140.29300000000001</v>
      </c>
      <c r="Q21">
        <v>137.54499999999999</v>
      </c>
      <c r="R21">
        <v>134.07400000000001</v>
      </c>
      <c r="S21">
        <v>129.173</v>
      </c>
      <c r="T21">
        <v>126.64700000000001</v>
      </c>
      <c r="U21">
        <v>125.33199999999999</v>
      </c>
      <c r="V21">
        <v>123.187</v>
      </c>
      <c r="W21">
        <v>120.56399999999999</v>
      </c>
      <c r="X21">
        <v>118.304</v>
      </c>
      <c r="Y21">
        <v>116.081</v>
      </c>
      <c r="Z21">
        <v>113.946</v>
      </c>
      <c r="AA21">
        <v>113.023</v>
      </c>
      <c r="AB21">
        <v>111.595</v>
      </c>
      <c r="AC21">
        <v>109.551</v>
      </c>
      <c r="AD21">
        <v>106.771</v>
      </c>
      <c r="AE21">
        <v>104.617</v>
      </c>
      <c r="AF21">
        <v>102.337</v>
      </c>
      <c r="AG21">
        <v>100</v>
      </c>
      <c r="AH21">
        <v>98.632999999999996</v>
      </c>
      <c r="AI21">
        <v>97.686000000000007</v>
      </c>
      <c r="AJ21">
        <v>96.822000000000003</v>
      </c>
      <c r="AK21">
        <v>102.20099999999999</v>
      </c>
      <c r="AL21">
        <v>108.80800000000001</v>
      </c>
      <c r="AM21">
        <v>107.98099999999999</v>
      </c>
    </row>
    <row r="22" spans="2:39" ht="14.5" x14ac:dyDescent="0.35">
      <c r="B22" s="185">
        <v>2005</v>
      </c>
      <c r="C22" s="210">
        <v>98.4</v>
      </c>
      <c r="D22" s="210">
        <v>99.2</v>
      </c>
      <c r="E22" s="210">
        <v>99.5</v>
      </c>
      <c r="F22" s="210">
        <v>100</v>
      </c>
      <c r="G22" s="189">
        <f t="shared" si="1"/>
        <v>99.275000000000006</v>
      </c>
      <c r="H22" s="190">
        <f t="shared" si="2"/>
        <v>2.7056270109729181E-2</v>
      </c>
      <c r="I22" s="186"/>
      <c r="K22" s="233" t="s">
        <v>288</v>
      </c>
      <c r="L22" s="234">
        <f t="shared" si="0"/>
        <v>81.555999999999997</v>
      </c>
      <c r="N22" t="s">
        <v>320</v>
      </c>
      <c r="O22" t="s">
        <v>321</v>
      </c>
      <c r="P22">
        <v>76.084000000000003</v>
      </c>
      <c r="Q22">
        <v>76.893000000000001</v>
      </c>
      <c r="R22">
        <v>76.897999999999996</v>
      </c>
      <c r="S22">
        <v>78.488</v>
      </c>
      <c r="T22">
        <v>81.206000000000003</v>
      </c>
      <c r="U22">
        <v>84.319000000000003</v>
      </c>
      <c r="V22">
        <v>86.945999999999998</v>
      </c>
      <c r="W22">
        <v>89.504999999999995</v>
      </c>
      <c r="X22">
        <v>94.506</v>
      </c>
      <c r="Y22">
        <v>92</v>
      </c>
      <c r="Z22">
        <v>94.790999999999997</v>
      </c>
      <c r="AA22">
        <v>100.417</v>
      </c>
      <c r="AB22">
        <v>102.831</v>
      </c>
      <c r="AC22">
        <v>102.895</v>
      </c>
      <c r="AD22">
        <v>103.40900000000001</v>
      </c>
      <c r="AE22">
        <v>99.734999999999999</v>
      </c>
      <c r="AF22">
        <v>98.405000000000001</v>
      </c>
      <c r="AG22">
        <v>100</v>
      </c>
      <c r="AH22">
        <v>101.935</v>
      </c>
      <c r="AI22">
        <v>101.848</v>
      </c>
      <c r="AJ22">
        <v>101.129</v>
      </c>
      <c r="AK22">
        <v>105.81699999999999</v>
      </c>
      <c r="AL22">
        <v>116.258</v>
      </c>
      <c r="AM22">
        <v>118.94499999999999</v>
      </c>
    </row>
    <row r="23" spans="2:39" ht="14.5" x14ac:dyDescent="0.35">
      <c r="B23" s="185">
        <v>2006</v>
      </c>
      <c r="C23" s="210">
        <v>100.8</v>
      </c>
      <c r="D23" s="210">
        <v>102.1</v>
      </c>
      <c r="E23" s="210">
        <v>103</v>
      </c>
      <c r="F23" s="210">
        <v>103.5</v>
      </c>
      <c r="G23" s="189">
        <f t="shared" si="1"/>
        <v>102.35</v>
      </c>
      <c r="H23" s="190">
        <f t="shared" si="2"/>
        <v>3.0504535089983187E-2</v>
      </c>
      <c r="I23" s="186"/>
      <c r="K23" s="233" t="s">
        <v>289</v>
      </c>
      <c r="L23" s="234">
        <f t="shared" si="0"/>
        <v>84.070999999999998</v>
      </c>
      <c r="N23" t="s">
        <v>322</v>
      </c>
      <c r="O23" t="s">
        <v>323</v>
      </c>
      <c r="P23">
        <v>65.209999999999994</v>
      </c>
      <c r="Q23">
        <v>67.292000000000002</v>
      </c>
      <c r="R23">
        <v>69.033000000000001</v>
      </c>
      <c r="S23">
        <v>71.335999999999999</v>
      </c>
      <c r="T23">
        <v>73.528000000000006</v>
      </c>
      <c r="U23">
        <v>75.998000000000005</v>
      </c>
      <c r="V23">
        <v>78.75</v>
      </c>
      <c r="W23">
        <v>81.388000000000005</v>
      </c>
      <c r="X23">
        <v>83.783000000000001</v>
      </c>
      <c r="Y23">
        <v>84.432000000000002</v>
      </c>
      <c r="Z23">
        <v>86.076999999999998</v>
      </c>
      <c r="AA23">
        <v>87.742000000000004</v>
      </c>
      <c r="AB23">
        <v>89.647999999999996</v>
      </c>
      <c r="AC23">
        <v>91.659000000000006</v>
      </c>
      <c r="AD23">
        <v>93.795000000000002</v>
      </c>
      <c r="AE23">
        <v>95.462000000000003</v>
      </c>
      <c r="AF23">
        <v>97.629000000000005</v>
      </c>
      <c r="AG23">
        <v>100</v>
      </c>
      <c r="AH23">
        <v>102.626</v>
      </c>
      <c r="AI23">
        <v>104.965</v>
      </c>
      <c r="AJ23">
        <v>107.05500000000001</v>
      </c>
      <c r="AK23">
        <v>111.045</v>
      </c>
      <c r="AL23">
        <v>117.146</v>
      </c>
      <c r="AM23">
        <v>123.06699999999999</v>
      </c>
    </row>
    <row r="24" spans="2:39" ht="14.5" x14ac:dyDescent="0.35">
      <c r="B24" s="185">
        <v>2007</v>
      </c>
      <c r="C24" s="210">
        <v>104.3</v>
      </c>
      <c r="D24" s="210">
        <v>105.5</v>
      </c>
      <c r="E24" s="210">
        <v>106.1</v>
      </c>
      <c r="F24" s="210">
        <v>106.8</v>
      </c>
      <c r="G24" s="189">
        <f t="shared" si="1"/>
        <v>105.675</v>
      </c>
      <c r="H24" s="190">
        <f t="shared" si="2"/>
        <v>3.1970034345555003E-2</v>
      </c>
      <c r="I24" s="186"/>
      <c r="K24" s="233" t="s">
        <v>290</v>
      </c>
      <c r="L24" s="234">
        <f t="shared" si="0"/>
        <v>86.349000000000004</v>
      </c>
      <c r="N24" t="s">
        <v>324</v>
      </c>
      <c r="O24" s="230" t="s">
        <v>325</v>
      </c>
      <c r="P24">
        <v>83.373999999999995</v>
      </c>
      <c r="Q24">
        <v>83.853999999999999</v>
      </c>
      <c r="R24">
        <v>84.382999999999996</v>
      </c>
      <c r="S24">
        <v>84.942999999999998</v>
      </c>
      <c r="T24">
        <v>87.506</v>
      </c>
      <c r="U24">
        <v>91.103999999999999</v>
      </c>
      <c r="V24">
        <v>94.179000000000002</v>
      </c>
      <c r="W24">
        <v>95.6</v>
      </c>
      <c r="X24">
        <v>96.620999999999995</v>
      </c>
      <c r="Y24">
        <v>95.278000000000006</v>
      </c>
      <c r="Z24">
        <v>93.781999999999996</v>
      </c>
      <c r="AA24">
        <v>94.698999999999998</v>
      </c>
      <c r="AB24">
        <v>95.85</v>
      </c>
      <c r="AC24">
        <v>96.585999999999999</v>
      </c>
      <c r="AD24">
        <v>98.242000000000004</v>
      </c>
      <c r="AE24">
        <v>98.95</v>
      </c>
      <c r="AF24">
        <v>98.736999999999995</v>
      </c>
      <c r="AG24">
        <v>100</v>
      </c>
      <c r="AH24">
        <v>101.545</v>
      </c>
      <c r="AI24">
        <v>102.9</v>
      </c>
      <c r="AJ24">
        <v>103.95699999999999</v>
      </c>
      <c r="AK24">
        <v>107.497</v>
      </c>
      <c r="AL24">
        <v>115.774</v>
      </c>
      <c r="AM24">
        <v>119.56100000000001</v>
      </c>
    </row>
    <row r="25" spans="2:39" ht="14.5" x14ac:dyDescent="0.35">
      <c r="B25" s="185">
        <v>2008</v>
      </c>
      <c r="C25" s="210">
        <v>108</v>
      </c>
      <c r="D25" s="210">
        <v>109.3</v>
      </c>
      <c r="E25" s="210">
        <v>109.3</v>
      </c>
      <c r="F25" s="210">
        <v>109.6</v>
      </c>
      <c r="G25" s="189">
        <f t="shared" si="1"/>
        <v>109.05000000000001</v>
      </c>
      <c r="H25" s="190">
        <f t="shared" si="2"/>
        <v>3.1438146194784536E-2</v>
      </c>
      <c r="I25" s="186"/>
      <c r="K25" s="233" t="s">
        <v>291</v>
      </c>
      <c r="L25" s="234">
        <f t="shared" si="0"/>
        <v>88.013000000000005</v>
      </c>
      <c r="N25" t="s">
        <v>326</v>
      </c>
      <c r="O25" t="s">
        <v>327</v>
      </c>
      <c r="P25">
        <v>82.486000000000004</v>
      </c>
      <c r="Q25">
        <v>83.206000000000003</v>
      </c>
      <c r="R25">
        <v>83.453000000000003</v>
      </c>
      <c r="S25">
        <v>84.183000000000007</v>
      </c>
      <c r="T25">
        <v>86.641999999999996</v>
      </c>
      <c r="U25">
        <v>90.222999999999999</v>
      </c>
      <c r="V25">
        <v>93.427999999999997</v>
      </c>
      <c r="W25">
        <v>94.856999999999999</v>
      </c>
      <c r="X25">
        <v>95.658000000000001</v>
      </c>
      <c r="Y25">
        <v>94.494</v>
      </c>
      <c r="Z25">
        <v>93.025999999999996</v>
      </c>
      <c r="AA25">
        <v>93.991</v>
      </c>
      <c r="AB25">
        <v>95.241</v>
      </c>
      <c r="AC25">
        <v>96.16</v>
      </c>
      <c r="AD25">
        <v>97.923000000000002</v>
      </c>
      <c r="AE25">
        <v>98.581999999999994</v>
      </c>
      <c r="AF25">
        <v>98.55</v>
      </c>
      <c r="AG25">
        <v>100</v>
      </c>
      <c r="AH25">
        <v>101.568</v>
      </c>
      <c r="AI25">
        <v>102.961</v>
      </c>
      <c r="AJ25">
        <v>104.179</v>
      </c>
      <c r="AK25">
        <v>107.90900000000001</v>
      </c>
      <c r="AL25">
        <v>116.57</v>
      </c>
      <c r="AM25">
        <v>120.44799999999999</v>
      </c>
    </row>
    <row r="26" spans="2:39" ht="14.5" x14ac:dyDescent="0.35">
      <c r="B26" s="185">
        <v>2009</v>
      </c>
      <c r="C26" s="210">
        <v>111</v>
      </c>
      <c r="D26" s="210">
        <v>112</v>
      </c>
      <c r="E26" s="210">
        <v>112.2</v>
      </c>
      <c r="F26" s="210">
        <v>113.3</v>
      </c>
      <c r="G26" s="189">
        <f t="shared" si="1"/>
        <v>112.125</v>
      </c>
      <c r="H26" s="190">
        <f t="shared" si="2"/>
        <v>2.7807827731321969E-2</v>
      </c>
      <c r="I26" s="186"/>
      <c r="K26" s="233" t="s">
        <v>292</v>
      </c>
      <c r="L26" s="234">
        <f t="shared" si="0"/>
        <v>88.555999999999997</v>
      </c>
      <c r="N26" t="s">
        <v>328</v>
      </c>
      <c r="O26" t="s">
        <v>329</v>
      </c>
      <c r="P26">
        <v>92.067999999999998</v>
      </c>
      <c r="Q26">
        <v>91.697999999999993</v>
      </c>
      <c r="R26">
        <v>91.218999999999994</v>
      </c>
      <c r="S26">
        <v>90.516999999999996</v>
      </c>
      <c r="T26">
        <v>91.409000000000006</v>
      </c>
      <c r="U26">
        <v>93.78</v>
      </c>
      <c r="V26">
        <v>96.066000000000003</v>
      </c>
      <c r="W26">
        <v>97.62</v>
      </c>
      <c r="X26">
        <v>99.131</v>
      </c>
      <c r="Y26">
        <v>98.488</v>
      </c>
      <c r="Z26">
        <v>96.694999999999993</v>
      </c>
      <c r="AA26">
        <v>97.756</v>
      </c>
      <c r="AB26">
        <v>99.13</v>
      </c>
      <c r="AC26">
        <v>99.228999999999999</v>
      </c>
      <c r="AD26">
        <v>100.17</v>
      </c>
      <c r="AE26">
        <v>100.345</v>
      </c>
      <c r="AF26">
        <v>99.38</v>
      </c>
      <c r="AG26">
        <v>100</v>
      </c>
      <c r="AH26">
        <v>100.42700000000001</v>
      </c>
      <c r="AI26">
        <v>101.40600000000001</v>
      </c>
      <c r="AJ26">
        <v>101.953</v>
      </c>
      <c r="AK26">
        <v>103.145</v>
      </c>
      <c r="AL26">
        <v>109.39100000000001</v>
      </c>
      <c r="AM26">
        <v>113.208</v>
      </c>
    </row>
    <row r="27" spans="2:39" ht="14.5" x14ac:dyDescent="0.35">
      <c r="B27" s="185">
        <v>2010</v>
      </c>
      <c r="C27" s="210">
        <v>113.9</v>
      </c>
      <c r="D27" s="210">
        <v>114.7</v>
      </c>
      <c r="E27" s="210">
        <v>115.4</v>
      </c>
      <c r="F27" s="210">
        <v>115.6</v>
      </c>
      <c r="G27" s="189">
        <f t="shared" si="1"/>
        <v>114.9</v>
      </c>
      <c r="H27" s="190">
        <f t="shared" si="2"/>
        <v>2.4447864475749835E-2</v>
      </c>
      <c r="I27" s="186"/>
      <c r="K27" s="233" t="s">
        <v>293</v>
      </c>
      <c r="L27" s="234">
        <f t="shared" si="0"/>
        <v>89.632000000000005</v>
      </c>
      <c r="N27" t="s">
        <v>330</v>
      </c>
      <c r="O27" t="s">
        <v>331</v>
      </c>
      <c r="P27">
        <v>50.252000000000002</v>
      </c>
      <c r="Q27">
        <v>52.884</v>
      </c>
      <c r="R27">
        <v>55.088999999999999</v>
      </c>
      <c r="S27">
        <v>57.057000000000002</v>
      </c>
      <c r="T27">
        <v>61.281999999999996</v>
      </c>
      <c r="U27">
        <v>68.840999999999994</v>
      </c>
      <c r="V27">
        <v>77.037000000000006</v>
      </c>
      <c r="W27">
        <v>81.581000000000003</v>
      </c>
      <c r="X27">
        <v>85.751000000000005</v>
      </c>
      <c r="Y27">
        <v>84.186000000000007</v>
      </c>
      <c r="Z27">
        <v>83.501999999999995</v>
      </c>
      <c r="AA27">
        <v>86.244</v>
      </c>
      <c r="AB27">
        <v>90.209000000000003</v>
      </c>
      <c r="AC27">
        <v>91.474000000000004</v>
      </c>
      <c r="AD27">
        <v>96.212999999999994</v>
      </c>
      <c r="AE27">
        <v>97.718999999999994</v>
      </c>
      <c r="AF27">
        <v>97.668000000000006</v>
      </c>
      <c r="AG27">
        <v>100</v>
      </c>
      <c r="AH27">
        <v>101.17400000000001</v>
      </c>
      <c r="AI27">
        <v>105.261</v>
      </c>
      <c r="AJ27">
        <v>106.789</v>
      </c>
      <c r="AK27">
        <v>110.306</v>
      </c>
      <c r="AL27">
        <v>128.09299999999999</v>
      </c>
      <c r="AM27">
        <v>135.12100000000001</v>
      </c>
    </row>
    <row r="28" spans="2:39" ht="14.5" x14ac:dyDescent="0.35">
      <c r="B28" s="185">
        <v>2011</v>
      </c>
      <c r="C28" s="210">
        <v>116.9</v>
      </c>
      <c r="D28" s="210">
        <v>118.1</v>
      </c>
      <c r="E28" s="210">
        <v>118.5</v>
      </c>
      <c r="F28" s="210">
        <v>118.8</v>
      </c>
      <c r="G28" s="189">
        <f t="shared" si="1"/>
        <v>118.075</v>
      </c>
      <c r="H28" s="190">
        <f t="shared" si="2"/>
        <v>2.725783092747083E-2</v>
      </c>
      <c r="I28" s="186"/>
      <c r="K28" s="233" t="s">
        <v>294</v>
      </c>
      <c r="L28" s="234">
        <f t="shared" si="0"/>
        <v>91.480999999999995</v>
      </c>
      <c r="N28" t="s">
        <v>332</v>
      </c>
      <c r="O28" t="s">
        <v>333</v>
      </c>
      <c r="P28">
        <v>117.751</v>
      </c>
      <c r="Q28">
        <v>114.28100000000001</v>
      </c>
      <c r="R28">
        <v>111.883</v>
      </c>
      <c r="S28">
        <v>108.99</v>
      </c>
      <c r="T28">
        <v>108.078</v>
      </c>
      <c r="U28">
        <v>107.828</v>
      </c>
      <c r="V28">
        <v>106.758</v>
      </c>
      <c r="W28">
        <v>106.377</v>
      </c>
      <c r="X28">
        <v>105.708</v>
      </c>
      <c r="Y28">
        <v>106.354</v>
      </c>
      <c r="Z28">
        <v>102.54300000000001</v>
      </c>
      <c r="AA28">
        <v>102.518</v>
      </c>
      <c r="AB28">
        <v>103.08799999999999</v>
      </c>
      <c r="AC28">
        <v>102.857</v>
      </c>
      <c r="AD28">
        <v>102.124</v>
      </c>
      <c r="AE28">
        <v>101.499</v>
      </c>
      <c r="AF28">
        <v>100.206</v>
      </c>
      <c r="AG28">
        <v>100</v>
      </c>
      <c r="AH28">
        <v>99.921000000000006</v>
      </c>
      <c r="AI28">
        <v>99.981999999999999</v>
      </c>
      <c r="AJ28">
        <v>99.453000000000003</v>
      </c>
      <c r="AK28">
        <v>99.861999999999995</v>
      </c>
      <c r="AL28">
        <v>106.07899999999999</v>
      </c>
      <c r="AM28">
        <v>110.94199999999999</v>
      </c>
    </row>
    <row r="29" spans="2:39" ht="14.5" x14ac:dyDescent="0.35">
      <c r="B29" s="185">
        <v>2012</v>
      </c>
      <c r="C29" s="210">
        <v>119.6</v>
      </c>
      <c r="D29" s="210">
        <v>121.3</v>
      </c>
      <c r="E29" s="210">
        <v>121.3</v>
      </c>
      <c r="F29" s="210">
        <v>121.7</v>
      </c>
      <c r="G29" s="189">
        <f t="shared" si="1"/>
        <v>120.97499999999999</v>
      </c>
      <c r="H29" s="190">
        <f t="shared" si="2"/>
        <v>2.4263896897201379E-2</v>
      </c>
      <c r="I29" s="186"/>
      <c r="K29" s="233" t="s">
        <v>295</v>
      </c>
      <c r="L29" s="234">
        <f t="shared" si="0"/>
        <v>93.185000000000002</v>
      </c>
      <c r="N29" t="s">
        <v>334</v>
      </c>
      <c r="O29" t="s">
        <v>335</v>
      </c>
      <c r="P29">
        <v>98.1</v>
      </c>
      <c r="Q29">
        <v>97.968999999999994</v>
      </c>
      <c r="R29">
        <v>96.656999999999996</v>
      </c>
      <c r="S29">
        <v>95.927000000000007</v>
      </c>
      <c r="T29">
        <v>95.613</v>
      </c>
      <c r="U29">
        <v>96.231999999999999</v>
      </c>
      <c r="V29">
        <v>97.372</v>
      </c>
      <c r="W29">
        <v>98.570999999999998</v>
      </c>
      <c r="X29">
        <v>100.125</v>
      </c>
      <c r="Y29">
        <v>98.876999999999995</v>
      </c>
      <c r="Z29">
        <v>98.593000000000004</v>
      </c>
      <c r="AA29">
        <v>99.807000000000002</v>
      </c>
      <c r="AB29">
        <v>100.292</v>
      </c>
      <c r="AC29">
        <v>99.947999999999993</v>
      </c>
      <c r="AD29">
        <v>100.32599999999999</v>
      </c>
      <c r="AE29">
        <v>100.626</v>
      </c>
      <c r="AF29">
        <v>99.453000000000003</v>
      </c>
      <c r="AG29">
        <v>100</v>
      </c>
      <c r="AH29">
        <v>100.58199999999999</v>
      </c>
      <c r="AI29">
        <v>100.736</v>
      </c>
      <c r="AJ29">
        <v>101.895</v>
      </c>
      <c r="AK29">
        <v>102.705</v>
      </c>
      <c r="AL29">
        <v>103.797</v>
      </c>
      <c r="AM29">
        <v>105.245</v>
      </c>
    </row>
    <row r="30" spans="2:39" ht="14.5" x14ac:dyDescent="0.35">
      <c r="B30" s="185">
        <v>2013</v>
      </c>
      <c r="C30" s="210">
        <v>123</v>
      </c>
      <c r="D30" s="210">
        <v>124.2</v>
      </c>
      <c r="E30" s="210">
        <v>124.9</v>
      </c>
      <c r="F30" s="210">
        <v>125.2</v>
      </c>
      <c r="G30" s="189">
        <f t="shared" si="1"/>
        <v>124.325</v>
      </c>
      <c r="H30" s="190">
        <f t="shared" ref="H30:H40" si="3">LN(G30/G29)</f>
        <v>2.7315191921419985E-2</v>
      </c>
      <c r="I30" s="186"/>
      <c r="K30" s="233" t="s">
        <v>296</v>
      </c>
      <c r="L30" s="234">
        <f t="shared" si="0"/>
        <v>94.771000000000001</v>
      </c>
      <c r="N30" t="s">
        <v>336</v>
      </c>
      <c r="O30" t="s">
        <v>337</v>
      </c>
      <c r="P30">
        <v>60.758000000000003</v>
      </c>
      <c r="Q30">
        <v>63.642000000000003</v>
      </c>
      <c r="R30">
        <v>65.218000000000004</v>
      </c>
      <c r="S30">
        <v>68.308000000000007</v>
      </c>
      <c r="T30">
        <v>73.102000000000004</v>
      </c>
      <c r="U30">
        <v>78.337999999999994</v>
      </c>
      <c r="V30">
        <v>82.914000000000001</v>
      </c>
      <c r="W30">
        <v>84.01</v>
      </c>
      <c r="X30">
        <v>82.828000000000003</v>
      </c>
      <c r="Y30">
        <v>79.930000000000007</v>
      </c>
      <c r="Z30">
        <v>79.643000000000001</v>
      </c>
      <c r="AA30">
        <v>80.236000000000004</v>
      </c>
      <c r="AB30">
        <v>81.006</v>
      </c>
      <c r="AC30">
        <v>85.094999999999999</v>
      </c>
      <c r="AD30">
        <v>89.986000000000004</v>
      </c>
      <c r="AE30">
        <v>92.453999999999994</v>
      </c>
      <c r="AF30">
        <v>95.698999999999998</v>
      </c>
      <c r="AG30">
        <v>100</v>
      </c>
      <c r="AH30">
        <v>105.64</v>
      </c>
      <c r="AI30">
        <v>108.6</v>
      </c>
      <c r="AJ30">
        <v>112.26</v>
      </c>
      <c r="AK30">
        <v>124.53700000000001</v>
      </c>
      <c r="AL30">
        <v>141.75399999999999</v>
      </c>
      <c r="AM30">
        <v>145.73599999999999</v>
      </c>
    </row>
    <row r="31" spans="2:39" ht="14.5" x14ac:dyDescent="0.35">
      <c r="B31" s="185">
        <v>2014</v>
      </c>
      <c r="C31" s="210">
        <v>126.6</v>
      </c>
      <c r="D31" s="210">
        <v>127.6</v>
      </c>
      <c r="E31" s="210">
        <v>128.30000000000001</v>
      </c>
      <c r="F31" s="210">
        <v>128.30000000000001</v>
      </c>
      <c r="G31" s="189">
        <f t="shared" si="1"/>
        <v>127.7</v>
      </c>
      <c r="H31" s="190">
        <f t="shared" si="3"/>
        <v>2.6784658437691435E-2</v>
      </c>
      <c r="I31" s="332"/>
      <c r="K31" s="233" t="s">
        <v>297</v>
      </c>
      <c r="L31" s="234">
        <f t="shared" si="0"/>
        <v>96.421000000000006</v>
      </c>
      <c r="N31" t="s">
        <v>338</v>
      </c>
      <c r="O31" t="s">
        <v>339</v>
      </c>
      <c r="P31" t="s">
        <v>340</v>
      </c>
      <c r="Q31" t="s">
        <v>340</v>
      </c>
      <c r="R31" t="s">
        <v>340</v>
      </c>
      <c r="S31" t="s">
        <v>340</v>
      </c>
      <c r="T31" t="s">
        <v>340</v>
      </c>
      <c r="U31" t="s">
        <v>340</v>
      </c>
      <c r="V31" t="s">
        <v>340</v>
      </c>
      <c r="W31" t="s">
        <v>340</v>
      </c>
      <c r="X31" t="s">
        <v>340</v>
      </c>
      <c r="Y31" t="s">
        <v>340</v>
      </c>
      <c r="Z31" t="s">
        <v>340</v>
      </c>
      <c r="AA31" t="s">
        <v>340</v>
      </c>
      <c r="AB31" t="s">
        <v>340</v>
      </c>
      <c r="AC31" t="s">
        <v>340</v>
      </c>
      <c r="AD31" t="s">
        <v>340</v>
      </c>
      <c r="AE31" t="s">
        <v>340</v>
      </c>
      <c r="AF31" t="s">
        <v>340</v>
      </c>
      <c r="AG31" t="s">
        <v>340</v>
      </c>
      <c r="AH31" t="s">
        <v>340</v>
      </c>
      <c r="AI31" t="s">
        <v>340</v>
      </c>
      <c r="AJ31" t="s">
        <v>340</v>
      </c>
      <c r="AK31" t="s">
        <v>340</v>
      </c>
      <c r="AL31" t="s">
        <v>340</v>
      </c>
      <c r="AM31" t="s">
        <v>340</v>
      </c>
    </row>
    <row r="32" spans="2:39" ht="14.5" x14ac:dyDescent="0.35">
      <c r="B32" s="185">
        <v>2015</v>
      </c>
      <c r="C32" s="210">
        <v>129.9</v>
      </c>
      <c r="D32" s="210">
        <v>130.80000000000001</v>
      </c>
      <c r="E32" s="210">
        <v>131.4</v>
      </c>
      <c r="F32" s="210">
        <v>131.4</v>
      </c>
      <c r="G32" s="189">
        <f t="shared" si="1"/>
        <v>130.875</v>
      </c>
      <c r="H32" s="190">
        <f t="shared" si="3"/>
        <v>2.4558906152207367E-2</v>
      </c>
      <c r="K32" s="233" t="s">
        <v>298</v>
      </c>
      <c r="L32" s="234">
        <f t="shared" si="0"/>
        <v>97.316000000000003</v>
      </c>
      <c r="N32" t="s">
        <v>341</v>
      </c>
      <c r="O32" s="230" t="s">
        <v>342</v>
      </c>
      <c r="P32" t="s">
        <v>340</v>
      </c>
      <c r="Q32" t="s">
        <v>340</v>
      </c>
      <c r="R32" t="s">
        <v>340</v>
      </c>
      <c r="S32" t="s">
        <v>340</v>
      </c>
      <c r="T32" t="s">
        <v>340</v>
      </c>
      <c r="U32" t="s">
        <v>340</v>
      </c>
      <c r="V32" t="s">
        <v>340</v>
      </c>
      <c r="W32" t="s">
        <v>340</v>
      </c>
      <c r="X32" t="s">
        <v>340</v>
      </c>
      <c r="Y32" t="s">
        <v>340</v>
      </c>
      <c r="Z32" t="s">
        <v>340</v>
      </c>
      <c r="AA32" t="s">
        <v>340</v>
      </c>
      <c r="AB32" t="s">
        <v>340</v>
      </c>
      <c r="AC32" t="s">
        <v>340</v>
      </c>
      <c r="AD32" t="s">
        <v>340</v>
      </c>
      <c r="AE32" t="s">
        <v>340</v>
      </c>
      <c r="AF32" t="s">
        <v>340</v>
      </c>
      <c r="AG32" t="s">
        <v>340</v>
      </c>
      <c r="AH32" t="s">
        <v>340</v>
      </c>
      <c r="AI32" t="s">
        <v>340</v>
      </c>
      <c r="AJ32" t="s">
        <v>340</v>
      </c>
      <c r="AK32" t="s">
        <v>340</v>
      </c>
      <c r="AL32" t="s">
        <v>340</v>
      </c>
      <c r="AM32" t="s">
        <v>340</v>
      </c>
    </row>
    <row r="33" spans="2:39" ht="14.5" x14ac:dyDescent="0.35">
      <c r="B33" s="185">
        <v>2016</v>
      </c>
      <c r="C33" s="210">
        <v>132.80000000000001</v>
      </c>
      <c r="D33" s="210">
        <v>133.5</v>
      </c>
      <c r="E33" s="210">
        <v>134.5</v>
      </c>
      <c r="F33" s="210">
        <v>135</v>
      </c>
      <c r="G33" s="189">
        <f t="shared" si="1"/>
        <v>133.94999999999999</v>
      </c>
      <c r="H33" s="190">
        <f t="shared" si="3"/>
        <v>2.3223926799916642E-2</v>
      </c>
      <c r="K33" s="233" t="s">
        <v>299</v>
      </c>
      <c r="L33" s="234">
        <f t="shared" si="0"/>
        <v>98.241</v>
      </c>
      <c r="N33" t="s">
        <v>343</v>
      </c>
      <c r="O33" t="s">
        <v>344</v>
      </c>
      <c r="P33">
        <v>82.873000000000005</v>
      </c>
      <c r="Q33">
        <v>82.222999999999999</v>
      </c>
      <c r="R33">
        <v>81.507000000000005</v>
      </c>
      <c r="S33">
        <v>82.8</v>
      </c>
      <c r="T33">
        <v>85.817999999999998</v>
      </c>
      <c r="U33">
        <v>88.784000000000006</v>
      </c>
      <c r="V33">
        <v>91.603999999999999</v>
      </c>
      <c r="W33">
        <v>95.058999999999997</v>
      </c>
      <c r="X33">
        <v>99.387</v>
      </c>
      <c r="Y33">
        <v>93.483999999999995</v>
      </c>
      <c r="Z33">
        <v>97.378</v>
      </c>
      <c r="AA33">
        <v>103.508</v>
      </c>
      <c r="AB33">
        <v>104.298</v>
      </c>
      <c r="AC33">
        <v>104.45699999999999</v>
      </c>
      <c r="AD33">
        <v>104.515</v>
      </c>
      <c r="AE33">
        <v>99.454999999999998</v>
      </c>
      <c r="AF33">
        <v>97.456999999999994</v>
      </c>
      <c r="AG33">
        <v>100</v>
      </c>
      <c r="AH33">
        <v>103.325</v>
      </c>
      <c r="AI33">
        <v>102.82899999999999</v>
      </c>
      <c r="AJ33">
        <v>100.27</v>
      </c>
      <c r="AK33">
        <v>111.87</v>
      </c>
      <c r="AL33">
        <v>122.863</v>
      </c>
      <c r="AM33">
        <v>120.94799999999999</v>
      </c>
    </row>
    <row r="34" spans="2:39" ht="14.5" x14ac:dyDescent="0.35">
      <c r="B34" s="185">
        <v>2017</v>
      </c>
      <c r="C34" s="210">
        <v>136.69999999999999</v>
      </c>
      <c r="D34" s="210">
        <v>137.6</v>
      </c>
      <c r="E34" s="210">
        <v>137.9</v>
      </c>
      <c r="F34" s="210">
        <v>138.19999999999999</v>
      </c>
      <c r="G34" s="189">
        <f t="shared" si="1"/>
        <v>137.59999999999997</v>
      </c>
      <c r="H34" s="190">
        <f t="shared" si="3"/>
        <v>2.6884329508625425E-2</v>
      </c>
      <c r="K34" s="233" t="s">
        <v>300</v>
      </c>
      <c r="L34" s="234">
        <f t="shared" si="0"/>
        <v>100</v>
      </c>
      <c r="N34" t="s">
        <v>345</v>
      </c>
      <c r="O34" t="s">
        <v>346</v>
      </c>
      <c r="P34">
        <v>89.024000000000001</v>
      </c>
      <c r="Q34">
        <v>88.501999999999995</v>
      </c>
      <c r="R34">
        <v>87.581000000000003</v>
      </c>
      <c r="S34">
        <v>88.405000000000001</v>
      </c>
      <c r="T34">
        <v>91.512</v>
      </c>
      <c r="U34">
        <v>94.418000000000006</v>
      </c>
      <c r="V34">
        <v>97.331999999999994</v>
      </c>
      <c r="W34">
        <v>101.139</v>
      </c>
      <c r="X34">
        <v>106.345</v>
      </c>
      <c r="Y34">
        <v>98.82</v>
      </c>
      <c r="Z34">
        <v>103.28400000000001</v>
      </c>
      <c r="AA34">
        <v>110.86799999999999</v>
      </c>
      <c r="AB34">
        <v>111.092</v>
      </c>
      <c r="AC34">
        <v>110.34399999999999</v>
      </c>
      <c r="AD34">
        <v>109.20699999999999</v>
      </c>
      <c r="AE34">
        <v>101.423</v>
      </c>
      <c r="AF34">
        <v>97.466999999999999</v>
      </c>
      <c r="AG34">
        <v>100</v>
      </c>
      <c r="AH34">
        <v>103.545</v>
      </c>
      <c r="AI34">
        <v>101.85</v>
      </c>
      <c r="AJ34">
        <v>97.870999999999995</v>
      </c>
      <c r="AK34">
        <v>111.691</v>
      </c>
      <c r="AL34">
        <v>124.64</v>
      </c>
      <c r="AM34">
        <v>119.34</v>
      </c>
    </row>
    <row r="35" spans="2:39" ht="14.5" x14ac:dyDescent="0.35">
      <c r="B35" s="185">
        <v>2018</v>
      </c>
      <c r="C35" s="210">
        <v>140.19999999999999</v>
      </c>
      <c r="D35" s="210">
        <v>141</v>
      </c>
      <c r="E35" s="210">
        <v>141.19999999999999</v>
      </c>
      <c r="F35" s="210">
        <v>141.4</v>
      </c>
      <c r="G35" s="189">
        <f t="shared" si="1"/>
        <v>140.94999999999999</v>
      </c>
      <c r="H35" s="190">
        <f t="shared" si="3"/>
        <v>2.4054292060878502E-2</v>
      </c>
      <c r="K35" s="233" t="s">
        <v>301</v>
      </c>
      <c r="L35" s="234">
        <f t="shared" si="0"/>
        <v>102.291</v>
      </c>
      <c r="N35" t="s">
        <v>347</v>
      </c>
      <c r="O35" t="s">
        <v>348</v>
      </c>
      <c r="P35">
        <v>71.501000000000005</v>
      </c>
      <c r="Q35">
        <v>70.578000000000003</v>
      </c>
      <c r="R35">
        <v>70.263999999999996</v>
      </c>
      <c r="S35">
        <v>72.492999999999995</v>
      </c>
      <c r="T35">
        <v>75.363</v>
      </c>
      <c r="U35">
        <v>78.477999999999994</v>
      </c>
      <c r="V35">
        <v>81.141000000000005</v>
      </c>
      <c r="W35">
        <v>83.933000000000007</v>
      </c>
      <c r="X35">
        <v>86.594999999999999</v>
      </c>
      <c r="Y35">
        <v>83.622</v>
      </c>
      <c r="Z35">
        <v>86.495000000000005</v>
      </c>
      <c r="AA35">
        <v>89.956999999999994</v>
      </c>
      <c r="AB35">
        <v>91.79</v>
      </c>
      <c r="AC35">
        <v>93.61</v>
      </c>
      <c r="AD35">
        <v>95.88</v>
      </c>
      <c r="AE35">
        <v>95.849000000000004</v>
      </c>
      <c r="AF35">
        <v>97.44</v>
      </c>
      <c r="AG35">
        <v>100</v>
      </c>
      <c r="AH35">
        <v>102.91</v>
      </c>
      <c r="AI35">
        <v>104.694</v>
      </c>
      <c r="AJ35">
        <v>104.98</v>
      </c>
      <c r="AK35">
        <v>111.806</v>
      </c>
      <c r="AL35">
        <v>118.61499999999999</v>
      </c>
      <c r="AM35">
        <v>123.64100000000001</v>
      </c>
    </row>
    <row r="36" spans="2:39" ht="14.5" x14ac:dyDescent="0.35">
      <c r="B36" s="185">
        <v>2019</v>
      </c>
      <c r="C36" s="210">
        <v>143.6</v>
      </c>
      <c r="D36" s="210">
        <v>145</v>
      </c>
      <c r="E36" s="210">
        <v>145.30000000000001</v>
      </c>
      <c r="F36" s="210">
        <v>145.6</v>
      </c>
      <c r="G36" s="189">
        <f t="shared" si="1"/>
        <v>144.875</v>
      </c>
      <c r="H36" s="190">
        <f t="shared" si="3"/>
        <v>2.7466084099794348E-2</v>
      </c>
      <c r="K36" s="233" t="s">
        <v>302</v>
      </c>
      <c r="L36" s="234">
        <f t="shared" si="0"/>
        <v>103.979</v>
      </c>
      <c r="N36" t="s">
        <v>349</v>
      </c>
      <c r="O36" t="s">
        <v>350</v>
      </c>
      <c r="P36">
        <v>85.236000000000004</v>
      </c>
      <c r="Q36">
        <v>83.031000000000006</v>
      </c>
      <c r="R36">
        <v>82.042000000000002</v>
      </c>
      <c r="S36">
        <v>84.524000000000001</v>
      </c>
      <c r="T36">
        <v>88.552999999999997</v>
      </c>
      <c r="U36">
        <v>93.763999999999996</v>
      </c>
      <c r="V36">
        <v>97.393000000000001</v>
      </c>
      <c r="W36">
        <v>100.791</v>
      </c>
      <c r="X36">
        <v>110.783</v>
      </c>
      <c r="Y36">
        <v>98.531999999999996</v>
      </c>
      <c r="Z36">
        <v>104.108</v>
      </c>
      <c r="AA36">
        <v>112.041</v>
      </c>
      <c r="AB36">
        <v>112.35899999999999</v>
      </c>
      <c r="AC36">
        <v>110.89400000000001</v>
      </c>
      <c r="AD36">
        <v>110.06699999999999</v>
      </c>
      <c r="AE36">
        <v>101.283</v>
      </c>
      <c r="AF36">
        <v>97.825000000000003</v>
      </c>
      <c r="AG36">
        <v>100</v>
      </c>
      <c r="AH36">
        <v>102.66200000000001</v>
      </c>
      <c r="AI36">
        <v>100.999</v>
      </c>
      <c r="AJ36">
        <v>98.881</v>
      </c>
      <c r="AK36">
        <v>106.04300000000001</v>
      </c>
      <c r="AL36">
        <v>113.687</v>
      </c>
      <c r="AM36">
        <v>111.375</v>
      </c>
    </row>
    <row r="37" spans="2:39" ht="14.5" x14ac:dyDescent="0.35">
      <c r="B37" s="185">
        <v>2020</v>
      </c>
      <c r="C37" s="283">
        <v>146.9</v>
      </c>
      <c r="D37" s="283">
        <v>148.4</v>
      </c>
      <c r="E37" s="283">
        <v>148.4</v>
      </c>
      <c r="F37" s="283">
        <v>148.69999999999999</v>
      </c>
      <c r="G37" s="189">
        <f t="shared" si="1"/>
        <v>148.10000000000002</v>
      </c>
      <c r="H37" s="190">
        <f t="shared" si="3"/>
        <v>2.2016419613837539E-2</v>
      </c>
      <c r="K37" s="233" t="s">
        <v>303</v>
      </c>
      <c r="L37" s="234">
        <f t="shared" si="0"/>
        <v>105.361</v>
      </c>
      <c r="N37" t="s">
        <v>351</v>
      </c>
      <c r="O37" t="s">
        <v>346</v>
      </c>
      <c r="P37">
        <v>88.912000000000006</v>
      </c>
      <c r="Q37">
        <v>86.412999999999997</v>
      </c>
      <c r="R37">
        <v>84.921000000000006</v>
      </c>
      <c r="S37">
        <v>86.73</v>
      </c>
      <c r="T37">
        <v>90.869</v>
      </c>
      <c r="U37">
        <v>96.638000000000005</v>
      </c>
      <c r="V37">
        <v>100.511</v>
      </c>
      <c r="W37">
        <v>103.90300000000001</v>
      </c>
      <c r="X37">
        <v>115.245</v>
      </c>
      <c r="Y37">
        <v>100.768</v>
      </c>
      <c r="Z37">
        <v>107.081</v>
      </c>
      <c r="AA37">
        <v>116.289</v>
      </c>
      <c r="AB37">
        <v>116.44199999999999</v>
      </c>
      <c r="AC37">
        <v>114.181</v>
      </c>
      <c r="AD37">
        <v>112.66</v>
      </c>
      <c r="AE37">
        <v>102.053</v>
      </c>
      <c r="AF37">
        <v>97.81</v>
      </c>
      <c r="AG37">
        <v>100</v>
      </c>
      <c r="AH37">
        <v>102.709</v>
      </c>
      <c r="AI37">
        <v>100.474</v>
      </c>
      <c r="AJ37">
        <v>97.77</v>
      </c>
      <c r="AK37">
        <v>105.22</v>
      </c>
      <c r="AL37">
        <v>113.075</v>
      </c>
      <c r="AM37">
        <v>109.47499999999999</v>
      </c>
    </row>
    <row r="38" spans="2:39" ht="14.5" x14ac:dyDescent="0.35">
      <c r="B38" s="185">
        <v>2021</v>
      </c>
      <c r="C38" s="283">
        <v>150.69999999999999</v>
      </c>
      <c r="D38" s="283">
        <v>151.5</v>
      </c>
      <c r="E38" s="283">
        <v>152.5</v>
      </c>
      <c r="F38" s="283">
        <v>153.4</v>
      </c>
      <c r="G38" s="189">
        <f t="shared" si="1"/>
        <v>152.02500000000001</v>
      </c>
      <c r="H38" s="190">
        <f t="shared" si="3"/>
        <v>2.6157259732420307E-2</v>
      </c>
      <c r="K38" s="233" t="s">
        <v>304</v>
      </c>
      <c r="L38" s="234">
        <f t="shared" si="0"/>
        <v>110.172</v>
      </c>
      <c r="N38" t="s">
        <v>352</v>
      </c>
      <c r="O38" t="s">
        <v>348</v>
      </c>
      <c r="P38">
        <v>70.016999999999996</v>
      </c>
      <c r="Q38">
        <v>69.057000000000002</v>
      </c>
      <c r="R38">
        <v>70.147000000000006</v>
      </c>
      <c r="S38">
        <v>75.515000000000001</v>
      </c>
      <c r="T38">
        <v>79.096999999999994</v>
      </c>
      <c r="U38">
        <v>81.849999999999994</v>
      </c>
      <c r="V38">
        <v>84.412000000000006</v>
      </c>
      <c r="W38">
        <v>87.864000000000004</v>
      </c>
      <c r="X38">
        <v>92.234999999999999</v>
      </c>
      <c r="Y38">
        <v>88.378</v>
      </c>
      <c r="Z38">
        <v>91.227999999999994</v>
      </c>
      <c r="AA38">
        <v>94.171999999999997</v>
      </c>
      <c r="AB38">
        <v>95.134</v>
      </c>
      <c r="AC38">
        <v>96.885999999999996</v>
      </c>
      <c r="AD38">
        <v>98.953999999999994</v>
      </c>
      <c r="AE38">
        <v>97.965999999999994</v>
      </c>
      <c r="AF38">
        <v>97.888000000000005</v>
      </c>
      <c r="AG38">
        <v>100</v>
      </c>
      <c r="AH38">
        <v>102.464</v>
      </c>
      <c r="AI38">
        <v>103.307</v>
      </c>
      <c r="AJ38">
        <v>103.97</v>
      </c>
      <c r="AK38">
        <v>109.59399999999999</v>
      </c>
      <c r="AL38">
        <v>116.17</v>
      </c>
      <c r="AM38">
        <v>119.758</v>
      </c>
    </row>
    <row r="39" spans="2:39" ht="14.5" x14ac:dyDescent="0.35">
      <c r="B39" s="185">
        <v>2022</v>
      </c>
      <c r="C39" s="283">
        <v>155.6</v>
      </c>
      <c r="D39" s="283">
        <v>156.6</v>
      </c>
      <c r="E39" s="283">
        <v>157.69999999999999</v>
      </c>
      <c r="F39" s="283">
        <v>158.6</v>
      </c>
      <c r="G39" s="189">
        <f t="shared" si="1"/>
        <v>157.125</v>
      </c>
      <c r="H39" s="190">
        <f t="shared" si="3"/>
        <v>3.2996685904238127E-2</v>
      </c>
      <c r="K39" s="233" t="s">
        <v>305</v>
      </c>
      <c r="L39" s="234">
        <f t="shared" si="0"/>
        <v>118.026</v>
      </c>
      <c r="N39" t="s">
        <v>353</v>
      </c>
      <c r="O39" s="230" t="s">
        <v>354</v>
      </c>
      <c r="P39">
        <v>64.058999999999997</v>
      </c>
      <c r="Q39">
        <v>65.909000000000006</v>
      </c>
      <c r="R39">
        <v>67.61</v>
      </c>
      <c r="S39">
        <v>70.090999999999994</v>
      </c>
      <c r="T39">
        <v>73.016000000000005</v>
      </c>
      <c r="U39">
        <v>76.725999999999999</v>
      </c>
      <c r="V39">
        <v>80.063000000000002</v>
      </c>
      <c r="W39">
        <v>83.653000000000006</v>
      </c>
      <c r="X39">
        <v>87.221000000000004</v>
      </c>
      <c r="Y39">
        <v>86.835999999999999</v>
      </c>
      <c r="Z39">
        <v>89.149000000000001</v>
      </c>
      <c r="AA39">
        <v>91.861000000000004</v>
      </c>
      <c r="AB39">
        <v>93.46</v>
      </c>
      <c r="AC39">
        <v>95.634</v>
      </c>
      <c r="AD39">
        <v>97.578000000000003</v>
      </c>
      <c r="AE39">
        <v>97.581000000000003</v>
      </c>
      <c r="AF39">
        <v>97.766000000000005</v>
      </c>
      <c r="AG39">
        <v>100</v>
      </c>
      <c r="AH39">
        <v>103.619</v>
      </c>
      <c r="AI39">
        <v>105.155</v>
      </c>
      <c r="AJ39">
        <v>107.46599999999999</v>
      </c>
      <c r="AK39">
        <v>113.258</v>
      </c>
      <c r="AL39">
        <v>121.36</v>
      </c>
      <c r="AM39">
        <v>123.578</v>
      </c>
    </row>
    <row r="40" spans="2:39" ht="14.5" x14ac:dyDescent="0.35">
      <c r="B40" s="185">
        <v>2023</v>
      </c>
      <c r="C40" s="283">
        <v>161.1</v>
      </c>
      <c r="D40" s="283">
        <v>163.1</v>
      </c>
      <c r="E40" s="283">
        <v>164.8</v>
      </c>
      <c r="F40" s="283">
        <v>166.7</v>
      </c>
      <c r="G40" s="189">
        <f>AVERAGE(C40:F40)</f>
        <v>163.92500000000001</v>
      </c>
      <c r="H40" s="190">
        <f t="shared" si="3"/>
        <v>4.2367339239271759E-2</v>
      </c>
      <c r="K40" s="233" t="s">
        <v>306</v>
      </c>
      <c r="L40" s="234">
        <f>HLOOKUP(K40,$P$16:$AM$18,3,0)</f>
        <v>122.273</v>
      </c>
      <c r="N40" t="s">
        <v>355</v>
      </c>
      <c r="O40" t="s">
        <v>356</v>
      </c>
      <c r="P40">
        <v>69.114999999999995</v>
      </c>
      <c r="Q40">
        <v>70.394999999999996</v>
      </c>
      <c r="R40">
        <v>72.668999999999997</v>
      </c>
      <c r="S40">
        <v>75.849000000000004</v>
      </c>
      <c r="T40">
        <v>78.457999999999998</v>
      </c>
      <c r="U40">
        <v>81.722999999999999</v>
      </c>
      <c r="V40">
        <v>84.326999999999998</v>
      </c>
      <c r="W40">
        <v>86.83</v>
      </c>
      <c r="X40">
        <v>89.494</v>
      </c>
      <c r="Y40">
        <v>89.278999999999996</v>
      </c>
      <c r="Z40">
        <v>91.394000000000005</v>
      </c>
      <c r="AA40">
        <v>93.9</v>
      </c>
      <c r="AB40">
        <v>94.783000000000001</v>
      </c>
      <c r="AC40">
        <v>95.596999999999994</v>
      </c>
      <c r="AD40">
        <v>97.215000000000003</v>
      </c>
      <c r="AE40">
        <v>97.608999999999995</v>
      </c>
      <c r="AF40">
        <v>98.204999999999998</v>
      </c>
      <c r="AG40">
        <v>100</v>
      </c>
      <c r="AH40">
        <v>102.77500000000001</v>
      </c>
      <c r="AI40">
        <v>104.352</v>
      </c>
      <c r="AJ40">
        <v>105.35899999999999</v>
      </c>
      <c r="AK40">
        <v>108.91200000000001</v>
      </c>
      <c r="AL40">
        <v>115.218</v>
      </c>
      <c r="AM40">
        <v>120.226</v>
      </c>
    </row>
    <row r="41" spans="2:39" ht="13" x14ac:dyDescent="0.3">
      <c r="B41" s="185">
        <v>2024</v>
      </c>
      <c r="C41" s="283">
        <v>168.3</v>
      </c>
      <c r="D41" s="283">
        <v>169.6</v>
      </c>
      <c r="E41" s="283">
        <v>171.1</v>
      </c>
      <c r="F41" s="283"/>
      <c r="N41" t="s">
        <v>357</v>
      </c>
      <c r="O41" t="s">
        <v>358</v>
      </c>
      <c r="P41">
        <v>69.055999999999997</v>
      </c>
      <c r="Q41">
        <v>70.364999999999995</v>
      </c>
      <c r="R41">
        <v>72.712000000000003</v>
      </c>
      <c r="S41">
        <v>76.316999999999993</v>
      </c>
      <c r="T41">
        <v>78.965000000000003</v>
      </c>
      <c r="U41">
        <v>82.561999999999998</v>
      </c>
      <c r="V41">
        <v>85.451999999999998</v>
      </c>
      <c r="W41">
        <v>88.070999999999998</v>
      </c>
      <c r="X41">
        <v>90.998999999999995</v>
      </c>
      <c r="Y41">
        <v>90.352000000000004</v>
      </c>
      <c r="Z41">
        <v>92.272999999999996</v>
      </c>
      <c r="AA41">
        <v>94.978999999999999</v>
      </c>
      <c r="AB41">
        <v>95.99</v>
      </c>
      <c r="AC41">
        <v>96.459000000000003</v>
      </c>
      <c r="AD41">
        <v>97.85</v>
      </c>
      <c r="AE41">
        <v>98.052999999999997</v>
      </c>
      <c r="AF41">
        <v>98.418999999999997</v>
      </c>
      <c r="AG41">
        <v>100</v>
      </c>
      <c r="AH41">
        <v>102.642</v>
      </c>
      <c r="AI41">
        <v>104.06699999999999</v>
      </c>
      <c r="AJ41">
        <v>105.28700000000001</v>
      </c>
      <c r="AK41">
        <v>109.227</v>
      </c>
      <c r="AL41">
        <v>116.361</v>
      </c>
      <c r="AM41">
        <v>121.432</v>
      </c>
    </row>
    <row r="42" spans="2:39" x14ac:dyDescent="0.25">
      <c r="N42" t="s">
        <v>359</v>
      </c>
      <c r="O42" t="s">
        <v>360</v>
      </c>
      <c r="P42">
        <v>69.338999999999999</v>
      </c>
      <c r="Q42">
        <v>70.575999999999993</v>
      </c>
      <c r="R42">
        <v>72.734999999999999</v>
      </c>
      <c r="S42">
        <v>75.221000000000004</v>
      </c>
      <c r="T42">
        <v>77.77</v>
      </c>
      <c r="U42">
        <v>80.460999999999999</v>
      </c>
      <c r="V42">
        <v>82.572999999999993</v>
      </c>
      <c r="W42">
        <v>84.882000000000005</v>
      </c>
      <c r="X42">
        <v>87.084000000000003</v>
      </c>
      <c r="Y42">
        <v>87.637</v>
      </c>
      <c r="Z42">
        <v>90.093999999999994</v>
      </c>
      <c r="AA42">
        <v>92.262</v>
      </c>
      <c r="AB42">
        <v>92.927000000000007</v>
      </c>
      <c r="AC42">
        <v>94.307000000000002</v>
      </c>
      <c r="AD42">
        <v>96.287000000000006</v>
      </c>
      <c r="AE42">
        <v>96.968000000000004</v>
      </c>
      <c r="AF42">
        <v>97.897000000000006</v>
      </c>
      <c r="AG42">
        <v>100</v>
      </c>
      <c r="AH42">
        <v>102.968</v>
      </c>
      <c r="AI42">
        <v>104.767</v>
      </c>
      <c r="AJ42">
        <v>105.468</v>
      </c>
      <c r="AK42">
        <v>108.503</v>
      </c>
      <c r="AL42">
        <v>113.744</v>
      </c>
      <c r="AM42">
        <v>118.669</v>
      </c>
    </row>
    <row r="43" spans="2:39" x14ac:dyDescent="0.25">
      <c r="N43" t="s">
        <v>361</v>
      </c>
      <c r="O43" t="s">
        <v>362</v>
      </c>
      <c r="P43">
        <v>61.03</v>
      </c>
      <c r="Q43">
        <v>63.128</v>
      </c>
      <c r="R43">
        <v>64.537999999999997</v>
      </c>
      <c r="S43">
        <v>66.646000000000001</v>
      </c>
      <c r="T43">
        <v>69.725999999999999</v>
      </c>
      <c r="U43">
        <v>73.667000000000002</v>
      </c>
      <c r="V43">
        <v>77.406000000000006</v>
      </c>
      <c r="W43">
        <v>81.602999999999994</v>
      </c>
      <c r="X43">
        <v>85.691999999999993</v>
      </c>
      <c r="Y43">
        <v>85.200999999999993</v>
      </c>
      <c r="Z43">
        <v>87.641999999999996</v>
      </c>
      <c r="AA43">
        <v>90.494</v>
      </c>
      <c r="AB43">
        <v>92.578999999999994</v>
      </c>
      <c r="AC43">
        <v>95.653999999999996</v>
      </c>
      <c r="AD43">
        <v>97.804000000000002</v>
      </c>
      <c r="AE43">
        <v>97.566999999999993</v>
      </c>
      <c r="AF43">
        <v>97.504999999999995</v>
      </c>
      <c r="AG43">
        <v>100</v>
      </c>
      <c r="AH43">
        <v>104.126</v>
      </c>
      <c r="AI43">
        <v>105.63800000000001</v>
      </c>
      <c r="AJ43">
        <v>108.756</v>
      </c>
      <c r="AK43">
        <v>115.99</v>
      </c>
      <c r="AL43">
        <v>125.246</v>
      </c>
      <c r="AM43">
        <v>125.705</v>
      </c>
    </row>
    <row r="44" spans="2:39" ht="13" x14ac:dyDescent="0.3">
      <c r="N44" t="s">
        <v>282</v>
      </c>
      <c r="O44" s="230" t="s">
        <v>363</v>
      </c>
      <c r="P44" t="s">
        <v>282</v>
      </c>
      <c r="Q44" t="s">
        <v>282</v>
      </c>
      <c r="R44" t="s">
        <v>282</v>
      </c>
      <c r="S44" t="s">
        <v>282</v>
      </c>
      <c r="T44" t="s">
        <v>282</v>
      </c>
      <c r="U44" t="s">
        <v>282</v>
      </c>
      <c r="V44" t="s">
        <v>282</v>
      </c>
      <c r="W44" t="s">
        <v>282</v>
      </c>
      <c r="X44" t="s">
        <v>282</v>
      </c>
      <c r="Y44" t="s">
        <v>282</v>
      </c>
      <c r="Z44" t="s">
        <v>282</v>
      </c>
      <c r="AA44" t="s">
        <v>282</v>
      </c>
      <c r="AB44" t="s">
        <v>282</v>
      </c>
      <c r="AC44" t="s">
        <v>282</v>
      </c>
      <c r="AD44" t="s">
        <v>282</v>
      </c>
      <c r="AE44" t="s">
        <v>282</v>
      </c>
      <c r="AF44" t="s">
        <v>282</v>
      </c>
      <c r="AG44" t="s">
        <v>282</v>
      </c>
      <c r="AH44" t="s">
        <v>282</v>
      </c>
      <c r="AI44" t="s">
        <v>282</v>
      </c>
      <c r="AJ44" t="s">
        <v>282</v>
      </c>
      <c r="AK44" t="s">
        <v>282</v>
      </c>
      <c r="AL44" t="s">
        <v>282</v>
      </c>
      <c r="AM44" t="s">
        <v>282</v>
      </c>
    </row>
    <row r="45" spans="2:39" x14ac:dyDescent="0.25">
      <c r="N45" t="s">
        <v>364</v>
      </c>
      <c r="O45" t="s">
        <v>365</v>
      </c>
      <c r="P45">
        <v>72.742999999999995</v>
      </c>
      <c r="Q45">
        <v>74.38</v>
      </c>
      <c r="R45">
        <v>75.534999999999997</v>
      </c>
      <c r="S45">
        <v>77.027000000000001</v>
      </c>
      <c r="T45">
        <v>79.097999999999999</v>
      </c>
      <c r="U45">
        <v>81.58</v>
      </c>
      <c r="V45">
        <v>84.096000000000004</v>
      </c>
      <c r="W45">
        <v>86.376999999999995</v>
      </c>
      <c r="X45">
        <v>88.046000000000006</v>
      </c>
      <c r="Y45">
        <v>88.581000000000003</v>
      </c>
      <c r="Z45">
        <v>89.66</v>
      </c>
      <c r="AA45">
        <v>91.513999999999996</v>
      </c>
      <c r="AB45">
        <v>93.216999999999999</v>
      </c>
      <c r="AC45">
        <v>94.801000000000002</v>
      </c>
      <c r="AD45">
        <v>96.451999999999998</v>
      </c>
      <c r="AE45">
        <v>97.338999999999999</v>
      </c>
      <c r="AF45">
        <v>98.262</v>
      </c>
      <c r="AG45">
        <v>100</v>
      </c>
      <c r="AH45">
        <v>102.22499999999999</v>
      </c>
      <c r="AI45">
        <v>103.90900000000001</v>
      </c>
      <c r="AJ45">
        <v>105.289</v>
      </c>
      <c r="AK45">
        <v>110.09399999999999</v>
      </c>
      <c r="AL45">
        <v>117.943</v>
      </c>
      <c r="AM45">
        <v>122.185</v>
      </c>
    </row>
  </sheetData>
  <mergeCells count="1">
    <mergeCell ref="C13:G13"/>
  </mergeCells>
  <phoneticPr fontId="70" type="noConversion"/>
  <hyperlinks>
    <hyperlink ref="C14" r:id="rId1" xr:uid="{00000000-0004-0000-0B00-000001000000}"/>
    <hyperlink ref="O5" r:id="rId2" location="reqid=19&amp;step=3&amp;isuri=1&amp;1921=survey&amp;1903=13" display="https://apps.bea.gov/iTable/iTable.cfm?reqid=19&amp;step=3&amp;isuri=1&amp;1921=survey&amp;1903=13 - reqid=19&amp;step=3&amp;isuri=1&amp;1921=survey&amp;1903=13" xr:uid="{8A22BF44-768F-4399-9159-63C04C332DBA}"/>
  </hyperlinks>
  <pageMargins left="0.7" right="0.7" top="0.75" bottom="0.75" header="0.3" footer="0.3"/>
  <pageSetup scale="34" orientation="portrait" r:id="rId3"/>
  <ignoredErrors>
    <ignoredError sqref="K17:K31 K32:K35 P16:AH16 N18:N4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outlinePr summaryBelow="0" summaryRight="0"/>
  </sheetPr>
  <dimension ref="A1:U193"/>
  <sheetViews>
    <sheetView showGridLines="0" zoomScale="80" zoomScaleNormal="80" workbookViewId="0">
      <pane ySplit="2" topLeftCell="A3" activePane="bottomLeft" state="frozen"/>
      <selection pane="bottomLeft" activeCell="J2" sqref="J2"/>
    </sheetView>
  </sheetViews>
  <sheetFormatPr defaultColWidth="9.1796875" defaultRowHeight="13" x14ac:dyDescent="0.3"/>
  <cols>
    <col min="1" max="1" width="2.81640625" style="1" customWidth="1"/>
    <col min="2" max="3" width="20.7265625" style="1" customWidth="1"/>
    <col min="4" max="4" width="29.7265625" style="1" customWidth="1"/>
    <col min="5" max="5" width="20.7265625" style="1" customWidth="1"/>
    <col min="6" max="6" width="29.7265625" style="1" customWidth="1"/>
    <col min="7" max="8" width="20.7265625" style="1" customWidth="1"/>
    <col min="9" max="9" width="29.7265625" style="1" customWidth="1"/>
    <col min="10" max="11" width="20.7265625" style="1" customWidth="1"/>
    <col min="12" max="17" width="20.7265625" style="85" customWidth="1"/>
    <col min="18" max="18" width="22" style="1" bestFit="1" customWidth="1"/>
    <col min="19" max="19" width="9.1796875" style="1"/>
    <col min="20" max="20" width="12.54296875" style="1" bestFit="1" customWidth="1"/>
    <col min="21" max="21" width="16" style="1" bestFit="1" customWidth="1"/>
    <col min="22" max="16384" width="9.1796875" style="1"/>
  </cols>
  <sheetData>
    <row r="1" spans="1:21" x14ac:dyDescent="0.3">
      <c r="A1" s="193"/>
      <c r="B1" s="116" t="s">
        <v>10</v>
      </c>
      <c r="C1" s="115"/>
      <c r="D1" s="115"/>
      <c r="E1" s="115"/>
      <c r="F1" s="115"/>
      <c r="G1" s="115"/>
      <c r="H1" s="115"/>
      <c r="I1" s="115"/>
      <c r="J1" s="115"/>
      <c r="K1" s="117"/>
    </row>
    <row r="2" spans="1:21" s="105" customFormat="1" x14ac:dyDescent="0.3">
      <c r="B2" s="69" t="s">
        <v>11</v>
      </c>
      <c r="C2" s="69" t="s">
        <v>12</v>
      </c>
      <c r="D2" s="69" t="str">
        <f>VLOOKUP($C$2,'OPG hydro peers'!$D$4:$E$27,2,0)</f>
        <v>OPG Hydro Peer Industry Total</v>
      </c>
      <c r="E2" s="69" t="str">
        <f>VLOOKUP($C$2,'OPG hydro peers'!$D$4:$F$27,3,0)</f>
        <v>NA</v>
      </c>
      <c r="F2" s="103" t="s">
        <v>13</v>
      </c>
      <c r="G2" s="104">
        <f>I166</f>
        <v>-6.3007382315232808E-3</v>
      </c>
      <c r="H2" s="222"/>
      <c r="I2" s="109" t="str">
        <f>D169</f>
        <v>TFP trend growth rate (2002-2023):</v>
      </c>
      <c r="J2" s="109">
        <f>D171</f>
        <v>-4.0120958337121777E-3</v>
      </c>
      <c r="K2" s="69"/>
      <c r="L2" s="118"/>
      <c r="M2" s="118"/>
      <c r="N2" s="118"/>
      <c r="O2" s="118"/>
      <c r="P2" s="118"/>
      <c r="Q2" s="118"/>
    </row>
    <row r="4" spans="1:21" s="193" customFormat="1" x14ac:dyDescent="0.3">
      <c r="B4" s="122" t="s">
        <v>14</v>
      </c>
      <c r="C4" s="121"/>
      <c r="D4" s="121"/>
      <c r="E4" s="121"/>
      <c r="F4" s="121"/>
      <c r="G4" s="121"/>
      <c r="H4" s="121"/>
      <c r="I4" s="121"/>
      <c r="J4" s="121"/>
      <c r="K4" s="121"/>
      <c r="L4" s="211"/>
      <c r="M4" s="211"/>
      <c r="N4" s="211"/>
      <c r="O4" s="211"/>
      <c r="P4" s="211"/>
      <c r="Q4" s="211"/>
    </row>
    <row r="5" spans="1:21" x14ac:dyDescent="0.3">
      <c r="B5" s="42" t="s">
        <v>15</v>
      </c>
      <c r="C5" s="43" t="s">
        <v>16</v>
      </c>
      <c r="D5" s="43" t="s">
        <v>16</v>
      </c>
      <c r="E5" s="43" t="s">
        <v>17</v>
      </c>
      <c r="F5" s="43" t="s">
        <v>18</v>
      </c>
      <c r="G5" s="43" t="s">
        <v>19</v>
      </c>
      <c r="H5" s="43" t="s">
        <v>20</v>
      </c>
      <c r="I5" s="43" t="s">
        <v>20</v>
      </c>
      <c r="J5" s="43" t="s">
        <v>20</v>
      </c>
      <c r="M5" s="119"/>
      <c r="N5" s="119"/>
      <c r="T5" s="195"/>
      <c r="U5" s="195"/>
    </row>
    <row r="6" spans="1:21" x14ac:dyDescent="0.3">
      <c r="B6" s="43" t="s">
        <v>3</v>
      </c>
      <c r="C6" s="43" t="str">
        <f>+TFP_dataset!F4&amp; " ("&amp;TFP_dataset!F3&amp; ")"</f>
        <v>MCR (MW)</v>
      </c>
      <c r="D6" s="43" t="str">
        <f>+TFP_dataset!J4&amp; " ("&amp;TFP_dataset!J3&amp; ")"</f>
        <v>O&amp;M_total (K$)</v>
      </c>
      <c r="E6" s="12" t="str">
        <f>'Can O&amp;M price indexes'!K4</f>
        <v>O&amp;M Price Index</v>
      </c>
      <c r="F6" s="43" t="str">
        <f>+TFP_dataset!M4&amp; " ("&amp;TFP_dataset!M3&amp; ")"</f>
        <v>Net_generation (MWh)</v>
      </c>
      <c r="G6" s="12" t="str">
        <f>+TFP_dataset!N4&amp; " ("&amp;TFP_dataset!N3&amp; ")"</f>
        <v>Revenue (K$)</v>
      </c>
      <c r="H6" s="12" t="str">
        <f>+TFP_dataset!O4&amp; " ("&amp;TFP_dataset!O3&amp; ")"</f>
        <v>Capital (K$)</v>
      </c>
      <c r="I6" s="12" t="s">
        <v>21</v>
      </c>
      <c r="J6" s="12" t="s">
        <v>22</v>
      </c>
      <c r="M6" s="119"/>
      <c r="N6" s="119"/>
      <c r="T6" s="195"/>
      <c r="U6" s="195"/>
    </row>
    <row r="7" spans="1:21" x14ac:dyDescent="0.3">
      <c r="B7" s="2">
        <v>2002</v>
      </c>
      <c r="C7" s="3">
        <f>SUMIFS(TFP_dataset!$F$5:$F$532,TFP_dataset!$D$5:$D$532,TFP_Calcs!$C$2,TFP_dataset!$E$5:$E$532,TFP_Calcs!$B7)</f>
        <v>43368.599999999991</v>
      </c>
      <c r="D7" s="3">
        <f>SUMIFS(TFP_dataset!$J$5:$J$532,TFP_dataset!$D$5:$D$532,TFP_Calcs!$C$2,TFP_dataset!$E$5:$E$532,TFP_Calcs!$B7)</f>
        <v>767355.93699999945</v>
      </c>
      <c r="E7" s="4">
        <f>AVERAGEIFS('NA comb O&amp;M price indexes'!$C6:$E6,'NA comb O&amp;M price indexes'!$C$4:$E$4,TFP_Calcs!$E$2)</f>
        <v>1</v>
      </c>
      <c r="F7" s="3">
        <f>SUMIFS(TFP_dataset!$M$5:$M$532,TFP_dataset!$D$5:$D$532,TFP_Calcs!$C$2,TFP_dataset!$E$5:$E$532,TFP_Calcs!$B7)</f>
        <v>127192067.59299999</v>
      </c>
      <c r="G7" s="3">
        <f>SUMIFS(TFP_dataset!$N$5:$N$532,TFP_dataset!$D$5:$D$532,TFP_Calcs!$C$2,TFP_dataset!$E$5:$E$532,TFP_Calcs!$B7)</f>
        <v>4435116.3245463204</v>
      </c>
      <c r="H7" s="3">
        <f>G7-D7</f>
        <v>3667760.3875463209</v>
      </c>
      <c r="I7" s="5">
        <f>H7/G7</f>
        <v>0.82698177886495583</v>
      </c>
      <c r="J7" s="5">
        <f>1-I7</f>
        <v>0.17301822113504417</v>
      </c>
      <c r="M7" s="112"/>
      <c r="N7" s="112"/>
      <c r="P7" s="120"/>
      <c r="T7" s="67"/>
      <c r="U7" s="67"/>
    </row>
    <row r="8" spans="1:21" x14ac:dyDescent="0.3">
      <c r="B8" s="2">
        <v>2003</v>
      </c>
      <c r="C8" s="3">
        <f>SUMIFS(TFP_dataset!$F$5:$F$532,TFP_dataset!$D$5:$D$532,TFP_Calcs!$C$2,TFP_dataset!$E$5:$E$532,TFP_Calcs!$B8)</f>
        <v>44056.099999999991</v>
      </c>
      <c r="D8" s="3">
        <f>SUMIFS(TFP_dataset!$J$5:$J$532,TFP_dataset!$D$5:$D$532,TFP_Calcs!$C$2,TFP_dataset!$E$5:$E$532,TFP_Calcs!$B8)</f>
        <v>848091.07112199976</v>
      </c>
      <c r="E8" s="4">
        <f>AVERAGEIFS('NA comb O&amp;M price indexes'!$C7:$E7,'NA comb O&amp;M price indexes'!$C$4:$E$4,TFP_Calcs!$E$2)</f>
        <v>1.0238416428664967</v>
      </c>
      <c r="F8" s="3">
        <f>SUMIFS(TFP_dataset!$M$5:$M$532,TFP_dataset!$D$5:$D$532,TFP_Calcs!$C$2,TFP_dataset!$E$5:$E$532,TFP_Calcs!$B8)</f>
        <v>136504986.611</v>
      </c>
      <c r="G8" s="3">
        <f>SUMIFS(TFP_dataset!$N$5:$N$532,TFP_dataset!$D$5:$D$532,TFP_Calcs!$C$2,TFP_dataset!$E$5:$E$532,TFP_Calcs!$B8)</f>
        <v>5476601.9523873869</v>
      </c>
      <c r="H8" s="3">
        <f t="shared" ref="H8" si="0">G8-D8</f>
        <v>4628510.8812653869</v>
      </c>
      <c r="I8" s="5">
        <f t="shared" ref="I8" si="1">H8/G8</f>
        <v>0.84514283154131808</v>
      </c>
      <c r="J8" s="5">
        <f t="shared" ref="J8" si="2">1-I8</f>
        <v>0.15485716845868192</v>
      </c>
      <c r="M8" s="112"/>
      <c r="N8" s="112"/>
      <c r="P8" s="120"/>
      <c r="Q8" s="212"/>
      <c r="T8" s="67"/>
      <c r="U8" s="67"/>
    </row>
    <row r="9" spans="1:21" x14ac:dyDescent="0.3">
      <c r="B9" s="2">
        <v>2004</v>
      </c>
      <c r="C9" s="3">
        <f>SUMIFS(TFP_dataset!$F$5:$F$532,TFP_dataset!$D$5:$D$532,TFP_Calcs!$C$2,TFP_dataset!$E$5:$E$532,TFP_Calcs!$B9)</f>
        <v>44102.719999999994</v>
      </c>
      <c r="D9" s="3">
        <f>SUMIFS(TFP_dataset!$J$5:$J$532,TFP_dataset!$D$5:$D$532,TFP_Calcs!$C$2,TFP_dataset!$E$5:$E$532,TFP_Calcs!$B9)</f>
        <v>883617.04389399977</v>
      </c>
      <c r="E9" s="4">
        <f>AVERAGEIFS('NA comb O&amp;M price indexes'!$C8:$E8,'NA comb O&amp;M price indexes'!$C$4:$E$4,TFP_Calcs!$E$2)</f>
        <v>1.0528306384899577</v>
      </c>
      <c r="F9" s="3">
        <f>SUMIFS(TFP_dataset!$M$5:$M$532,TFP_dataset!$D$5:$D$532,TFP_Calcs!$C$2,TFP_dataset!$E$5:$E$532,TFP_Calcs!$B9)</f>
        <v>132039498.895</v>
      </c>
      <c r="G9" s="3">
        <f>SUMIFS(TFP_dataset!$N$5:$N$532,TFP_dataset!$D$5:$D$532,TFP_Calcs!$C$2,TFP_dataset!$E$5:$E$532,TFP_Calcs!$B9)</f>
        <v>5404350.6762194522</v>
      </c>
      <c r="H9" s="3">
        <f t="shared" ref="H9:H28" si="3">G9-D9</f>
        <v>4520733.6323254528</v>
      </c>
      <c r="I9" s="5">
        <f t="shared" ref="I9:I28" si="4">H9/G9</f>
        <v>0.83649894375245781</v>
      </c>
      <c r="J9" s="5">
        <f t="shared" ref="J9:J28" si="5">1-I9</f>
        <v>0.16350105624754219</v>
      </c>
      <c r="M9" s="112"/>
      <c r="N9" s="112"/>
      <c r="P9" s="120"/>
      <c r="Q9" s="212"/>
      <c r="T9" s="67"/>
      <c r="U9" s="67"/>
    </row>
    <row r="10" spans="1:21" x14ac:dyDescent="0.3">
      <c r="B10" s="2">
        <v>2005</v>
      </c>
      <c r="C10" s="3">
        <f>SUMIFS(TFP_dataset!$F$5:$F$532,TFP_dataset!$D$5:$D$532,TFP_Calcs!$C$2,TFP_dataset!$E$5:$E$532,TFP_Calcs!$B10)</f>
        <v>44081.119999999995</v>
      </c>
      <c r="D10" s="3">
        <f>SUMIFS(TFP_dataset!$J$5:$J$532,TFP_dataset!$D$5:$D$532,TFP_Calcs!$C$2,TFP_dataset!$E$5:$E$532,TFP_Calcs!$B10)</f>
        <v>929010.11249199975</v>
      </c>
      <c r="E10" s="4">
        <f>AVERAGEIFS('NA comb O&amp;M price indexes'!$C9:$E9,'NA comb O&amp;M price indexes'!$C$4:$E$4,TFP_Calcs!$E$2)</f>
        <v>1.0834965084575219</v>
      </c>
      <c r="F10" s="3">
        <f>SUMIFS(TFP_dataset!$M$5:$M$532,TFP_dataset!$D$5:$D$532,TFP_Calcs!$C$2,TFP_dataset!$E$5:$E$532,TFP_Calcs!$B10)</f>
        <v>131053288.301</v>
      </c>
      <c r="G10" s="3">
        <f>SUMIFS(TFP_dataset!$N$5:$N$532,TFP_dataset!$D$5:$D$532,TFP_Calcs!$C$2,TFP_dataset!$E$5:$E$532,TFP_Calcs!$B10)</f>
        <v>6378226.4142814893</v>
      </c>
      <c r="H10" s="3">
        <f t="shared" si="3"/>
        <v>5449216.3017894896</v>
      </c>
      <c r="I10" s="5">
        <f t="shared" si="4"/>
        <v>0.85434663930840515</v>
      </c>
      <c r="J10" s="5">
        <f t="shared" si="5"/>
        <v>0.14565336069159485</v>
      </c>
      <c r="M10" s="112"/>
      <c r="N10" s="112"/>
      <c r="P10" s="120"/>
      <c r="Q10" s="212"/>
      <c r="T10" s="67"/>
      <c r="U10" s="67"/>
    </row>
    <row r="11" spans="1:21" x14ac:dyDescent="0.3">
      <c r="B11" s="2">
        <v>2006</v>
      </c>
      <c r="C11" s="3">
        <f>SUMIFS(TFP_dataset!$F$5:$F$532,TFP_dataset!$D$5:$D$532,TFP_Calcs!$C$2,TFP_dataset!$E$5:$E$532,TFP_Calcs!$B11)</f>
        <v>44145.499999999993</v>
      </c>
      <c r="D11" s="3">
        <f>SUMIFS(TFP_dataset!$J$5:$J$532,TFP_dataset!$D$5:$D$532,TFP_Calcs!$C$2,TFP_dataset!$E$5:$E$532,TFP_Calcs!$B11)</f>
        <v>984375.49452800036</v>
      </c>
      <c r="E11" s="4">
        <f>AVERAGEIFS('NA comb O&amp;M price indexes'!$C10:$E10,'NA comb O&amp;M price indexes'!$C$4:$E$4,TFP_Calcs!$E$2)</f>
        <v>1.1150118477998616</v>
      </c>
      <c r="F11" s="3">
        <f>SUMIFS(TFP_dataset!$M$5:$M$532,TFP_dataset!$D$5:$D$532,TFP_Calcs!$C$2,TFP_dataset!$E$5:$E$532,TFP_Calcs!$B11)</f>
        <v>138964436.42199999</v>
      </c>
      <c r="G11" s="3">
        <f>SUMIFS(TFP_dataset!$N$5:$N$532,TFP_dataset!$D$5:$D$532,TFP_Calcs!$C$2,TFP_dataset!$E$5:$E$532,TFP_Calcs!$B11)</f>
        <v>5715307.0830493104</v>
      </c>
      <c r="H11" s="3">
        <f t="shared" si="3"/>
        <v>4730931.5885213101</v>
      </c>
      <c r="I11" s="5">
        <f t="shared" si="4"/>
        <v>0.82776507364801077</v>
      </c>
      <c r="J11" s="5">
        <f t="shared" si="5"/>
        <v>0.17223492635198923</v>
      </c>
      <c r="M11" s="112"/>
      <c r="N11" s="112"/>
      <c r="P11" s="120"/>
      <c r="Q11" s="212"/>
      <c r="T11" s="67"/>
      <c r="U11" s="67"/>
    </row>
    <row r="12" spans="1:21" x14ac:dyDescent="0.3">
      <c r="B12" s="2">
        <v>2007</v>
      </c>
      <c r="C12" s="3">
        <f>SUMIFS(TFP_dataset!$F$5:$F$532,TFP_dataset!$D$5:$D$532,TFP_Calcs!$C$2,TFP_dataset!$E$5:$E$532,TFP_Calcs!$B12)</f>
        <v>43473.099999999991</v>
      </c>
      <c r="D12" s="3">
        <f>SUMIFS(TFP_dataset!$J$5:$J$532,TFP_dataset!$D$5:$D$532,TFP_Calcs!$C$2,TFP_dataset!$E$5:$E$532,TFP_Calcs!$B12)</f>
        <v>1065927.2623340001</v>
      </c>
      <c r="E12" s="4">
        <f>AVERAGEIFS('NA comb O&amp;M price indexes'!$C11:$E11,'NA comb O&amp;M price indexes'!$C$4:$E$4,TFP_Calcs!$E$2)</f>
        <v>1.149414471239955</v>
      </c>
      <c r="F12" s="3">
        <f>SUMIFS(TFP_dataset!$M$5:$M$532,TFP_dataset!$D$5:$D$532,TFP_Calcs!$C$2,TFP_dataset!$E$5:$E$532,TFP_Calcs!$B12)</f>
        <v>117647374.309</v>
      </c>
      <c r="G12" s="3">
        <f>SUMIFS(TFP_dataset!$N$5:$N$532,TFP_dataset!$D$5:$D$532,TFP_Calcs!$C$2,TFP_dataset!$E$5:$E$532,TFP_Calcs!$B12)</f>
        <v>5193465.0325811477</v>
      </c>
      <c r="H12" s="3">
        <f t="shared" si="3"/>
        <v>4127537.7702471474</v>
      </c>
      <c r="I12" s="5">
        <f t="shared" si="4"/>
        <v>0.79475605291516993</v>
      </c>
      <c r="J12" s="5">
        <f t="shared" si="5"/>
        <v>0.20524394708483007</v>
      </c>
      <c r="M12" s="112"/>
      <c r="N12" s="112"/>
      <c r="P12" s="120"/>
      <c r="Q12" s="212"/>
      <c r="T12" s="67"/>
      <c r="U12" s="67"/>
    </row>
    <row r="13" spans="1:21" x14ac:dyDescent="0.3">
      <c r="B13" s="2">
        <v>2008</v>
      </c>
      <c r="C13" s="3">
        <f>SUMIFS(TFP_dataset!$F$5:$F$532,TFP_dataset!$D$5:$D$532,TFP_Calcs!$C$2,TFP_dataset!$E$5:$E$532,TFP_Calcs!$B13)</f>
        <v>43799.299999999988</v>
      </c>
      <c r="D13" s="3">
        <f>SUMIFS(TFP_dataset!$J$5:$J$532,TFP_dataset!$D$5:$D$532,TFP_Calcs!$C$2,TFP_dataset!$E$5:$E$532,TFP_Calcs!$B13)</f>
        <v>1158072.223094</v>
      </c>
      <c r="E13" s="4">
        <f>AVERAGEIFS('NA comb O&amp;M price indexes'!$C12:$E12,'NA comb O&amp;M price indexes'!$C$4:$E$4,TFP_Calcs!$E$2)</f>
        <v>1.1800533094406391</v>
      </c>
      <c r="F13" s="3">
        <f>SUMIFS(TFP_dataset!$M$5:$M$532,TFP_dataset!$D$5:$D$532,TFP_Calcs!$C$2,TFP_dataset!$E$5:$E$532,TFP_Calcs!$B13)</f>
        <v>121281886.145</v>
      </c>
      <c r="G13" s="3">
        <f>SUMIFS(TFP_dataset!$N$5:$N$532,TFP_dataset!$D$5:$D$532,TFP_Calcs!$C$2,TFP_dataset!$E$5:$E$532,TFP_Calcs!$B13)</f>
        <v>6135929.9569736002</v>
      </c>
      <c r="H13" s="3">
        <f t="shared" si="3"/>
        <v>4977857.7338795997</v>
      </c>
      <c r="I13" s="5">
        <f t="shared" si="4"/>
        <v>0.81126378051662251</v>
      </c>
      <c r="J13" s="5">
        <f t="shared" si="5"/>
        <v>0.18873621948337749</v>
      </c>
      <c r="M13" s="112"/>
      <c r="N13" s="112"/>
      <c r="P13" s="120"/>
      <c r="Q13" s="212"/>
      <c r="T13" s="67"/>
      <c r="U13" s="67"/>
    </row>
    <row r="14" spans="1:21" x14ac:dyDescent="0.3">
      <c r="B14" s="2">
        <v>2009</v>
      </c>
      <c r="C14" s="3">
        <f>SUMIFS(TFP_dataset!$F$5:$F$532,TFP_dataset!$D$5:$D$532,TFP_Calcs!$C$2,TFP_dataset!$E$5:$E$532,TFP_Calcs!$B14)</f>
        <v>43853.782999999996</v>
      </c>
      <c r="D14" s="3">
        <f>SUMIFS(TFP_dataset!$J$5:$J$532,TFP_dataset!$D$5:$D$532,TFP_Calcs!$C$2,TFP_dataset!$E$5:$E$532,TFP_Calcs!$B14)</f>
        <v>1179985.175668</v>
      </c>
      <c r="E14" s="4">
        <f>AVERAGEIFS('NA comb O&amp;M price indexes'!$C13:$E13,'NA comb O&amp;M price indexes'!$C$4:$E$4,TFP_Calcs!$E$2)</f>
        <v>1.202103422973186</v>
      </c>
      <c r="F14" s="3">
        <f>SUMIFS(TFP_dataset!$M$5:$M$532,TFP_dataset!$D$5:$D$532,TFP_Calcs!$C$2,TFP_dataset!$E$5:$E$532,TFP_Calcs!$B14)</f>
        <v>130960439.34</v>
      </c>
      <c r="G14" s="3">
        <f>SUMIFS(TFP_dataset!$N$5:$N$532,TFP_dataset!$D$5:$D$532,TFP_Calcs!$C$2,TFP_dataset!$E$5:$E$532,TFP_Calcs!$B14)</f>
        <v>4663465.4034009464</v>
      </c>
      <c r="H14" s="3">
        <f t="shared" si="3"/>
        <v>3483480.2277329462</v>
      </c>
      <c r="I14" s="5">
        <f t="shared" si="4"/>
        <v>0.74697246069254264</v>
      </c>
      <c r="J14" s="5">
        <f t="shared" si="5"/>
        <v>0.25302753930745736</v>
      </c>
      <c r="M14" s="112"/>
      <c r="N14" s="112"/>
      <c r="P14" s="120"/>
      <c r="Q14" s="212"/>
      <c r="T14" s="67"/>
      <c r="U14" s="67"/>
    </row>
    <row r="15" spans="1:21" x14ac:dyDescent="0.3">
      <c r="B15" s="2">
        <v>2010</v>
      </c>
      <c r="C15" s="3">
        <f>SUMIFS(TFP_dataset!$F$5:$F$532,TFP_dataset!$D$5:$D$532,TFP_Calcs!$C$2,TFP_dataset!$E$5:$E$532,TFP_Calcs!$B15)</f>
        <v>43858.329999999994</v>
      </c>
      <c r="D15" s="3">
        <f>SUMIFS(TFP_dataset!$J$5:$J$532,TFP_dataset!$D$5:$D$532,TFP_Calcs!$C$2,TFP_dataset!$E$5:$E$532,TFP_Calcs!$B15)</f>
        <v>1223687.153624455</v>
      </c>
      <c r="E15" s="4">
        <f>AVERAGEIFS('NA comb O&amp;M price indexes'!$C14:$E14,'NA comb O&amp;M price indexes'!$C$4:$E$4,TFP_Calcs!$E$2)</f>
        <v>1.2275540955731761</v>
      </c>
      <c r="F15" s="3">
        <f>SUMIFS(TFP_dataset!$M$5:$M$532,TFP_dataset!$D$5:$D$532,TFP_Calcs!$C$2,TFP_dataset!$E$5:$E$532,TFP_Calcs!$B15)</f>
        <v>127251564.16</v>
      </c>
      <c r="G15" s="3">
        <f>SUMIFS(TFP_dataset!$N$5:$N$532,TFP_dataset!$D$5:$D$532,TFP_Calcs!$C$2,TFP_dataset!$E$5:$E$532,TFP_Calcs!$B15)</f>
        <v>4634336.1092730965</v>
      </c>
      <c r="H15" s="3">
        <f t="shared" si="3"/>
        <v>3410648.9556486416</v>
      </c>
      <c r="I15" s="5">
        <f t="shared" si="4"/>
        <v>0.73595200590308663</v>
      </c>
      <c r="J15" s="5">
        <f t="shared" si="5"/>
        <v>0.26404799409691337</v>
      </c>
      <c r="M15" s="112"/>
      <c r="N15" s="112"/>
      <c r="P15" s="120"/>
      <c r="Q15" s="212"/>
      <c r="T15" s="67"/>
      <c r="U15" s="67"/>
    </row>
    <row r="16" spans="1:21" x14ac:dyDescent="0.3">
      <c r="B16" s="2">
        <v>2011</v>
      </c>
      <c r="C16" s="3">
        <f>SUMIFS(TFP_dataset!$F$5:$F$532,TFP_dataset!$D$5:$D$532,TFP_Calcs!$C$2,TFP_dataset!$E$5:$E$532,TFP_Calcs!$B16)</f>
        <v>43488.27</v>
      </c>
      <c r="D16" s="3">
        <f>SUMIFS(TFP_dataset!$J$5:$J$532,TFP_dataset!$D$5:$D$532,TFP_Calcs!$C$2,TFP_dataset!$E$5:$E$532,TFP_Calcs!$B16)</f>
        <v>1206971.6256983213</v>
      </c>
      <c r="E16" s="4">
        <f>AVERAGEIFS('NA comb O&amp;M price indexes'!$C15:$E15,'NA comb O&amp;M price indexes'!$C$4:$E$4,TFP_Calcs!$E$2)</f>
        <v>1.2568139386826445</v>
      </c>
      <c r="F16" s="3">
        <f>SUMIFS(TFP_dataset!$M$5:$M$532,TFP_dataset!$D$5:$D$532,TFP_Calcs!$C$2,TFP_dataset!$E$5:$E$532,TFP_Calcs!$B16)</f>
        <v>144859617.37200001</v>
      </c>
      <c r="G16" s="3">
        <f>SUMIFS(TFP_dataset!$N$5:$N$532,TFP_dataset!$D$5:$D$532,TFP_Calcs!$C$2,TFP_dataset!$E$5:$E$532,TFP_Calcs!$B16)</f>
        <v>4645155.195253347</v>
      </c>
      <c r="H16" s="3">
        <f t="shared" si="3"/>
        <v>3438183.5695550255</v>
      </c>
      <c r="I16" s="5">
        <f t="shared" si="4"/>
        <v>0.74016548964140838</v>
      </c>
      <c r="J16" s="5">
        <f t="shared" si="5"/>
        <v>0.25983451035859162</v>
      </c>
      <c r="M16" s="112"/>
      <c r="N16" s="112"/>
      <c r="P16" s="120"/>
      <c r="Q16" s="212"/>
      <c r="T16" s="67"/>
      <c r="U16" s="67"/>
    </row>
    <row r="17" spans="2:21" x14ac:dyDescent="0.3">
      <c r="B17" s="2">
        <v>2012</v>
      </c>
      <c r="C17" s="3">
        <f>SUMIFS(TFP_dataset!$F$5:$F$532,TFP_dataset!$D$5:$D$532,TFP_Calcs!$C$2,TFP_dataset!$E$5:$E$532,TFP_Calcs!$B17)</f>
        <v>43587.25</v>
      </c>
      <c r="D17" s="3">
        <f>SUMIFS(TFP_dataset!$J$5:$J$532,TFP_dataset!$D$5:$D$532,TFP_Calcs!$C$2,TFP_dataset!$E$5:$E$532,TFP_Calcs!$B17)</f>
        <v>1245087.3523158645</v>
      </c>
      <c r="E17" s="4">
        <f>AVERAGEIFS('NA comb O&amp;M price indexes'!$C16:$E16,'NA comb O&amp;M price indexes'!$C$4:$E$4,TFP_Calcs!$E$2)</f>
        <v>1.2834735563541508</v>
      </c>
      <c r="F17" s="3">
        <f>SUMIFS(TFP_dataset!$M$5:$M$532,TFP_dataset!$D$5:$D$532,TFP_Calcs!$C$2,TFP_dataset!$E$5:$E$532,TFP_Calcs!$B17)</f>
        <v>127759868.133</v>
      </c>
      <c r="G17" s="3">
        <f>SUMIFS(TFP_dataset!$N$5:$N$532,TFP_dataset!$D$5:$D$532,TFP_Calcs!$C$2,TFP_dataset!$E$5:$E$532,TFP_Calcs!$B17)</f>
        <v>3729912.2015280956</v>
      </c>
      <c r="H17" s="3">
        <f t="shared" si="3"/>
        <v>2484824.8492122311</v>
      </c>
      <c r="I17" s="5">
        <f t="shared" si="4"/>
        <v>0.66618856288205153</v>
      </c>
      <c r="J17" s="5">
        <f t="shared" si="5"/>
        <v>0.33381143711794847</v>
      </c>
      <c r="M17" s="112"/>
      <c r="N17" s="112"/>
      <c r="P17" s="120"/>
      <c r="Q17" s="212"/>
      <c r="T17" s="67"/>
      <c r="U17" s="67"/>
    </row>
    <row r="18" spans="2:21" x14ac:dyDescent="0.3">
      <c r="B18" s="2">
        <v>2013</v>
      </c>
      <c r="C18" s="3">
        <f>SUMIFS(TFP_dataset!$F$5:$F$532,TFP_dataset!$D$5:$D$532,TFP_Calcs!$C$2,TFP_dataset!$E$5:$E$532,TFP_Calcs!$B18)</f>
        <v>43746.04</v>
      </c>
      <c r="D18" s="3">
        <f>SUMIFS(TFP_dataset!$J$5:$J$532,TFP_dataset!$D$5:$D$532,TFP_Calcs!$C$2,TFP_dataset!$E$5:$E$532,TFP_Calcs!$B18)</f>
        <v>1243122.23645</v>
      </c>
      <c r="E18" s="4">
        <f>AVERAGEIFS('NA comb O&amp;M price indexes'!$C17:$E17,'NA comb O&amp;M price indexes'!$C$4:$E$4,TFP_Calcs!$E$2)</f>
        <v>1.3123497833664799</v>
      </c>
      <c r="F18" s="3">
        <f>SUMIFS(TFP_dataset!$M$5:$M$532,TFP_dataset!$D$5:$D$532,TFP_Calcs!$C$2,TFP_dataset!$E$5:$E$532,TFP_Calcs!$B18)</f>
        <v>124967926.07200001</v>
      </c>
      <c r="G18" s="3">
        <f>SUMIFS(TFP_dataset!$N$5:$N$532,TFP_dataset!$D$5:$D$532,TFP_Calcs!$C$2,TFP_dataset!$E$5:$E$532,TFP_Calcs!$B18)</f>
        <v>4623213.2602297999</v>
      </c>
      <c r="H18" s="3">
        <f t="shared" si="3"/>
        <v>3380091.0237798002</v>
      </c>
      <c r="I18" s="5">
        <f t="shared" si="4"/>
        <v>0.73111293672223776</v>
      </c>
      <c r="J18" s="5">
        <f t="shared" si="5"/>
        <v>0.26888706327776224</v>
      </c>
      <c r="M18" s="112"/>
      <c r="N18" s="112"/>
      <c r="P18" s="120"/>
      <c r="Q18" s="212"/>
      <c r="T18" s="67"/>
      <c r="U18" s="67"/>
    </row>
    <row r="19" spans="2:21" x14ac:dyDescent="0.3">
      <c r="B19" s="2">
        <v>2014</v>
      </c>
      <c r="C19" s="3">
        <f>SUMIFS(TFP_dataset!$F$5:$F$532,TFP_dataset!$D$5:$D$532,TFP_Calcs!$C$2,TFP_dataset!$E$5:$E$532,TFP_Calcs!$B19)</f>
        <v>43952.869999999995</v>
      </c>
      <c r="D19" s="3">
        <f>SUMIFS(TFP_dataset!$J$5:$J$532,TFP_dataset!$D$5:$D$532,TFP_Calcs!$C$2,TFP_dataset!$E$5:$E$532,TFP_Calcs!$B19)</f>
        <v>1247683.1075896476</v>
      </c>
      <c r="E19" s="4">
        <f>AVERAGEIFS('NA comb O&amp;M price indexes'!$C18:$E18,'NA comb O&amp;M price indexes'!$C$4:$E$4,TFP_Calcs!$E$2)</f>
        <v>1.3426916744549025</v>
      </c>
      <c r="F19" s="3">
        <f>SUMIFS(TFP_dataset!$M$5:$M$532,TFP_dataset!$D$5:$D$532,TFP_Calcs!$C$2,TFP_dataset!$E$5:$E$532,TFP_Calcs!$B19)</f>
        <v>120897529.73899999</v>
      </c>
      <c r="G19" s="3">
        <f>SUMIFS(TFP_dataset!$N$5:$N$532,TFP_dataset!$D$5:$D$532,TFP_Calcs!$C$2,TFP_dataset!$E$5:$E$532,TFP_Calcs!$B19)</f>
        <v>4924416.0882130917</v>
      </c>
      <c r="H19" s="3">
        <f t="shared" si="3"/>
        <v>3676732.9806234441</v>
      </c>
      <c r="I19" s="5">
        <f t="shared" si="4"/>
        <v>0.74663328905612636</v>
      </c>
      <c r="J19" s="5">
        <f t="shared" si="5"/>
        <v>0.25336671094387364</v>
      </c>
      <c r="M19" s="112"/>
      <c r="N19" s="112"/>
      <c r="P19" s="120"/>
      <c r="Q19" s="212"/>
      <c r="T19" s="67"/>
      <c r="U19" s="67"/>
    </row>
    <row r="20" spans="2:21" x14ac:dyDescent="0.3">
      <c r="B20" s="2">
        <v>2015</v>
      </c>
      <c r="C20" s="3">
        <f>SUMIFS(TFP_dataset!$F$5:$F$532,TFP_dataset!$D$5:$D$532,TFP_Calcs!$C$2,TFP_dataset!$E$5:$E$532,TFP_Calcs!$B20)</f>
        <v>43883.31</v>
      </c>
      <c r="D20" s="3">
        <f>SUMIFS(TFP_dataset!$J$5:$J$532,TFP_dataset!$D$5:$D$532,TFP_Calcs!$C$2,TFP_dataset!$E$5:$E$532,TFP_Calcs!$B20)</f>
        <v>1317956.8617500002</v>
      </c>
      <c r="E20" s="4">
        <f>AVERAGEIFS('NA comb O&amp;M price indexes'!$C19:$E19,'NA comb O&amp;M price indexes'!$C$4:$E$4,TFP_Calcs!$E$2)</f>
        <v>1.3688285835281169</v>
      </c>
      <c r="F20" s="3">
        <f>SUMIFS(TFP_dataset!$M$5:$M$532,TFP_dataset!$D$5:$D$532,TFP_Calcs!$C$2,TFP_dataset!$E$5:$E$532,TFP_Calcs!$B20)</f>
        <v>115378015.43699999</v>
      </c>
      <c r="G20" s="3">
        <f>SUMIFS(TFP_dataset!$N$5:$N$532,TFP_dataset!$D$5:$D$532,TFP_Calcs!$C$2,TFP_dataset!$E$5:$E$532,TFP_Calcs!$B20)</f>
        <v>4264379.7025598697</v>
      </c>
      <c r="H20" s="3">
        <f t="shared" si="3"/>
        <v>2946422.8408098696</v>
      </c>
      <c r="I20" s="5">
        <f t="shared" si="4"/>
        <v>0.69093820117405536</v>
      </c>
      <c r="J20" s="5">
        <f t="shared" si="5"/>
        <v>0.30906179882594464</v>
      </c>
      <c r="M20" s="112"/>
      <c r="N20" s="112"/>
      <c r="P20" s="120"/>
      <c r="Q20" s="212"/>
      <c r="T20" s="67"/>
      <c r="U20" s="67"/>
    </row>
    <row r="21" spans="2:21" x14ac:dyDescent="0.3">
      <c r="B21" s="2">
        <v>2016</v>
      </c>
      <c r="C21" s="3">
        <f>SUMIFS(TFP_dataset!$F$5:$F$532,TFP_dataset!$D$5:$D$532,TFP_Calcs!$C$2,TFP_dataset!$E$5:$E$532,TFP_Calcs!$B21)</f>
        <v>43931.119999999995</v>
      </c>
      <c r="D21" s="3">
        <f>SUMIFS(TFP_dataset!$J$5:$J$532,TFP_dataset!$D$5:$D$532,TFP_Calcs!$C$2,TFP_dataset!$E$5:$E$532,TFP_Calcs!$B21)</f>
        <v>1330886.3202000002</v>
      </c>
      <c r="E21" s="4">
        <f>AVERAGEIFS('NA comb O&amp;M price indexes'!$C20:$E20,'NA comb O&amp;M price indexes'!$C$4:$E$4,TFP_Calcs!$E$2)</f>
        <v>1.3922309345163424</v>
      </c>
      <c r="F21" s="3">
        <f>SUMIFS(TFP_dataset!$M$5:$M$532,TFP_dataset!$D$5:$D$532,TFP_Calcs!$C$2,TFP_dataset!$E$5:$E$532,TFP_Calcs!$B21)</f>
        <v>123065971.04700001</v>
      </c>
      <c r="G21" s="3">
        <f>SUMIFS(TFP_dataset!$N$5:$N$532,TFP_dataset!$D$5:$D$532,TFP_Calcs!$C$2,TFP_dataset!$E$5:$E$532,TFP_Calcs!$B21)</f>
        <v>4176472.6122359727</v>
      </c>
      <c r="H21" s="3">
        <f t="shared" si="3"/>
        <v>2845586.2920359727</v>
      </c>
      <c r="I21" s="5">
        <f t="shared" si="4"/>
        <v>0.68133723269228419</v>
      </c>
      <c r="J21" s="5">
        <f t="shared" si="5"/>
        <v>0.31866276730771581</v>
      </c>
      <c r="M21" s="112"/>
      <c r="N21" s="112"/>
      <c r="P21" s="120"/>
      <c r="Q21" s="212"/>
      <c r="T21" s="67"/>
      <c r="U21" s="67"/>
    </row>
    <row r="22" spans="2:21" x14ac:dyDescent="0.3">
      <c r="B22" s="2">
        <v>2017</v>
      </c>
      <c r="C22" s="3">
        <f>SUMIFS(TFP_dataset!$F$5:$F$532,TFP_dataset!$D$5:$D$532,TFP_Calcs!$C$2,TFP_dataset!$E$5:$E$532,TFP_Calcs!$B22)</f>
        <v>43994.720000000001</v>
      </c>
      <c r="D22" s="3">
        <f>SUMIFS(TFP_dataset!$J$5:$J$532,TFP_dataset!$D$5:$D$532,TFP_Calcs!$C$2,TFP_dataset!$E$5:$E$532,TFP_Calcs!$B22)</f>
        <v>1301976.18664</v>
      </c>
      <c r="E22" s="4">
        <f>AVERAGEIFS('NA comb O&amp;M price indexes'!$C21:$E21,'NA comb O&amp;M price indexes'!$C$4:$E$4,TFP_Calcs!$E$2)</f>
        <v>1.4238994103641045</v>
      </c>
      <c r="F22" s="3">
        <f>SUMIFS(TFP_dataset!$M$5:$M$532,TFP_dataset!$D$5:$D$532,TFP_Calcs!$C$2,TFP_dataset!$E$5:$E$532,TFP_Calcs!$B22)</f>
        <v>136722216.00300002</v>
      </c>
      <c r="G22" s="3">
        <f>SUMIFS(TFP_dataset!$N$5:$N$532,TFP_dataset!$D$5:$D$532,TFP_Calcs!$C$2,TFP_dataset!$E$5:$E$532,TFP_Calcs!$B22)</f>
        <v>4550319.6408648305</v>
      </c>
      <c r="H22" s="3">
        <f t="shared" si="3"/>
        <v>3248343.4542248305</v>
      </c>
      <c r="I22" s="5">
        <f t="shared" si="4"/>
        <v>0.71387148829119462</v>
      </c>
      <c r="J22" s="5">
        <f t="shared" si="5"/>
        <v>0.28612851170880538</v>
      </c>
      <c r="M22" s="112"/>
      <c r="N22" s="112"/>
      <c r="P22" s="120"/>
      <c r="Q22" s="212"/>
      <c r="T22" s="67"/>
      <c r="U22" s="67"/>
    </row>
    <row r="23" spans="2:21" x14ac:dyDescent="0.3">
      <c r="B23" s="2">
        <v>2018</v>
      </c>
      <c r="C23" s="3">
        <f>SUMIFS(TFP_dataset!$F$5:$F$532,TFP_dataset!$D$5:$D$532,TFP_Calcs!$C$2,TFP_dataset!$E$5:$E$532,TFP_Calcs!$B23)</f>
        <v>44058.099999999991</v>
      </c>
      <c r="D23" s="3">
        <f>SUMIFS(TFP_dataset!$J$5:$J$532,TFP_dataset!$D$5:$D$532,TFP_Calcs!$C$2,TFP_dataset!$E$5:$E$532,TFP_Calcs!$B23)</f>
        <v>1403103.4636200003</v>
      </c>
      <c r="E23" s="4">
        <f>AVERAGEIFS('NA comb O&amp;M price indexes'!$C22:$E22,'NA comb O&amp;M price indexes'!$C$4:$E$4,TFP_Calcs!$E$2)</f>
        <v>1.4578813512867395</v>
      </c>
      <c r="F23" s="3">
        <f>SUMIFS(TFP_dataset!$M$5:$M$532,TFP_dataset!$D$5:$D$532,TFP_Calcs!$C$2,TFP_dataset!$E$5:$E$532,TFP_Calcs!$B23)</f>
        <v>133872455.124</v>
      </c>
      <c r="G23" s="3">
        <f>SUMIFS(TFP_dataset!$N$5:$N$532,TFP_dataset!$D$5:$D$532,TFP_Calcs!$C$2,TFP_dataset!$E$5:$E$532,TFP_Calcs!$B23)</f>
        <v>4726316.8376999395</v>
      </c>
      <c r="H23" s="3">
        <f t="shared" si="3"/>
        <v>3323213.374079939</v>
      </c>
      <c r="I23" s="5">
        <f t="shared" si="4"/>
        <v>0.70312962253651612</v>
      </c>
      <c r="J23" s="5">
        <f t="shared" si="5"/>
        <v>0.29687037746348388</v>
      </c>
      <c r="M23" s="112"/>
      <c r="N23" s="112"/>
      <c r="P23" s="120"/>
      <c r="Q23" s="212"/>
      <c r="T23" s="67"/>
      <c r="U23" s="67"/>
    </row>
    <row r="24" spans="2:21" x14ac:dyDescent="0.3">
      <c r="B24" s="2">
        <v>2019</v>
      </c>
      <c r="C24" s="3">
        <f>SUMIFS(TFP_dataset!$F$5:$F$532,TFP_dataset!$D$5:$D$532,TFP_Calcs!$C$2,TFP_dataset!$E$5:$E$532,TFP_Calcs!$B24)</f>
        <v>44033.73</v>
      </c>
      <c r="D24" s="3">
        <f>SUMIFS(TFP_dataset!$J$5:$J$532,TFP_dataset!$D$5:$D$532,TFP_Calcs!$C$2,TFP_dataset!$E$5:$E$532,TFP_Calcs!$B24)</f>
        <v>1376980.9445200001</v>
      </c>
      <c r="E24" s="4">
        <f>AVERAGEIFS('NA comb O&amp;M price indexes'!$C23:$E23,'NA comb O&amp;M price indexes'!$C$4:$E$4,TFP_Calcs!$E$2)</f>
        <v>1.492312503219785</v>
      </c>
      <c r="F24" s="3">
        <f>SUMIFS(TFP_dataset!$M$5:$M$532,TFP_dataset!$D$5:$D$532,TFP_Calcs!$C$2,TFP_dataset!$E$5:$E$532,TFP_Calcs!$B24)</f>
        <v>136264278.78786027</v>
      </c>
      <c r="G24" s="3">
        <f>SUMIFS(TFP_dataset!$N$5:$N$532,TFP_dataset!$D$5:$D$532,TFP_Calcs!$C$2,TFP_dataset!$E$5:$E$532,TFP_Calcs!$B24)</f>
        <v>4900288.9556456674</v>
      </c>
      <c r="H24" s="3">
        <f t="shared" si="3"/>
        <v>3523308.011125667</v>
      </c>
      <c r="I24" s="5">
        <f t="shared" si="4"/>
        <v>0.71900005142889212</v>
      </c>
      <c r="J24" s="5">
        <f t="shared" si="5"/>
        <v>0.28099994857110788</v>
      </c>
      <c r="M24" s="112"/>
      <c r="N24" s="112"/>
      <c r="P24" s="120"/>
      <c r="Q24" s="212"/>
      <c r="T24" s="67"/>
      <c r="U24" s="67"/>
    </row>
    <row r="25" spans="2:21" x14ac:dyDescent="0.3">
      <c r="B25" s="2">
        <v>2020</v>
      </c>
      <c r="C25" s="3">
        <f>SUMIFS(TFP_dataset!$F$5:$F$532,TFP_dataset!$D$5:$D$532,TFP_Calcs!$C$2,TFP_dataset!$E$5:$E$532,TFP_Calcs!$B25)</f>
        <v>44536.43</v>
      </c>
      <c r="D25" s="3">
        <f>SUMIFS(TFP_dataset!$J$5:$J$532,TFP_dataset!$D$5:$D$532,TFP_Calcs!$C$2,TFP_dataset!$E$5:$E$532,TFP_Calcs!$B25)</f>
        <v>1384963.9345600004</v>
      </c>
      <c r="E25" s="4">
        <f>AVERAGEIFS('NA comb O&amp;M price indexes'!$C24:$E24,'NA comb O&amp;M price indexes'!$C$4:$E$4,TFP_Calcs!$E$2)</f>
        <v>1.5281127666504286</v>
      </c>
      <c r="F25" s="3">
        <f>SUMIFS(TFP_dataset!$M$5:$M$532,TFP_dataset!$D$5:$D$532,TFP_Calcs!$C$2,TFP_dataset!$E$5:$E$532,TFP_Calcs!$B25)</f>
        <v>133892241.81049998</v>
      </c>
      <c r="G25" s="3">
        <f>SUMIFS(TFP_dataset!$N$5:$N$532,TFP_dataset!$D$5:$D$532,TFP_Calcs!$C$2,TFP_dataset!$E$5:$E$532,TFP_Calcs!$B25)</f>
        <v>4202461.8835856309</v>
      </c>
      <c r="H25" s="3">
        <f t="shared" si="3"/>
        <v>2817497.9490256305</v>
      </c>
      <c r="I25" s="5">
        <f t="shared" si="4"/>
        <v>0.67043985812946405</v>
      </c>
      <c r="J25" s="5">
        <f t="shared" si="5"/>
        <v>0.32956014187053595</v>
      </c>
      <c r="M25" s="112"/>
      <c r="N25" s="112"/>
      <c r="P25" s="120"/>
      <c r="Q25" s="212"/>
      <c r="T25" s="67"/>
      <c r="U25" s="67"/>
    </row>
    <row r="26" spans="2:21" x14ac:dyDescent="0.3">
      <c r="B26" s="2">
        <v>2021</v>
      </c>
      <c r="C26" s="3">
        <f>SUMIFS(TFP_dataset!$F$5:$F$532,TFP_dataset!$D$5:$D$532,TFP_Calcs!$C$2,TFP_dataset!$E$5:$E$532,TFP_Calcs!$B26)</f>
        <v>44569.99</v>
      </c>
      <c r="D26" s="3">
        <f>SUMIFS(TFP_dataset!$J$5:$J$532,TFP_dataset!$D$5:$D$532,TFP_Calcs!$C$2,TFP_dataset!$E$5:$E$532,TFP_Calcs!$B26)</f>
        <v>1448984.4479200002</v>
      </c>
      <c r="E26" s="4">
        <f>AVERAGEIFS('NA comb O&amp;M price indexes'!$C25:$E25,'NA comb O&amp;M price indexes'!$C$4:$E$4,TFP_Calcs!$E$2)</f>
        <v>1.5802748346527611</v>
      </c>
      <c r="F26" s="3">
        <f>SUMIFS(TFP_dataset!$M$5:$M$532,TFP_dataset!$D$5:$D$532,TFP_Calcs!$C$2,TFP_dataset!$E$5:$E$532,TFP_Calcs!$B26)</f>
        <v>116211154.71100003</v>
      </c>
      <c r="G26" s="3">
        <f>SUMIFS(TFP_dataset!$N$5:$N$532,TFP_dataset!$D$5:$D$532,TFP_Calcs!$C$2,TFP_dataset!$E$5:$E$532,TFP_Calcs!$B26)</f>
        <v>5119204.6977074789</v>
      </c>
      <c r="H26" s="3">
        <f t="shared" si="3"/>
        <v>3670220.2497874787</v>
      </c>
      <c r="I26" s="5">
        <f t="shared" si="4"/>
        <v>0.71695125835290485</v>
      </c>
      <c r="J26" s="5">
        <f t="shared" si="5"/>
        <v>0.28304874164709515</v>
      </c>
      <c r="M26" s="112"/>
      <c r="N26" s="112"/>
      <c r="P26" s="120"/>
      <c r="Q26" s="212"/>
      <c r="T26" s="67"/>
      <c r="U26" s="67"/>
    </row>
    <row r="27" spans="2:21" x14ac:dyDescent="0.3">
      <c r="B27" s="2">
        <v>2022</v>
      </c>
      <c r="C27" s="3">
        <f>SUMIFS(TFP_dataset!$F$5:$F$532,TFP_dataset!$D$5:$D$532,TFP_Calcs!$C$2,TFP_dataset!$E$5:$E$532,TFP_Calcs!$B27)</f>
        <v>44094.740000000005</v>
      </c>
      <c r="D27" s="3">
        <f>SUMIFS(TFP_dataset!$J$5:$J$532,TFP_dataset!$D$5:$D$532,TFP_Calcs!$C$2,TFP_dataset!$E$5:$E$532,TFP_Calcs!$B27)</f>
        <v>1470144.8345399997</v>
      </c>
      <c r="E27" s="4">
        <f>AVERAGEIFS('NA comb O&amp;M price indexes'!$C26:$E26,'NA comb O&amp;M price indexes'!$C$4:$E$4,TFP_Calcs!$E$2)</f>
        <v>1.6536101857557743</v>
      </c>
      <c r="F27" s="3">
        <f>SUMIFS(TFP_dataset!$M$5:$M$532,TFP_dataset!$D$5:$D$532,TFP_Calcs!$C$2,TFP_dataset!$E$5:$E$532,TFP_Calcs!$B27)</f>
        <v>117176140.56849998</v>
      </c>
      <c r="G27" s="3">
        <f>SUMIFS(TFP_dataset!$N$5:$N$532,TFP_dataset!$D$5:$D$532,TFP_Calcs!$C$2,TFP_dataset!$E$5:$E$532,TFP_Calcs!$B27)</f>
        <v>6946518.6839055233</v>
      </c>
      <c r="H27" s="3">
        <f t="shared" si="3"/>
        <v>5476373.8493655231</v>
      </c>
      <c r="I27" s="5">
        <f t="shared" si="4"/>
        <v>0.78836235797562926</v>
      </c>
      <c r="J27" s="5">
        <f t="shared" si="5"/>
        <v>0.21163764202437074</v>
      </c>
      <c r="M27" s="112"/>
      <c r="N27" s="112"/>
      <c r="P27" s="120"/>
      <c r="Q27" s="212"/>
      <c r="T27" s="67"/>
      <c r="U27" s="67"/>
    </row>
    <row r="28" spans="2:21" x14ac:dyDescent="0.3">
      <c r="B28" s="2">
        <v>2023</v>
      </c>
      <c r="C28" s="3">
        <f>SUMIFS(TFP_dataset!$F$5:$F$532,TFP_dataset!$D$5:$D$532,TFP_Calcs!$C$2,TFP_dataset!$E$5:$E$532,TFP_Calcs!$B28)</f>
        <v>44379.25</v>
      </c>
      <c r="D28" s="3">
        <f>SUMIFS(TFP_dataset!$J$5:$J$532,TFP_dataset!$D$5:$D$532,TFP_Calcs!$C$2,TFP_dataset!$E$5:$E$532,TFP_Calcs!$B28)</f>
        <v>1597325.27764</v>
      </c>
      <c r="E28" s="4">
        <f>AVERAGEIFS('NA comb O&amp;M price indexes'!$C27:$E27,'NA comb O&amp;M price indexes'!$C$4:$E$4,TFP_Calcs!$E$2)</f>
        <v>1.7190076980423719</v>
      </c>
      <c r="F28" s="3">
        <f>SUMIFS(TFP_dataset!$M$5:$M$532,TFP_dataset!$D$5:$D$532,TFP_Calcs!$C$2,TFP_dataset!$E$5:$E$532,TFP_Calcs!$B28)</f>
        <v>116376448.11999999</v>
      </c>
      <c r="G28" s="3">
        <f>SUMIFS(TFP_dataset!$N$5:$N$532,TFP_dataset!$D$5:$D$532,TFP_Calcs!$C$2,TFP_dataset!$E$5:$E$532,TFP_Calcs!$B28)</f>
        <v>5980425.0046683587</v>
      </c>
      <c r="H28" s="3">
        <f t="shared" si="3"/>
        <v>4383099.7270283587</v>
      </c>
      <c r="I28" s="5">
        <f t="shared" si="4"/>
        <v>0.73290773207704851</v>
      </c>
      <c r="J28" s="5">
        <f t="shared" si="5"/>
        <v>0.26709226792295149</v>
      </c>
      <c r="M28" s="112"/>
      <c r="N28" s="112"/>
      <c r="P28" s="120"/>
      <c r="Q28" s="212"/>
      <c r="T28" s="67"/>
      <c r="U28" s="67"/>
    </row>
    <row r="29" spans="2:21" x14ac:dyDescent="0.3">
      <c r="B29" s="2"/>
      <c r="C29" s="2"/>
      <c r="D29" s="2"/>
      <c r="E29" s="2"/>
      <c r="F29" s="2"/>
      <c r="G29" s="2"/>
      <c r="H29" s="2"/>
      <c r="I29" s="2"/>
      <c r="Q29" s="213"/>
    </row>
    <row r="30" spans="2:21" x14ac:dyDescent="0.3">
      <c r="B30" s="2"/>
      <c r="C30" s="2"/>
      <c r="D30" s="2"/>
      <c r="E30" s="2"/>
      <c r="F30" s="2"/>
      <c r="G30" s="2"/>
      <c r="H30" s="2"/>
      <c r="I30" s="2"/>
    </row>
    <row r="31" spans="2:21" ht="14.25" customHeight="1" x14ac:dyDescent="0.3">
      <c r="B31" s="124" t="s">
        <v>23</v>
      </c>
      <c r="C31" s="123"/>
      <c r="D31" s="123"/>
      <c r="E31" s="123"/>
      <c r="F31" s="123"/>
      <c r="G31" s="123"/>
      <c r="H31" s="123"/>
      <c r="I31" s="123"/>
      <c r="J31" s="123"/>
      <c r="K31" s="123"/>
    </row>
    <row r="32" spans="2:21" x14ac:dyDescent="0.3">
      <c r="B32" s="42" t="s">
        <v>24</v>
      </c>
      <c r="C32" s="53"/>
      <c r="D32" s="53"/>
      <c r="E32" s="53"/>
      <c r="H32" s="42" t="s">
        <v>25</v>
      </c>
      <c r="I32" s="53"/>
      <c r="J32" s="53"/>
      <c r="K32" s="53"/>
    </row>
    <row r="33" spans="2:17" x14ac:dyDescent="0.3">
      <c r="B33" s="42"/>
      <c r="C33" s="43" t="s">
        <v>26</v>
      </c>
      <c r="D33" s="43" t="s">
        <v>26</v>
      </c>
      <c r="E33" s="43" t="s">
        <v>27</v>
      </c>
      <c r="H33" s="42"/>
      <c r="I33" s="43" t="s">
        <v>26</v>
      </c>
      <c r="J33" s="43" t="s">
        <v>26</v>
      </c>
      <c r="K33" s="43" t="s">
        <v>27</v>
      </c>
    </row>
    <row r="34" spans="2:17" x14ac:dyDescent="0.3">
      <c r="B34" s="43" t="s">
        <v>3</v>
      </c>
      <c r="C34" s="43" t="s">
        <v>21</v>
      </c>
      <c r="D34" s="43" t="str">
        <f>TFP_dataset!J4</f>
        <v>O&amp;M_total</v>
      </c>
      <c r="E34" s="43" t="s">
        <v>28</v>
      </c>
      <c r="H34" s="43" t="s">
        <v>3</v>
      </c>
      <c r="I34" s="43" t="s">
        <v>21</v>
      </c>
      <c r="J34" s="43" t="str">
        <f>D34</f>
        <v>O&amp;M_total</v>
      </c>
      <c r="K34" s="43" t="s">
        <v>28</v>
      </c>
    </row>
    <row r="35" spans="2:17" x14ac:dyDescent="0.3">
      <c r="B35" s="2">
        <v>2002</v>
      </c>
      <c r="C35" s="6">
        <f t="shared" ref="C35:C50" si="6">(C7/$C$7)</f>
        <v>1</v>
      </c>
      <c r="D35" s="6">
        <f t="shared" ref="D35:D50" si="7">(D7/E7)/($D$7/$E$7)</f>
        <v>1</v>
      </c>
      <c r="E35" s="9">
        <f t="shared" ref="E35:E50" si="8">F7/$F$7</f>
        <v>1</v>
      </c>
      <c r="F35" s="9"/>
      <c r="H35" s="66">
        <v>2002</v>
      </c>
      <c r="I35" s="83"/>
      <c r="J35" s="84"/>
      <c r="K35" s="85"/>
    </row>
    <row r="36" spans="2:17" x14ac:dyDescent="0.3">
      <c r="B36" s="2">
        <v>2003</v>
      </c>
      <c r="C36" s="6">
        <f t="shared" si="6"/>
        <v>1.0158524831329578</v>
      </c>
      <c r="D36" s="6">
        <f t="shared" si="7"/>
        <v>1.0794756333857518</v>
      </c>
      <c r="E36" s="9">
        <f t="shared" si="8"/>
        <v>1.0732193382357795</v>
      </c>
      <c r="F36" s="9"/>
      <c r="G36" s="68"/>
      <c r="H36" s="66">
        <v>2003</v>
      </c>
      <c r="I36" s="125">
        <f>LN(C36/C35)</f>
        <v>1.5728144847881015E-2</v>
      </c>
      <c r="J36" s="125">
        <f>LN(D36/D35)</f>
        <v>7.6475398588051052E-2</v>
      </c>
      <c r="K36" s="125">
        <f>LN(E36/E35)</f>
        <v>7.0662858635257828E-2</v>
      </c>
      <c r="N36" s="1"/>
      <c r="O36" s="1"/>
      <c r="P36" s="1"/>
      <c r="Q36" s="1"/>
    </row>
    <row r="37" spans="2:17" x14ac:dyDescent="0.3">
      <c r="B37" s="2">
        <v>2004</v>
      </c>
      <c r="C37" s="6">
        <f t="shared" si="6"/>
        <v>1.0169274544255522</v>
      </c>
      <c r="D37" s="6">
        <f t="shared" si="7"/>
        <v>1.0937264421240978</v>
      </c>
      <c r="E37" s="9">
        <f t="shared" si="8"/>
        <v>1.0381111133243877</v>
      </c>
      <c r="F37" s="9"/>
      <c r="G37" s="68"/>
      <c r="H37" s="66">
        <v>2004</v>
      </c>
      <c r="I37" s="125">
        <f t="shared" ref="I37" si="9">LN(C37/C36)</f>
        <v>1.0576367593340141E-3</v>
      </c>
      <c r="J37" s="125">
        <f t="shared" ref="J37" si="10">LN(D37/D36)</f>
        <v>1.3115221240280082E-2</v>
      </c>
      <c r="K37" s="125">
        <f t="shared" ref="K37" si="11">LN(E37/E36)</f>
        <v>-3.3260034028635831E-2</v>
      </c>
      <c r="N37" s="1"/>
      <c r="O37" s="1"/>
      <c r="P37" s="1"/>
      <c r="Q37" s="1"/>
    </row>
    <row r="38" spans="2:17" x14ac:dyDescent="0.3">
      <c r="B38" s="2">
        <v>2005</v>
      </c>
      <c r="C38" s="6">
        <f t="shared" si="6"/>
        <v>1.0164293982282113</v>
      </c>
      <c r="D38" s="6">
        <f t="shared" si="7"/>
        <v>1.1173675835038801</v>
      </c>
      <c r="E38" s="9">
        <f t="shared" si="8"/>
        <v>1.0303574018495829</v>
      </c>
      <c r="F38" s="9"/>
      <c r="G38" s="68"/>
      <c r="H38" s="66">
        <v>2005</v>
      </c>
      <c r="I38" s="125">
        <f t="shared" ref="I38:I55" si="12">LN(C38/C37)</f>
        <v>-4.8988568499569278E-4</v>
      </c>
      <c r="J38" s="125">
        <f t="shared" ref="J38:J50" si="13">LN(D38/D37)</f>
        <v>2.1384927147513014E-2</v>
      </c>
      <c r="K38" s="125">
        <f t="shared" ref="K38:K50" si="14">LN(E38/E37)</f>
        <v>-7.4970904659354114E-3</v>
      </c>
      <c r="N38" s="1"/>
      <c r="O38" s="1"/>
      <c r="P38" s="1"/>
      <c r="Q38" s="1"/>
    </row>
    <row r="39" spans="2:17" x14ac:dyDescent="0.3">
      <c r="B39" s="2">
        <v>2006</v>
      </c>
      <c r="C39" s="6">
        <f t="shared" si="6"/>
        <v>1.0179138823941747</v>
      </c>
      <c r="D39" s="6">
        <f t="shared" si="7"/>
        <v>1.1504942539628549</v>
      </c>
      <c r="E39" s="9">
        <f t="shared" si="8"/>
        <v>1.0925558413490866</v>
      </c>
      <c r="F39" s="9"/>
      <c r="G39" s="68"/>
      <c r="H39" s="66">
        <v>2006</v>
      </c>
      <c r="I39" s="125">
        <f t="shared" si="12"/>
        <v>1.4594237300943431E-3</v>
      </c>
      <c r="J39" s="125">
        <f t="shared" si="13"/>
        <v>2.921608912239863E-2</v>
      </c>
      <c r="K39" s="125">
        <f t="shared" si="14"/>
        <v>5.8614025903686355E-2</v>
      </c>
      <c r="N39" s="1"/>
      <c r="O39" s="1"/>
      <c r="P39" s="1"/>
      <c r="Q39" s="1"/>
    </row>
    <row r="40" spans="2:17" x14ac:dyDescent="0.3">
      <c r="B40" s="2">
        <v>2007</v>
      </c>
      <c r="C40" s="6">
        <f t="shared" si="6"/>
        <v>1.0024095774362096</v>
      </c>
      <c r="D40" s="6">
        <f t="shared" si="7"/>
        <v>1.2085205835308632</v>
      </c>
      <c r="E40" s="9">
        <f t="shared" si="8"/>
        <v>0.92495842339365131</v>
      </c>
      <c r="F40" s="9"/>
      <c r="G40" s="68"/>
      <c r="H40" s="66">
        <v>2007</v>
      </c>
      <c r="I40" s="125">
        <f t="shared" si="12"/>
        <v>-1.5348640592839351E-2</v>
      </c>
      <c r="J40" s="125">
        <f t="shared" si="13"/>
        <v>4.9205317215059004E-2</v>
      </c>
      <c r="K40" s="125">
        <f t="shared" si="14"/>
        <v>-0.16652625020680131</v>
      </c>
      <c r="N40" s="1"/>
      <c r="O40" s="1"/>
      <c r="P40" s="1"/>
      <c r="Q40" s="1"/>
    </row>
    <row r="41" spans="2:17" x14ac:dyDescent="0.3">
      <c r="B41" s="2">
        <v>2008</v>
      </c>
      <c r="C41" s="6">
        <f t="shared" si="6"/>
        <v>1.009931148342349</v>
      </c>
      <c r="D41" s="6">
        <f t="shared" si="7"/>
        <v>1.2789016868625158</v>
      </c>
      <c r="E41" s="9">
        <f t="shared" si="8"/>
        <v>0.95353341163607863</v>
      </c>
      <c r="F41" s="9"/>
      <c r="G41" s="68"/>
      <c r="H41" s="66">
        <v>2008</v>
      </c>
      <c r="I41" s="125">
        <f t="shared" si="12"/>
        <v>7.4754795119465122E-3</v>
      </c>
      <c r="J41" s="125">
        <f t="shared" si="13"/>
        <v>5.6604699137817037E-2</v>
      </c>
      <c r="K41" s="125">
        <f t="shared" si="14"/>
        <v>3.0425676651497178E-2</v>
      </c>
      <c r="N41" s="1"/>
      <c r="O41" s="1"/>
      <c r="P41" s="1"/>
      <c r="Q41" s="1"/>
    </row>
    <row r="42" spans="2:17" x14ac:dyDescent="0.3">
      <c r="B42" s="2">
        <v>2009</v>
      </c>
      <c r="C42" s="6">
        <f t="shared" si="6"/>
        <v>1.0111874259256699</v>
      </c>
      <c r="D42" s="6">
        <f t="shared" si="7"/>
        <v>1.2791982595513816</v>
      </c>
      <c r="E42" s="9">
        <f t="shared" si="8"/>
        <v>1.0296274116642115</v>
      </c>
      <c r="F42" s="9"/>
      <c r="G42" s="68"/>
      <c r="H42" s="66">
        <v>2009</v>
      </c>
      <c r="I42" s="125">
        <f t="shared" si="12"/>
        <v>1.2431509572030975E-3</v>
      </c>
      <c r="J42" s="125">
        <f t="shared" si="13"/>
        <v>2.3186950971958639E-4</v>
      </c>
      <c r="K42" s="125">
        <f t="shared" si="14"/>
        <v>7.6777814061798191E-2</v>
      </c>
      <c r="N42" s="1"/>
      <c r="O42" s="1"/>
      <c r="P42" s="1"/>
      <c r="Q42" s="1"/>
    </row>
    <row r="43" spans="2:17" x14ac:dyDescent="0.3">
      <c r="B43" s="2">
        <v>2010</v>
      </c>
      <c r="C43" s="6">
        <f t="shared" si="6"/>
        <v>1.0112922713668415</v>
      </c>
      <c r="D43" s="6">
        <f t="shared" si="7"/>
        <v>1.2990710471536517</v>
      </c>
      <c r="E43" s="9">
        <f t="shared" si="8"/>
        <v>1.000467769477499</v>
      </c>
      <c r="F43" s="9"/>
      <c r="G43" s="68"/>
      <c r="H43" s="66">
        <v>2010</v>
      </c>
      <c r="I43" s="125">
        <f t="shared" si="12"/>
        <v>1.0368009271578713E-4</v>
      </c>
      <c r="J43" s="125">
        <f t="shared" si="13"/>
        <v>1.5415907960730375E-2</v>
      </c>
      <c r="K43" s="125">
        <f t="shared" si="14"/>
        <v>-2.8729340443404652E-2</v>
      </c>
      <c r="N43" s="1"/>
      <c r="O43" s="1"/>
      <c r="P43" s="1"/>
      <c r="Q43" s="1"/>
    </row>
    <row r="44" spans="2:17" x14ac:dyDescent="0.3">
      <c r="B44" s="2">
        <v>2011</v>
      </c>
      <c r="C44" s="6">
        <f t="shared" si="6"/>
        <v>1.0027593696822126</v>
      </c>
      <c r="D44" s="6">
        <f t="shared" si="7"/>
        <v>1.2514952752105706</v>
      </c>
      <c r="E44" s="9">
        <f t="shared" si="8"/>
        <v>1.1389044939149362</v>
      </c>
      <c r="F44" s="9"/>
      <c r="G44" s="68"/>
      <c r="H44" s="66">
        <v>2011</v>
      </c>
      <c r="I44" s="125">
        <f t="shared" si="12"/>
        <v>-8.4734200107186245E-3</v>
      </c>
      <c r="J44" s="125">
        <f t="shared" si="13"/>
        <v>-3.7310373340186033E-2</v>
      </c>
      <c r="K44" s="125">
        <f t="shared" si="14"/>
        <v>0.12959917002095467</v>
      </c>
      <c r="N44" s="1"/>
      <c r="O44" s="1"/>
      <c r="P44" s="1"/>
      <c r="Q44" s="1"/>
    </row>
    <row r="45" spans="2:17" x14ac:dyDescent="0.3">
      <c r="B45" s="2">
        <v>2012</v>
      </c>
      <c r="C45" s="6">
        <f t="shared" si="6"/>
        <v>1.0050416660902128</v>
      </c>
      <c r="D45" s="6">
        <f t="shared" si="7"/>
        <v>1.2642007356657776</v>
      </c>
      <c r="E45" s="9">
        <f t="shared" si="8"/>
        <v>1.0044641191132839</v>
      </c>
      <c r="F45" s="9"/>
      <c r="G45" s="68"/>
      <c r="H45" s="66">
        <v>2012</v>
      </c>
      <c r="I45" s="125">
        <f t="shared" si="12"/>
        <v>2.2734298372576859E-3</v>
      </c>
      <c r="J45" s="125">
        <f t="shared" si="13"/>
        <v>1.0101036396496926E-2</v>
      </c>
      <c r="K45" s="125">
        <f t="shared" si="14"/>
        <v>-0.12561264563960334</v>
      </c>
      <c r="N45" s="1"/>
      <c r="O45" s="1"/>
      <c r="P45" s="1"/>
      <c r="Q45" s="1"/>
    </row>
    <row r="46" spans="2:17" x14ac:dyDescent="0.3">
      <c r="B46" s="2">
        <v>2013</v>
      </c>
      <c r="C46" s="6">
        <f t="shared" si="6"/>
        <v>1.0087030708853872</v>
      </c>
      <c r="D46" s="6">
        <f t="shared" si="7"/>
        <v>1.2344325746394105</v>
      </c>
      <c r="E46" s="9">
        <f t="shared" si="8"/>
        <v>0.98251352019752536</v>
      </c>
      <c r="F46" s="9"/>
      <c r="G46" s="68"/>
      <c r="H46" s="66">
        <v>2013</v>
      </c>
      <c r="I46" s="125">
        <f t="shared" si="12"/>
        <v>3.6364180252548921E-3</v>
      </c>
      <c r="J46" s="125">
        <f t="shared" si="13"/>
        <v>-2.3828682212418142E-2</v>
      </c>
      <c r="K46" s="125">
        <f t="shared" si="14"/>
        <v>-2.2095358806923333E-2</v>
      </c>
      <c r="N46" s="1"/>
      <c r="O46" s="1"/>
      <c r="P46" s="1"/>
      <c r="Q46" s="1"/>
    </row>
    <row r="47" spans="2:17" x14ac:dyDescent="0.3">
      <c r="B47" s="2">
        <v>2014</v>
      </c>
      <c r="C47" s="6">
        <f t="shared" si="6"/>
        <v>1.0134721895564995</v>
      </c>
      <c r="D47" s="6">
        <f t="shared" si="7"/>
        <v>1.2109637466282839</v>
      </c>
      <c r="E47" s="9">
        <f t="shared" si="8"/>
        <v>0.9505115533293963</v>
      </c>
      <c r="F47" s="9"/>
      <c r="G47" s="68"/>
      <c r="H47" s="66">
        <v>2014</v>
      </c>
      <c r="I47" s="125">
        <f t="shared" si="12"/>
        <v>4.7168290568466295E-3</v>
      </c>
      <c r="J47" s="125">
        <f t="shared" si="13"/>
        <v>-1.9194883365754298E-2</v>
      </c>
      <c r="K47" s="125">
        <f t="shared" si="14"/>
        <v>-3.3113787807419942E-2</v>
      </c>
      <c r="N47" s="1"/>
      <c r="O47" s="1"/>
      <c r="P47" s="1"/>
      <c r="Q47" s="1"/>
    </row>
    <row r="48" spans="2:17" x14ac:dyDescent="0.3">
      <c r="B48" s="2">
        <v>2015</v>
      </c>
      <c r="C48" s="6">
        <f t="shared" si="6"/>
        <v>1.0118682641358034</v>
      </c>
      <c r="D48" s="6">
        <f t="shared" si="7"/>
        <v>1.2547444185385455</v>
      </c>
      <c r="E48" s="9">
        <f t="shared" si="8"/>
        <v>0.90711643910213324</v>
      </c>
      <c r="F48" s="9"/>
      <c r="G48" s="68"/>
      <c r="H48" s="66">
        <v>2015</v>
      </c>
      <c r="I48" s="125">
        <f t="shared" si="12"/>
        <v>-1.5838579168983293E-3</v>
      </c>
      <c r="J48" s="125">
        <f t="shared" si="13"/>
        <v>3.5515373877550764E-2</v>
      </c>
      <c r="K48" s="125">
        <f t="shared" si="14"/>
        <v>-4.6729496698861339E-2</v>
      </c>
      <c r="N48" s="1"/>
      <c r="O48" s="1"/>
      <c r="P48" s="1"/>
      <c r="Q48" s="1"/>
    </row>
    <row r="49" spans="2:17" x14ac:dyDescent="0.3">
      <c r="B49" s="2">
        <v>2016</v>
      </c>
      <c r="C49" s="6">
        <f t="shared" si="6"/>
        <v>1.012970674635566</v>
      </c>
      <c r="D49" s="6">
        <f t="shared" si="7"/>
        <v>1.2457555314643367</v>
      </c>
      <c r="E49" s="9">
        <f t="shared" si="8"/>
        <v>0.96756011106602169</v>
      </c>
      <c r="F49" s="9"/>
      <c r="G49" s="68"/>
      <c r="H49" s="66">
        <v>2016</v>
      </c>
      <c r="I49" s="125">
        <f t="shared" si="12"/>
        <v>1.0888872073514669E-3</v>
      </c>
      <c r="J49" s="125">
        <f t="shared" si="13"/>
        <v>-7.1897028393579053E-3</v>
      </c>
      <c r="K49" s="125">
        <f t="shared" si="14"/>
        <v>6.4506733116980991E-2</v>
      </c>
      <c r="N49" s="1"/>
      <c r="O49" s="1"/>
      <c r="P49" s="1"/>
      <c r="Q49" s="1"/>
    </row>
    <row r="50" spans="2:17" x14ac:dyDescent="0.3">
      <c r="B50" s="2">
        <v>2017</v>
      </c>
      <c r="C50" s="6">
        <f t="shared" si="6"/>
        <v>1.0144371734388478</v>
      </c>
      <c r="D50" s="6">
        <f t="shared" si="7"/>
        <v>1.1915900640034611</v>
      </c>
      <c r="E50" s="9">
        <f t="shared" si="8"/>
        <v>1.0749272229813529</v>
      </c>
      <c r="F50" s="9"/>
      <c r="G50" s="68"/>
      <c r="H50" s="66">
        <v>2017</v>
      </c>
      <c r="I50" s="125">
        <f t="shared" si="12"/>
        <v>1.4466739491414127E-3</v>
      </c>
      <c r="J50" s="125">
        <f t="shared" si="13"/>
        <v>-4.44535949813505E-2</v>
      </c>
      <c r="K50" s="125">
        <f t="shared" si="14"/>
        <v>0.10523068544308797</v>
      </c>
      <c r="N50" s="1"/>
      <c r="O50" s="1"/>
      <c r="P50" s="1"/>
      <c r="Q50" s="1"/>
    </row>
    <row r="51" spans="2:17" x14ac:dyDescent="0.3">
      <c r="B51" s="2">
        <v>2018</v>
      </c>
      <c r="C51" s="6">
        <f t="shared" ref="C51:C55" si="15">(C23/$C$7)</f>
        <v>1.0158985994475265</v>
      </c>
      <c r="D51" s="6">
        <f t="shared" ref="D51:D55" si="16">(D23/E23)/($D$7/$E$7)</f>
        <v>1.2542111532153861</v>
      </c>
      <c r="E51" s="9">
        <f t="shared" ref="E51:E55" si="17">F23/$F$7</f>
        <v>1.0525220452613167</v>
      </c>
      <c r="F51" s="9"/>
      <c r="G51" s="68"/>
      <c r="H51" s="66">
        <v>2018</v>
      </c>
      <c r="I51" s="125">
        <f t="shared" si="12"/>
        <v>1.4395907126158747E-3</v>
      </c>
      <c r="J51" s="125">
        <f t="shared" ref="J51:J55" si="18">LN(D51/D50)</f>
        <v>5.1218208323554122E-2</v>
      </c>
      <c r="K51" s="125">
        <f t="shared" ref="K51:K55" si="19">LN(E51/E50)</f>
        <v>-2.106372776418217E-2</v>
      </c>
      <c r="N51" s="1"/>
      <c r="O51" s="1"/>
      <c r="P51" s="1"/>
      <c r="Q51" s="1"/>
    </row>
    <row r="52" spans="2:17" x14ac:dyDescent="0.3">
      <c r="B52" s="2">
        <v>2019</v>
      </c>
      <c r="C52" s="6">
        <f t="shared" si="15"/>
        <v>1.0153366721545083</v>
      </c>
      <c r="D52" s="6">
        <f t="shared" si="16"/>
        <v>1.2024618178822342</v>
      </c>
      <c r="E52" s="9">
        <f t="shared" si="17"/>
        <v>1.0713268631176773</v>
      </c>
      <c r="F52" s="9"/>
      <c r="G52" s="68"/>
      <c r="H52" s="66">
        <v>2019</v>
      </c>
      <c r="I52" s="125">
        <f t="shared" si="12"/>
        <v>-5.5328628368094099E-4</v>
      </c>
      <c r="J52" s="125">
        <f t="shared" si="18"/>
        <v>-4.2135841567326027E-2</v>
      </c>
      <c r="K52" s="125">
        <f t="shared" si="19"/>
        <v>1.7708707252696423E-2</v>
      </c>
      <c r="N52" s="1"/>
      <c r="O52" s="1"/>
      <c r="P52" s="1"/>
      <c r="Q52" s="1"/>
    </row>
    <row r="53" spans="2:17" x14ac:dyDescent="0.3">
      <c r="B53" s="2">
        <v>2020</v>
      </c>
      <c r="C53" s="6">
        <f t="shared" si="15"/>
        <v>1.0269280078213272</v>
      </c>
      <c r="D53" s="6">
        <f t="shared" si="16"/>
        <v>1.181098730110951</v>
      </c>
      <c r="E53" s="9">
        <f t="shared" si="17"/>
        <v>1.0526776106741167</v>
      </c>
      <c r="F53" s="9"/>
      <c r="G53" s="68"/>
      <c r="H53" s="66">
        <v>2020</v>
      </c>
      <c r="I53" s="125">
        <f t="shared" si="12"/>
        <v>1.135157479844859E-2</v>
      </c>
      <c r="J53" s="125">
        <f t="shared" si="18"/>
        <v>-1.7925837752570516E-2</v>
      </c>
      <c r="K53" s="125">
        <f t="shared" si="19"/>
        <v>-1.7560915652365661E-2</v>
      </c>
      <c r="N53" s="1"/>
      <c r="O53" s="1"/>
      <c r="P53" s="1"/>
      <c r="Q53" s="1"/>
    </row>
    <row r="54" spans="2:17" x14ac:dyDescent="0.3">
      <c r="B54" s="2">
        <v>2021</v>
      </c>
      <c r="C54" s="6">
        <f t="shared" si="15"/>
        <v>1.0277018395797883</v>
      </c>
      <c r="D54" s="6">
        <f t="shared" si="16"/>
        <v>1.1949073772303187</v>
      </c>
      <c r="E54" s="9">
        <f t="shared" si="17"/>
        <v>0.91366668464626566</v>
      </c>
      <c r="F54" s="9"/>
      <c r="G54" s="68"/>
      <c r="H54" s="66">
        <v>2021</v>
      </c>
      <c r="I54" s="125">
        <f t="shared" si="12"/>
        <v>7.5325664720476352E-4</v>
      </c>
      <c r="J54" s="125">
        <f t="shared" si="18"/>
        <v>1.1623541325444138E-2</v>
      </c>
      <c r="K54" s="125">
        <f t="shared" si="19"/>
        <v>-0.14162647524077748</v>
      </c>
      <c r="N54" s="1"/>
      <c r="O54" s="1"/>
      <c r="P54" s="1"/>
      <c r="Q54" s="1"/>
    </row>
    <row r="55" spans="2:17" x14ac:dyDescent="0.3">
      <c r="B55" s="2">
        <v>2022</v>
      </c>
      <c r="C55" s="6">
        <f t="shared" si="15"/>
        <v>1.0167434503304238</v>
      </c>
      <c r="D55" s="6">
        <f t="shared" si="16"/>
        <v>1.158590934472904</v>
      </c>
      <c r="E55" s="9">
        <f t="shared" si="17"/>
        <v>0.92125352457867238</v>
      </c>
      <c r="F55" s="9"/>
      <c r="G55" s="68"/>
      <c r="H55" s="66">
        <v>2022</v>
      </c>
      <c r="I55" s="125">
        <f t="shared" si="12"/>
        <v>-1.0720261629644569E-2</v>
      </c>
      <c r="J55" s="125">
        <f t="shared" si="18"/>
        <v>-3.0864118688868999E-2</v>
      </c>
      <c r="K55" s="125">
        <f t="shared" si="19"/>
        <v>8.2694420486287973E-3</v>
      </c>
      <c r="N55" s="1"/>
      <c r="O55" s="1"/>
      <c r="P55" s="1"/>
      <c r="Q55" s="1"/>
    </row>
    <row r="56" spans="2:17" x14ac:dyDescent="0.3">
      <c r="B56" s="2">
        <v>2023</v>
      </c>
      <c r="C56" s="6">
        <f>(C28/$C$7)</f>
        <v>1.0233037266593805</v>
      </c>
      <c r="D56" s="6">
        <f>(D28/E28)/($D$7/$E$7)</f>
        <v>1.2109290146184675</v>
      </c>
      <c r="E56" s="9">
        <f>F28/$F$7</f>
        <v>0.91496624217471845</v>
      </c>
      <c r="F56" s="9"/>
      <c r="G56" s="68"/>
      <c r="H56" s="66">
        <v>2023</v>
      </c>
      <c r="I56" s="125">
        <f>LN(C56/C55)</f>
        <v>6.4315168947392219E-3</v>
      </c>
      <c r="J56" s="125">
        <f>LN(D56/D55)</f>
        <v>4.4183290595481262E-2</v>
      </c>
      <c r="K56" s="125">
        <f>LN(E56/E55)</f>
        <v>-6.8480985650086323E-3</v>
      </c>
      <c r="N56" s="1"/>
      <c r="O56" s="1"/>
      <c r="P56" s="1"/>
      <c r="Q56" s="1"/>
    </row>
    <row r="57" spans="2:17" x14ac:dyDescent="0.3">
      <c r="B57" s="204"/>
      <c r="C57" s="204"/>
      <c r="D57" s="204"/>
      <c r="H57" s="60" t="s">
        <v>29</v>
      </c>
      <c r="I57" s="110">
        <f>AVERAGE(I36:I56)</f>
        <v>1.0969686147265616E-3</v>
      </c>
      <c r="J57" s="110">
        <f>AVERAGE(J36:J56)</f>
        <v>9.1137069377268363E-3</v>
      </c>
      <c r="K57" s="126">
        <f>AVERAGE(K36:K56)</f>
        <v>-4.2318146754919371E-3</v>
      </c>
      <c r="N57" s="1"/>
      <c r="O57" s="1"/>
      <c r="P57" s="1"/>
      <c r="Q57" s="1"/>
    </row>
    <row r="58" spans="2:17" x14ac:dyDescent="0.3">
      <c r="B58" s="204"/>
      <c r="C58" s="204"/>
      <c r="D58" s="204"/>
      <c r="K58" s="41"/>
      <c r="N58" s="1"/>
      <c r="O58" s="1"/>
      <c r="P58" s="1"/>
      <c r="Q58" s="1"/>
    </row>
    <row r="59" spans="2:17" s="194" customFormat="1" ht="14.25" customHeight="1" x14ac:dyDescent="0.3">
      <c r="B59" s="128" t="s">
        <v>30</v>
      </c>
      <c r="C59" s="127"/>
      <c r="D59" s="127"/>
      <c r="E59" s="127"/>
      <c r="F59" s="127"/>
      <c r="G59" s="127"/>
      <c r="H59" s="127"/>
      <c r="I59" s="127"/>
      <c r="J59" s="127"/>
      <c r="K59" s="127"/>
      <c r="L59" s="214"/>
      <c r="M59" s="214"/>
    </row>
    <row r="60" spans="2:17" x14ac:dyDescent="0.3">
      <c r="B60" s="42" t="s">
        <v>31</v>
      </c>
      <c r="C60" s="53"/>
      <c r="D60" s="53"/>
      <c r="E60" s="59"/>
      <c r="H60" s="42" t="s">
        <v>32</v>
      </c>
      <c r="I60" s="53"/>
      <c r="J60" s="53"/>
      <c r="K60" s="53"/>
    </row>
    <row r="61" spans="2:17" x14ac:dyDescent="0.3">
      <c r="B61" s="42"/>
      <c r="C61" s="43" t="s">
        <v>26</v>
      </c>
      <c r="D61" s="43" t="s">
        <v>26</v>
      </c>
      <c r="E61" s="43" t="s">
        <v>27</v>
      </c>
      <c r="H61" s="42"/>
      <c r="I61" s="43" t="s">
        <v>26</v>
      </c>
      <c r="J61" s="43" t="s">
        <v>26</v>
      </c>
      <c r="K61" s="43" t="s">
        <v>27</v>
      </c>
    </row>
    <row r="62" spans="2:17" x14ac:dyDescent="0.3">
      <c r="B62" s="43" t="s">
        <v>3</v>
      </c>
      <c r="C62" s="43" t="s">
        <v>21</v>
      </c>
      <c r="D62" s="43" t="str">
        <f>D34</f>
        <v>O&amp;M_total</v>
      </c>
      <c r="E62" s="43" t="s">
        <v>28</v>
      </c>
      <c r="H62" s="43" t="s">
        <v>3</v>
      </c>
      <c r="I62" s="43" t="s">
        <v>21</v>
      </c>
      <c r="J62" s="43" t="str">
        <f>D62</f>
        <v>O&amp;M_total</v>
      </c>
      <c r="K62" s="43" t="s">
        <v>28</v>
      </c>
    </row>
    <row r="63" spans="2:17" x14ac:dyDescent="0.3">
      <c r="B63" s="2">
        <v>2002</v>
      </c>
      <c r="C63" s="8">
        <f>($G7*$I7)/C35</f>
        <v>3667760.3875463209</v>
      </c>
      <c r="D63" s="8">
        <f t="shared" ref="D63:D78" si="20">($G7*$J7)/D35</f>
        <v>767355.93699999957</v>
      </c>
      <c r="E63" s="8">
        <f t="shared" ref="E63:E78" si="21">($G7)/E35</f>
        <v>4435116.3245463204</v>
      </c>
      <c r="H63" s="2">
        <v>2002</v>
      </c>
      <c r="I63" s="6"/>
      <c r="J63" s="7"/>
    </row>
    <row r="64" spans="2:17" x14ac:dyDescent="0.3">
      <c r="B64" s="2">
        <v>2003</v>
      </c>
      <c r="C64" s="8">
        <f t="shared" ref="C64:C78" si="22">($G8*$I8)/C36</f>
        <v>4556282.4899445502</v>
      </c>
      <c r="D64" s="8">
        <f t="shared" si="20"/>
        <v>785650.96320143947</v>
      </c>
      <c r="E64" s="8">
        <f t="shared" si="21"/>
        <v>5102966.1479918398</v>
      </c>
      <c r="H64" s="2">
        <v>2003</v>
      </c>
      <c r="I64" s="129">
        <f>LN(C64/C63)</f>
        <v>0.21692582043741582</v>
      </c>
      <c r="J64" s="129">
        <f>LN(D64/D63)</f>
        <v>2.3561869020259585E-2</v>
      </c>
      <c r="K64" s="129">
        <f>LN(E64/E63)</f>
        <v>0.14026812413676606</v>
      </c>
    </row>
    <row r="65" spans="2:11" x14ac:dyDescent="0.3">
      <c r="B65" s="2">
        <v>2004</v>
      </c>
      <c r="C65" s="8">
        <f t="shared" si="22"/>
        <v>4445482.9227510141</v>
      </c>
      <c r="D65" s="8">
        <f t="shared" si="20"/>
        <v>807895.84110076877</v>
      </c>
      <c r="E65" s="8">
        <f t="shared" si="21"/>
        <v>5205946.2680375986</v>
      </c>
      <c r="F65" s="8"/>
      <c r="H65" s="2">
        <v>2004</v>
      </c>
      <c r="I65" s="129">
        <f t="shared" ref="I65" si="23">LN(C65/C64)</f>
        <v>-2.4618540498429198E-2</v>
      </c>
      <c r="J65" s="129">
        <f t="shared" ref="J65" si="24">LN(D65/D64)</f>
        <v>2.7920514054357571E-2</v>
      </c>
      <c r="K65" s="129">
        <f t="shared" ref="K65" si="25">LN(E65/E64)</f>
        <v>1.997951704507317E-2</v>
      </c>
    </row>
    <row r="66" spans="2:11" x14ac:dyDescent="0.3">
      <c r="B66" s="2">
        <v>2005</v>
      </c>
      <c r="C66" s="8">
        <f t="shared" si="22"/>
        <v>5361136.0624636495</v>
      </c>
      <c r="D66" s="8">
        <f t="shared" si="20"/>
        <v>831427.4784836492</v>
      </c>
      <c r="E66" s="8">
        <f t="shared" si="21"/>
        <v>6190304.8426031657</v>
      </c>
      <c r="F66" s="8"/>
      <c r="H66" s="2">
        <v>2005</v>
      </c>
      <c r="I66" s="129">
        <f t="shared" ref="I66:I78" si="26">LN(C66/C65)</f>
        <v>0.18728739747323728</v>
      </c>
      <c r="J66" s="129">
        <f t="shared" ref="J66:J78" si="27">LN(D66/D65)</f>
        <v>2.8710936447943435E-2</v>
      </c>
      <c r="K66" s="129">
        <f t="shared" ref="K66:K78" si="28">LN(E66/E65)</f>
        <v>0.17318284771883599</v>
      </c>
    </row>
    <row r="67" spans="2:11" x14ac:dyDescent="0.3">
      <c r="B67" s="2">
        <v>2006</v>
      </c>
      <c r="C67" s="8">
        <f t="shared" si="22"/>
        <v>4647673.7083042497</v>
      </c>
      <c r="D67" s="8">
        <f t="shared" si="20"/>
        <v>855610.96123456361</v>
      </c>
      <c r="E67" s="8">
        <f t="shared" si="21"/>
        <v>5231134.9834458409</v>
      </c>
      <c r="F67" s="8"/>
      <c r="H67" s="2">
        <v>2006</v>
      </c>
      <c r="I67" s="129">
        <f t="shared" si="26"/>
        <v>-0.1428090879416922</v>
      </c>
      <c r="J67" s="129">
        <f t="shared" si="27"/>
        <v>2.8671711162540036E-2</v>
      </c>
      <c r="K67" s="129">
        <f t="shared" si="28"/>
        <v>-0.16835606450141294</v>
      </c>
    </row>
    <row r="68" spans="2:11" x14ac:dyDescent="0.3">
      <c r="B68" s="2">
        <v>2007</v>
      </c>
      <c r="C68" s="8">
        <f t="shared" si="22"/>
        <v>4117616.0555088189</v>
      </c>
      <c r="D68" s="8">
        <f t="shared" si="20"/>
        <v>882010.01857969479</v>
      </c>
      <c r="E68" s="8">
        <f t="shared" si="21"/>
        <v>5614809.1646394692</v>
      </c>
      <c r="F68" s="8"/>
      <c r="H68" s="2">
        <v>2007</v>
      </c>
      <c r="I68" s="129">
        <f t="shared" si="26"/>
        <v>-0.12109244804618292</v>
      </c>
      <c r="J68" s="129">
        <f t="shared" si="27"/>
        <v>3.0387626582893547E-2</v>
      </c>
      <c r="K68" s="129">
        <f t="shared" si="28"/>
        <v>7.0779332329843944E-2</v>
      </c>
    </row>
    <row r="69" spans="2:11" x14ac:dyDescent="0.3">
      <c r="B69" s="2">
        <v>2008</v>
      </c>
      <c r="C69" s="8">
        <f>($G13*$I13)/C41</f>
        <v>4928908.0171950422</v>
      </c>
      <c r="D69" s="8">
        <f t="shared" si="20"/>
        <v>905520.91297577217</v>
      </c>
      <c r="E69" s="8">
        <f t="shared" si="21"/>
        <v>6434939.6487801438</v>
      </c>
      <c r="F69" s="8"/>
      <c r="H69" s="2">
        <v>2008</v>
      </c>
      <c r="I69" s="129">
        <f t="shared" si="26"/>
        <v>0.17984309740567078</v>
      </c>
      <c r="J69" s="129">
        <f t="shared" si="27"/>
        <v>2.6306957681174241E-2</v>
      </c>
      <c r="K69" s="129">
        <f t="shared" si="28"/>
        <v>0.13633486150945054</v>
      </c>
    </row>
    <row r="70" spans="2:11" x14ac:dyDescent="0.3">
      <c r="B70" s="2">
        <v>2009</v>
      </c>
      <c r="C70" s="8">
        <f t="shared" si="22"/>
        <v>3444940.2142674676</v>
      </c>
      <c r="D70" s="8">
        <f t="shared" si="20"/>
        <v>922441.19850649626</v>
      </c>
      <c r="E70" s="8">
        <f t="shared" si="21"/>
        <v>4529274.7168252598</v>
      </c>
      <c r="F70" s="8"/>
      <c r="H70" s="2">
        <v>2009</v>
      </c>
      <c r="I70" s="129">
        <f t="shared" si="26"/>
        <v>-0.35821091602807065</v>
      </c>
      <c r="J70" s="129">
        <f t="shared" si="27"/>
        <v>1.851325986938885E-2</v>
      </c>
      <c r="K70" s="129">
        <f t="shared" si="28"/>
        <v>-0.35118064239975416</v>
      </c>
    </row>
    <row r="71" spans="2:11" x14ac:dyDescent="0.3">
      <c r="B71" s="2">
        <v>2010</v>
      </c>
      <c r="C71" s="8">
        <f t="shared" si="22"/>
        <v>3372565.0360591402</v>
      </c>
      <c r="D71" s="8">
        <f t="shared" si="20"/>
        <v>941970.92322674138</v>
      </c>
      <c r="E71" s="8">
        <f t="shared" si="21"/>
        <v>4632169.321849728</v>
      </c>
      <c r="F71" s="8"/>
      <c r="H71" s="2">
        <v>2010</v>
      </c>
      <c r="I71" s="129">
        <f t="shared" si="26"/>
        <v>-2.1232956824069518E-2</v>
      </c>
      <c r="J71" s="129">
        <f t="shared" si="27"/>
        <v>2.095077461032159E-2</v>
      </c>
      <c r="K71" s="129">
        <f t="shared" si="28"/>
        <v>2.2463474390653042E-2</v>
      </c>
    </row>
    <row r="72" spans="2:11" x14ac:dyDescent="0.3">
      <c r="B72" s="2">
        <v>2011</v>
      </c>
      <c r="C72" s="8">
        <f t="shared" si="22"/>
        <v>3428722.4567591231</v>
      </c>
      <c r="D72" s="8">
        <f t="shared" si="20"/>
        <v>964423.6375524808</v>
      </c>
      <c r="E72" s="8">
        <f t="shared" si="21"/>
        <v>4078616.9692647555</v>
      </c>
      <c r="F72" s="8"/>
      <c r="H72" s="2">
        <v>2011</v>
      </c>
      <c r="I72" s="129">
        <f t="shared" si="26"/>
        <v>1.6514137068644217E-2</v>
      </c>
      <c r="J72" s="129">
        <f t="shared" si="27"/>
        <v>2.3556249082075049E-2</v>
      </c>
      <c r="K72" s="129">
        <f t="shared" si="28"/>
        <v>-0.12726734157744876</v>
      </c>
    </row>
    <row r="73" spans="2:11" x14ac:dyDescent="0.3">
      <c r="B73" s="2">
        <v>2012</v>
      </c>
      <c r="C73" s="8">
        <f t="shared" si="22"/>
        <v>2472360.0354586616</v>
      </c>
      <c r="D73" s="8">
        <f t="shared" si="20"/>
        <v>984881.05345086113</v>
      </c>
      <c r="E73" s="8">
        <f t="shared" si="21"/>
        <v>3713335.4298616159</v>
      </c>
      <c r="F73" s="8"/>
      <c r="H73" s="2">
        <v>2012</v>
      </c>
      <c r="I73" s="129">
        <f t="shared" si="26"/>
        <v>-0.32701455580828115</v>
      </c>
      <c r="J73" s="129">
        <f t="shared" si="27"/>
        <v>2.0990219843223679E-2</v>
      </c>
      <c r="K73" s="129">
        <f t="shared" si="28"/>
        <v>-9.3827442403057695E-2</v>
      </c>
    </row>
    <row r="74" spans="2:11" x14ac:dyDescent="0.3">
      <c r="B74" s="2">
        <v>2013</v>
      </c>
      <c r="C74" s="8">
        <f t="shared" si="22"/>
        <v>3350927.6627986585</v>
      </c>
      <c r="D74" s="8">
        <f t="shared" si="20"/>
        <v>1007039.3976869313</v>
      </c>
      <c r="E74" s="8">
        <f t="shared" si="21"/>
        <v>4705495.8178085377</v>
      </c>
      <c r="F74" s="8"/>
      <c r="H74" s="2">
        <v>2013</v>
      </c>
      <c r="I74" s="129">
        <f t="shared" si="26"/>
        <v>0.30406404736929099</v>
      </c>
      <c r="J74" s="129">
        <f t="shared" si="27"/>
        <v>2.2249139811078626E-2</v>
      </c>
      <c r="K74" s="129">
        <f t="shared" si="28"/>
        <v>0.23680063810285171</v>
      </c>
    </row>
    <row r="75" spans="2:11" x14ac:dyDescent="0.3">
      <c r="B75" s="2">
        <v>2014</v>
      </c>
      <c r="C75" s="8">
        <f t="shared" si="22"/>
        <v>3627857.7927554194</v>
      </c>
      <c r="D75" s="8">
        <f t="shared" si="20"/>
        <v>1030322.4279534396</v>
      </c>
      <c r="E75" s="8">
        <f t="shared" si="21"/>
        <v>5180806.1364053227</v>
      </c>
      <c r="F75" s="8"/>
      <c r="H75" s="2">
        <v>2014</v>
      </c>
      <c r="I75" s="129">
        <f t="shared" si="26"/>
        <v>7.9405112567415337E-2</v>
      </c>
      <c r="J75" s="129">
        <f t="shared" si="27"/>
        <v>2.285705331243407E-2</v>
      </c>
      <c r="K75" s="129">
        <f t="shared" si="28"/>
        <v>9.6229520423372045E-2</v>
      </c>
    </row>
    <row r="76" spans="2:11" x14ac:dyDescent="0.3">
      <c r="B76" s="2">
        <v>2015</v>
      </c>
      <c r="C76" s="8">
        <f t="shared" si="22"/>
        <v>2911864.0689124609</v>
      </c>
      <c r="D76" s="8">
        <f t="shared" si="20"/>
        <v>1050378.7403056002</v>
      </c>
      <c r="E76" s="8">
        <f t="shared" si="21"/>
        <v>4701027.915204322</v>
      </c>
      <c r="F76" s="8"/>
      <c r="H76" s="2">
        <v>2015</v>
      </c>
      <c r="I76" s="129">
        <f t="shared" si="26"/>
        <v>-0.21984888472576539</v>
      </c>
      <c r="J76" s="129">
        <f t="shared" si="27"/>
        <v>1.9279014080223766E-2</v>
      </c>
      <c r="K76" s="129">
        <f t="shared" si="28"/>
        <v>-9.7179478785679535E-2</v>
      </c>
    </row>
    <row r="77" spans="2:11" x14ac:dyDescent="0.3">
      <c r="B77" s="2">
        <v>2016</v>
      </c>
      <c r="C77" s="8">
        <f t="shared" si="22"/>
        <v>2809149.7249510428</v>
      </c>
      <c r="D77" s="8">
        <f t="shared" si="20"/>
        <v>1068336.6732761725</v>
      </c>
      <c r="E77" s="8">
        <f t="shared" si="21"/>
        <v>4316499.3724622345</v>
      </c>
      <c r="F77" s="8"/>
      <c r="H77" s="2">
        <v>2016</v>
      </c>
      <c r="I77" s="129">
        <f t="shared" si="26"/>
        <v>-3.591160104222553E-2</v>
      </c>
      <c r="J77" s="129">
        <f t="shared" si="27"/>
        <v>1.6952123827230478E-2</v>
      </c>
      <c r="K77" s="129">
        <f t="shared" si="28"/>
        <v>-8.5336446853830808E-2</v>
      </c>
    </row>
    <row r="78" spans="2:11" x14ac:dyDescent="0.3">
      <c r="B78" s="2">
        <v>2017</v>
      </c>
      <c r="C78" s="8">
        <f t="shared" si="22"/>
        <v>3202113.979334224</v>
      </c>
      <c r="D78" s="8">
        <f t="shared" si="20"/>
        <v>1092637.6662336939</v>
      </c>
      <c r="E78" s="8">
        <f t="shared" si="21"/>
        <v>4233142.0616963627</v>
      </c>
      <c r="F78" s="8"/>
      <c r="H78" s="2">
        <v>2017</v>
      </c>
      <c r="I78" s="129">
        <f t="shared" si="26"/>
        <v>0.1309293616642748</v>
      </c>
      <c r="J78" s="129">
        <f t="shared" si="27"/>
        <v>2.2491722320350054E-2</v>
      </c>
      <c r="K78" s="129">
        <f t="shared" si="28"/>
        <v>-1.950022181303606E-2</v>
      </c>
    </row>
    <row r="79" spans="2:11" x14ac:dyDescent="0.3">
      <c r="B79" s="2">
        <v>2018</v>
      </c>
      <c r="C79" s="8">
        <f t="shared" ref="C79:C82" si="29">($G23*$I23)/C51</f>
        <v>3271205.7836157996</v>
      </c>
      <c r="D79" s="8">
        <f t="shared" ref="D79:D83" si="30">($G23*$J23)/D51</f>
        <v>1118713.9103514615</v>
      </c>
      <c r="E79" s="8">
        <f t="shared" ref="E79:E83" si="31">($G23)/E51</f>
        <v>4490468.2604785776</v>
      </c>
      <c r="F79" s="8"/>
      <c r="H79" s="2">
        <v>2018</v>
      </c>
      <c r="I79" s="129">
        <f t="shared" ref="I79:I83" si="32">LN(C79/C78)</f>
        <v>2.1347447872506042E-2</v>
      </c>
      <c r="J79" s="129">
        <f t="shared" ref="J79:J83" si="33">LN(D79/D78)</f>
        <v>2.358508085134017E-2</v>
      </c>
      <c r="K79" s="129">
        <f t="shared" ref="K79:K83" si="34">LN(E79/E78)</f>
        <v>5.9012464456021624E-2</v>
      </c>
    </row>
    <row r="80" spans="2:11" x14ac:dyDescent="0.3">
      <c r="B80" s="2">
        <v>2019</v>
      </c>
      <c r="C80" s="8">
        <f t="shared" si="29"/>
        <v>3470088.4029425755</v>
      </c>
      <c r="D80" s="8">
        <f t="shared" si="30"/>
        <v>1145134.8592050334</v>
      </c>
      <c r="E80" s="8">
        <f t="shared" si="31"/>
        <v>4574037.2283630557</v>
      </c>
      <c r="F80" s="8"/>
      <c r="H80" s="2">
        <v>2019</v>
      </c>
      <c r="I80" s="129">
        <f t="shared" si="32"/>
        <v>5.9021411878821206E-2</v>
      </c>
      <c r="J80" s="129">
        <f t="shared" si="33"/>
        <v>2.3342679852787429E-2</v>
      </c>
      <c r="K80" s="129">
        <f t="shared" si="34"/>
        <v>1.843924873836875E-2</v>
      </c>
    </row>
    <row r="81" spans="2:11" x14ac:dyDescent="0.3">
      <c r="B81" s="2">
        <v>2020</v>
      </c>
      <c r="C81" s="8">
        <f t="shared" si="29"/>
        <v>2743617.7877776222</v>
      </c>
      <c r="D81" s="8">
        <f t="shared" si="30"/>
        <v>1172606.403894701</v>
      </c>
      <c r="E81" s="8">
        <f t="shared" si="31"/>
        <v>3992164.211504837</v>
      </c>
      <c r="F81" s="8"/>
      <c r="H81" s="2">
        <v>2020</v>
      </c>
      <c r="I81" s="129">
        <f t="shared" si="32"/>
        <v>-0.23490265999322105</v>
      </c>
      <c r="J81" s="129">
        <f t="shared" si="33"/>
        <v>2.3706555775501362E-2</v>
      </c>
      <c r="K81" s="129">
        <f t="shared" si="34"/>
        <v>-0.13606274194393395</v>
      </c>
    </row>
    <row r="82" spans="2:11" x14ac:dyDescent="0.3">
      <c r="B82" s="2">
        <v>2021</v>
      </c>
      <c r="C82" s="8">
        <f t="shared" si="29"/>
        <v>3571288.975495243</v>
      </c>
      <c r="D82" s="8">
        <f t="shared" si="30"/>
        <v>1212633.2764624883</v>
      </c>
      <c r="E82" s="8">
        <f t="shared" si="31"/>
        <v>5602923.6741727376</v>
      </c>
      <c r="F82" s="8"/>
      <c r="H82" s="2">
        <v>2021</v>
      </c>
      <c r="I82" s="129">
        <f t="shared" si="32"/>
        <v>0.2636491781942869</v>
      </c>
      <c r="J82" s="129">
        <f t="shared" si="33"/>
        <v>3.3565289709663375E-2</v>
      </c>
      <c r="K82" s="129">
        <f t="shared" si="34"/>
        <v>0.33895505342632726</v>
      </c>
    </row>
    <row r="83" spans="2:11" x14ac:dyDescent="0.3">
      <c r="B83" s="2">
        <v>2022</v>
      </c>
      <c r="C83" s="8">
        <f>($G27*$I27)/C55</f>
        <v>5386190.4373082491</v>
      </c>
      <c r="D83" s="8">
        <f t="shared" si="30"/>
        <v>1268907.5935233659</v>
      </c>
      <c r="E83" s="8">
        <f t="shared" si="31"/>
        <v>7540289.9403640879</v>
      </c>
      <c r="F83" s="8"/>
      <c r="H83" s="2">
        <v>2022</v>
      </c>
      <c r="I83" s="129">
        <f t="shared" si="32"/>
        <v>0.41091176341334906</v>
      </c>
      <c r="J83" s="129">
        <f t="shared" si="33"/>
        <v>4.5362111217535937E-2</v>
      </c>
      <c r="K83" s="129">
        <f t="shared" si="34"/>
        <v>0.29697208873371217</v>
      </c>
    </row>
    <row r="84" spans="2:11" x14ac:dyDescent="0.3">
      <c r="B84" s="2">
        <v>2023</v>
      </c>
      <c r="C84" s="8">
        <f>($G28*$I28)/C56</f>
        <v>4283283.2646248424</v>
      </c>
      <c r="D84" s="8">
        <f>($G28*$J28)/D56</f>
        <v>1319090.7628415162</v>
      </c>
      <c r="E84" s="8">
        <f>($G28)/E56</f>
        <v>6536224.7578161024</v>
      </c>
      <c r="F84" s="8"/>
      <c r="H84" s="2">
        <v>2023</v>
      </c>
      <c r="I84" s="129">
        <f>LN(C84/C83)</f>
        <v>-0.22911851818883711</v>
      </c>
      <c r="J84" s="129">
        <f>LN(D84/D83)</f>
        <v>3.8786315488002328E-2</v>
      </c>
      <c r="K84" s="129">
        <f>LN(E84/E83)</f>
        <v>-0.14290089027251054</v>
      </c>
    </row>
    <row r="85" spans="2:11" x14ac:dyDescent="0.3">
      <c r="B85" s="2"/>
      <c r="C85" s="6"/>
      <c r="D85" s="7"/>
      <c r="H85" s="60" t="s">
        <v>29</v>
      </c>
      <c r="I85" s="130">
        <f>AVERAGE(I64:I84)</f>
        <v>7.3875526784827443E-3</v>
      </c>
      <c r="J85" s="130">
        <f>AVERAGE(J64:J84)</f>
        <v>2.579748593334882E-2</v>
      </c>
      <c r="K85" s="130">
        <f>AVERAGE(K64:K84)</f>
        <v>1.8466947640981519E-2</v>
      </c>
    </row>
    <row r="86" spans="2:11" x14ac:dyDescent="0.3">
      <c r="B86" s="2"/>
      <c r="C86" s="6"/>
      <c r="D86" s="6"/>
      <c r="E86" s="7"/>
    </row>
    <row r="87" spans="2:11" x14ac:dyDescent="0.3">
      <c r="B87" s="134" t="s">
        <v>33</v>
      </c>
      <c r="C87" s="133"/>
      <c r="D87" s="133"/>
      <c r="E87" s="133"/>
      <c r="F87" s="133"/>
      <c r="G87" s="133"/>
      <c r="H87" s="133"/>
      <c r="I87" s="133"/>
      <c r="J87" s="133"/>
      <c r="K87" s="133"/>
    </row>
    <row r="88" spans="2:11" x14ac:dyDescent="0.3">
      <c r="B88" s="42" t="s">
        <v>34</v>
      </c>
      <c r="C88" s="53"/>
      <c r="D88" s="53"/>
      <c r="E88" s="53"/>
      <c r="F88" s="53"/>
      <c r="G88" s="53"/>
      <c r="H88" s="53"/>
    </row>
    <row r="89" spans="2:11" x14ac:dyDescent="0.3">
      <c r="B89" s="42"/>
      <c r="C89" s="43" t="s">
        <v>35</v>
      </c>
      <c r="D89" s="43" t="s">
        <v>35</v>
      </c>
      <c r="E89" s="43" t="s">
        <v>36</v>
      </c>
      <c r="F89" s="43" t="s">
        <v>36</v>
      </c>
      <c r="G89" s="43" t="s">
        <v>37</v>
      </c>
      <c r="H89" s="43" t="s">
        <v>37</v>
      </c>
    </row>
    <row r="90" spans="2:11" x14ac:dyDescent="0.3">
      <c r="B90" s="43" t="s">
        <v>3</v>
      </c>
      <c r="C90" s="43" t="s">
        <v>26</v>
      </c>
      <c r="D90" s="43" t="s">
        <v>27</v>
      </c>
      <c r="E90" s="43" t="s">
        <v>26</v>
      </c>
      <c r="F90" s="43" t="s">
        <v>27</v>
      </c>
      <c r="G90" s="43" t="s">
        <v>26</v>
      </c>
      <c r="H90" s="43" t="s">
        <v>27</v>
      </c>
      <c r="K90" s="70"/>
    </row>
    <row r="91" spans="2:11" x14ac:dyDescent="0.3">
      <c r="B91" s="2">
        <v>2002</v>
      </c>
      <c r="C91" s="2"/>
      <c r="D91" s="2"/>
      <c r="E91" s="2"/>
      <c r="F91" s="2"/>
      <c r="G91" s="2"/>
      <c r="H91" s="2"/>
    </row>
    <row r="92" spans="2:11" x14ac:dyDescent="0.3">
      <c r="B92" s="2">
        <v>2003</v>
      </c>
      <c r="C92" s="6">
        <f t="shared" ref="C92:C111" si="35">SUMPRODUCT(C63:D63,C36:D36)/SUMPRODUCT(C63:D63,C35:D35)</f>
        <v>1.0268604474127041</v>
      </c>
      <c r="D92" s="6">
        <f t="shared" ref="D92:D111" si="36">SUMPRODUCT(E63*E36)/SUMPRODUCT(E63*E35)</f>
        <v>1.0732193382357795</v>
      </c>
      <c r="E92" s="6">
        <f t="shared" ref="E92:E111" si="37">SUMPRODUCT(C64:D64,C36:D36)/SUMPRODUCT(C64:D64,C35:D35)</f>
        <v>1.0252096924124143</v>
      </c>
      <c r="F92" s="6">
        <f t="shared" ref="F92:F111" si="38">SUMPRODUCT(E64,E36)/SUMPRODUCT(E64,E35)</f>
        <v>1.0732193382357795</v>
      </c>
      <c r="G92" s="9">
        <f>(C92*E92)^0.5</f>
        <v>1.0260347379316417</v>
      </c>
      <c r="H92" s="9">
        <f>(D92*F92)^0.5</f>
        <v>1.0732193382357795</v>
      </c>
    </row>
    <row r="93" spans="2:11" x14ac:dyDescent="0.3">
      <c r="B93" s="2">
        <v>2004</v>
      </c>
      <c r="C93" s="6">
        <f t="shared" si="35"/>
        <v>1.0029386898352739</v>
      </c>
      <c r="D93" s="6">
        <f t="shared" si="36"/>
        <v>0.96728699934805051</v>
      </c>
      <c r="E93" s="6">
        <f t="shared" si="37"/>
        <v>1.0030237115852125</v>
      </c>
      <c r="F93" s="6">
        <f t="shared" si="38"/>
        <v>0.9672869993480504</v>
      </c>
      <c r="G93" s="9">
        <f t="shared" ref="G93" si="39">(C93*E93)^0.5</f>
        <v>1.0029811998093416</v>
      </c>
      <c r="H93" s="9">
        <f t="shared" ref="H93" si="40">(D93*F93)^0.5</f>
        <v>0.9672869993480504</v>
      </c>
    </row>
    <row r="94" spans="2:11" x14ac:dyDescent="0.3">
      <c r="B94" s="2">
        <v>2005</v>
      </c>
      <c r="C94" s="6">
        <f t="shared" si="35"/>
        <v>1.0031244233565473</v>
      </c>
      <c r="D94" s="6">
        <f t="shared" si="36"/>
        <v>0.99253094261752517</v>
      </c>
      <c r="E94" s="6">
        <f t="shared" si="37"/>
        <v>1.0026701941358607</v>
      </c>
      <c r="F94" s="6">
        <f t="shared" si="38"/>
        <v>0.99253094261752517</v>
      </c>
      <c r="G94" s="9">
        <f t="shared" ref="G94:G106" si="41">(C94*E94)^0.5</f>
        <v>1.0028972830301879</v>
      </c>
      <c r="H94" s="9">
        <f t="shared" ref="H94:H106" si="42">(D94*F94)^0.5</f>
        <v>0.99253094261752517</v>
      </c>
    </row>
    <row r="95" spans="2:11" x14ac:dyDescent="0.3">
      <c r="B95" s="2">
        <v>2006</v>
      </c>
      <c r="C95" s="6">
        <f t="shared" si="35"/>
        <v>1.0055659588388202</v>
      </c>
      <c r="D95" s="6">
        <f t="shared" si="36"/>
        <v>1.0603658879800852</v>
      </c>
      <c r="E95" s="6">
        <f t="shared" si="37"/>
        <v>1.0062046729574252</v>
      </c>
      <c r="F95" s="6">
        <f t="shared" si="38"/>
        <v>1.0603658879800852</v>
      </c>
      <c r="G95" s="9">
        <f t="shared" si="41"/>
        <v>1.0058852652020183</v>
      </c>
      <c r="H95" s="9">
        <f t="shared" si="42"/>
        <v>1.0603658879800852</v>
      </c>
    </row>
    <row r="96" spans="2:11" x14ac:dyDescent="0.3">
      <c r="B96" s="2">
        <v>2007</v>
      </c>
      <c r="C96" s="6">
        <f t="shared" si="35"/>
        <v>0.99607877816984913</v>
      </c>
      <c r="D96" s="6">
        <f t="shared" si="36"/>
        <v>0.84660059320310255</v>
      </c>
      <c r="E96" s="6">
        <f t="shared" si="37"/>
        <v>0.99756806289449917</v>
      </c>
      <c r="F96" s="6">
        <f t="shared" si="38"/>
        <v>0.84660059320310233</v>
      </c>
      <c r="G96" s="9">
        <f t="shared" si="41"/>
        <v>0.99682314240251058</v>
      </c>
      <c r="H96" s="9">
        <f t="shared" si="42"/>
        <v>0.84660059320310244</v>
      </c>
    </row>
    <row r="97" spans="2:8" x14ac:dyDescent="0.3">
      <c r="B97" s="2">
        <v>2008</v>
      </c>
      <c r="C97" s="6">
        <f t="shared" si="35"/>
        <v>1.0179163196053584</v>
      </c>
      <c r="D97" s="6">
        <f t="shared" si="36"/>
        <v>1.0308932677617944</v>
      </c>
      <c r="E97" s="6">
        <f t="shared" si="37"/>
        <v>1.0167029991362033</v>
      </c>
      <c r="F97" s="6">
        <f t="shared" si="38"/>
        <v>1.0308932677617944</v>
      </c>
      <c r="G97" s="9">
        <f t="shared" si="41"/>
        <v>1.017309478483541</v>
      </c>
      <c r="H97" s="9">
        <f t="shared" si="42"/>
        <v>1.0308932677617944</v>
      </c>
    </row>
    <row r="98" spans="2:8" x14ac:dyDescent="0.3">
      <c r="B98" s="2">
        <v>2009</v>
      </c>
      <c r="C98" s="6">
        <f t="shared" si="35"/>
        <v>1.0010529177271483</v>
      </c>
      <c r="D98" s="6">
        <f t="shared" si="36"/>
        <v>1.0798021328875831</v>
      </c>
      <c r="E98" s="6">
        <f t="shared" si="37"/>
        <v>1.0009876596532215</v>
      </c>
      <c r="F98" s="6">
        <f t="shared" si="38"/>
        <v>1.0798021328875831</v>
      </c>
      <c r="G98" s="9">
        <f t="shared" si="41"/>
        <v>1.0010202881584005</v>
      </c>
      <c r="H98" s="9">
        <f t="shared" si="42"/>
        <v>1.0798021328875831</v>
      </c>
    </row>
    <row r="99" spans="2:8" x14ac:dyDescent="0.3">
      <c r="B99" s="2">
        <v>2010</v>
      </c>
      <c r="C99" s="6">
        <f t="shared" si="35"/>
        <v>1.0040083205670285</v>
      </c>
      <c r="D99" s="6">
        <f t="shared" si="36"/>
        <v>0.97167942320068867</v>
      </c>
      <c r="E99" s="6">
        <f t="shared" si="37"/>
        <v>1.0041326326303843</v>
      </c>
      <c r="F99" s="6">
        <f t="shared" si="38"/>
        <v>0.97167942320068867</v>
      </c>
      <c r="G99" s="9">
        <f t="shared" si="41"/>
        <v>1.0040704746748512</v>
      </c>
      <c r="H99" s="9">
        <f t="shared" si="42"/>
        <v>0.97167942320068867</v>
      </c>
    </row>
    <row r="100" spans="2:8" x14ac:dyDescent="0.3">
      <c r="B100" s="2">
        <v>2011</v>
      </c>
      <c r="C100" s="6">
        <f t="shared" si="35"/>
        <v>0.98412010739771261</v>
      </c>
      <c r="D100" s="6">
        <f t="shared" si="36"/>
        <v>1.1383719982401199</v>
      </c>
      <c r="E100" s="6">
        <f t="shared" si="37"/>
        <v>0.98408147262880341</v>
      </c>
      <c r="F100" s="6">
        <f t="shared" si="38"/>
        <v>1.1383719982401199</v>
      </c>
      <c r="G100" s="9">
        <f t="shared" si="41"/>
        <v>0.98410078982366289</v>
      </c>
      <c r="H100" s="9">
        <f t="shared" si="42"/>
        <v>1.1383719982401199</v>
      </c>
    </row>
    <row r="101" spans="2:8" x14ac:dyDescent="0.3">
      <c r="B101" s="2">
        <v>2012</v>
      </c>
      <c r="C101" s="6">
        <f t="shared" si="35"/>
        <v>1.0043225266954694</v>
      </c>
      <c r="D101" s="6">
        <f t="shared" si="36"/>
        <v>0.88195641028729366</v>
      </c>
      <c r="E101" s="6">
        <f t="shared" si="37"/>
        <v>1.0048914920177621</v>
      </c>
      <c r="F101" s="6">
        <f t="shared" si="38"/>
        <v>0.88195641028729366</v>
      </c>
      <c r="G101" s="9">
        <f t="shared" si="41"/>
        <v>1.0046069690769912</v>
      </c>
      <c r="H101" s="9">
        <f t="shared" si="42"/>
        <v>0.88195641028729366</v>
      </c>
    </row>
    <row r="102" spans="2:8" x14ac:dyDescent="0.3">
      <c r="B102" s="2">
        <v>2013</v>
      </c>
      <c r="C102" s="6">
        <f t="shared" si="35"/>
        <v>0.99456668527119363</v>
      </c>
      <c r="D102" s="6">
        <f t="shared" si="36"/>
        <v>0.97814695567708676</v>
      </c>
      <c r="E102" s="6">
        <f t="shared" si="37"/>
        <v>0.99618424769067382</v>
      </c>
      <c r="F102" s="6">
        <f t="shared" si="38"/>
        <v>0.97814695567708687</v>
      </c>
      <c r="G102" s="9">
        <f t="shared" si="41"/>
        <v>0.99537513789781351</v>
      </c>
      <c r="H102" s="9">
        <f t="shared" si="42"/>
        <v>0.97814695567708687</v>
      </c>
    </row>
    <row r="103" spans="2:8" x14ac:dyDescent="0.3">
      <c r="B103" s="2">
        <v>2014</v>
      </c>
      <c r="C103" s="6">
        <f t="shared" si="35"/>
        <v>0.99834464423080427</v>
      </c>
      <c r="D103" s="6">
        <f t="shared" si="36"/>
        <v>0.96742847176118718</v>
      </c>
      <c r="E103" s="6">
        <f t="shared" si="37"/>
        <v>0.99860507722369996</v>
      </c>
      <c r="F103" s="6">
        <f t="shared" si="38"/>
        <v>0.96742847176118729</v>
      </c>
      <c r="G103" s="9">
        <f t="shared" si="41"/>
        <v>0.99847485223613397</v>
      </c>
      <c r="H103" s="9">
        <f t="shared" si="42"/>
        <v>0.96742847176118718</v>
      </c>
    </row>
    <row r="104" spans="2:8" x14ac:dyDescent="0.3">
      <c r="B104" s="2">
        <v>2015</v>
      </c>
      <c r="C104" s="6">
        <f t="shared" si="35"/>
        <v>1.0079784880358882</v>
      </c>
      <c r="D104" s="6">
        <f t="shared" si="36"/>
        <v>0.95434551629040043</v>
      </c>
      <c r="E104" s="6">
        <f t="shared" si="37"/>
        <v>1.0097833885274776</v>
      </c>
      <c r="F104" s="6">
        <f t="shared" si="38"/>
        <v>0.95434551629040043</v>
      </c>
      <c r="G104" s="9">
        <f t="shared" si="41"/>
        <v>1.0088805346579359</v>
      </c>
      <c r="H104" s="9">
        <f t="shared" si="42"/>
        <v>0.95434551629040043</v>
      </c>
    </row>
    <row r="105" spans="2:8" x14ac:dyDescent="0.3">
      <c r="B105" s="2">
        <v>2016</v>
      </c>
      <c r="C105" s="6">
        <f t="shared" si="35"/>
        <v>0.99853866991380591</v>
      </c>
      <c r="D105" s="6">
        <f t="shared" si="36"/>
        <v>1.0666327599836201</v>
      </c>
      <c r="E105" s="6">
        <f t="shared" si="37"/>
        <v>0.99844457223808725</v>
      </c>
      <c r="F105" s="6">
        <f t="shared" si="38"/>
        <v>1.0666327599836201</v>
      </c>
      <c r="G105" s="9">
        <f t="shared" si="41"/>
        <v>0.99849161996747804</v>
      </c>
      <c r="H105" s="9">
        <f t="shared" si="42"/>
        <v>1.0666327599836201</v>
      </c>
    </row>
    <row r="106" spans="2:8" x14ac:dyDescent="0.3">
      <c r="B106" s="2">
        <v>2017</v>
      </c>
      <c r="C106" s="6">
        <f t="shared" si="35"/>
        <v>0.98713092468360608</v>
      </c>
      <c r="D106" s="6">
        <f t="shared" si="36"/>
        <v>1.1109668646809323</v>
      </c>
      <c r="E106" s="6">
        <f t="shared" si="37"/>
        <v>0.9881672925836108</v>
      </c>
      <c r="F106" s="6">
        <f t="shared" si="38"/>
        <v>1.1109668646809323</v>
      </c>
      <c r="G106" s="9">
        <f t="shared" si="41"/>
        <v>0.9876489726973624</v>
      </c>
      <c r="H106" s="9">
        <f t="shared" si="42"/>
        <v>1.1109668646809323</v>
      </c>
    </row>
    <row r="107" spans="2:8" x14ac:dyDescent="0.3">
      <c r="B107" s="2">
        <v>2018</v>
      </c>
      <c r="C107" s="6">
        <f t="shared" si="35"/>
        <v>1.0160652040285656</v>
      </c>
      <c r="D107" s="6">
        <f t="shared" si="36"/>
        <v>0.97915656312257626</v>
      </c>
      <c r="E107" s="6">
        <f t="shared" si="37"/>
        <v>1.0160885762450182</v>
      </c>
      <c r="F107" s="6">
        <f t="shared" si="38"/>
        <v>0.97915656312257637</v>
      </c>
      <c r="G107" s="9">
        <f t="shared" ref="G107:G111" si="43">(C107*E107)^0.5</f>
        <v>1.0160768900695898</v>
      </c>
      <c r="H107" s="9">
        <f t="shared" ref="H107:H111" si="44">(D107*F107)^0.5</f>
        <v>0.97915656312257637</v>
      </c>
    </row>
    <row r="108" spans="2:8" x14ac:dyDescent="0.3">
      <c r="B108" s="2">
        <v>2019</v>
      </c>
      <c r="C108" s="6">
        <f t="shared" si="35"/>
        <v>0.9873620658219352</v>
      </c>
      <c r="D108" s="6">
        <f t="shared" si="36"/>
        <v>1.0178664360913141</v>
      </c>
      <c r="E108" s="6">
        <f t="shared" si="37"/>
        <v>0.98766302141146045</v>
      </c>
      <c r="F108" s="6">
        <f t="shared" si="38"/>
        <v>1.0178664360913141</v>
      </c>
      <c r="G108" s="9">
        <f t="shared" si="43"/>
        <v>0.98751253215174628</v>
      </c>
      <c r="H108" s="9">
        <f t="shared" si="44"/>
        <v>1.0178664360913141</v>
      </c>
    </row>
    <row r="109" spans="2:8" x14ac:dyDescent="0.3">
      <c r="B109" s="2">
        <v>2020</v>
      </c>
      <c r="C109" s="6">
        <f t="shared" si="35"/>
        <v>1.0032160027923933</v>
      </c>
      <c r="D109" s="6">
        <f t="shared" si="36"/>
        <v>0.98259237858622406</v>
      </c>
      <c r="E109" s="6">
        <f t="shared" si="37"/>
        <v>1.0016091915071605</v>
      </c>
      <c r="F109" s="6">
        <f t="shared" si="38"/>
        <v>0.98259237858622406</v>
      </c>
      <c r="G109" s="9">
        <f t="shared" si="43"/>
        <v>1.0024122751961562</v>
      </c>
      <c r="H109" s="9">
        <f t="shared" si="44"/>
        <v>0.98259237858622406</v>
      </c>
    </row>
    <row r="110" spans="2:8" x14ac:dyDescent="0.3">
      <c r="B110" s="2">
        <v>2021</v>
      </c>
      <c r="C110" s="6">
        <f t="shared" si="35"/>
        <v>1.0043582088608802</v>
      </c>
      <c r="D110" s="6">
        <f t="shared" si="36"/>
        <v>0.86794539503995838</v>
      </c>
      <c r="E110" s="6">
        <f t="shared" si="37"/>
        <v>1.0038254046311572</v>
      </c>
      <c r="F110" s="6">
        <f t="shared" si="38"/>
        <v>0.86794539503995827</v>
      </c>
      <c r="G110" s="9">
        <f t="shared" si="43"/>
        <v>1.004091771405581</v>
      </c>
      <c r="H110" s="9">
        <f t="shared" si="44"/>
        <v>0.86794539503995838</v>
      </c>
    </row>
    <row r="111" spans="2:8" x14ac:dyDescent="0.3">
      <c r="B111" s="2">
        <v>2022</v>
      </c>
      <c r="C111" s="6">
        <f t="shared" si="35"/>
        <v>0.98375253450539391</v>
      </c>
      <c r="D111" s="6">
        <f t="shared" si="36"/>
        <v>1.0083037283288314</v>
      </c>
      <c r="E111" s="6">
        <f t="shared" si="37"/>
        <v>0.9850947571125801</v>
      </c>
      <c r="F111" s="6">
        <f t="shared" si="38"/>
        <v>1.0083037283288314</v>
      </c>
      <c r="G111" s="9">
        <f t="shared" si="43"/>
        <v>0.98442341705054748</v>
      </c>
      <c r="H111" s="9">
        <f t="shared" si="44"/>
        <v>1.0083037283288314</v>
      </c>
    </row>
    <row r="112" spans="2:8" x14ac:dyDescent="0.3">
      <c r="B112" s="2">
        <v>2023</v>
      </c>
      <c r="C112" s="6">
        <f>SUMPRODUCT(C83:D83,C56:D56)/SUMPRODUCT(C83:D83,C55:D55)</f>
        <v>1.0146472052528996</v>
      </c>
      <c r="D112" s="6">
        <f>SUMPRODUCT(E83*E56)/SUMPRODUCT(E83*E55)</f>
        <v>0.99317529622822409</v>
      </c>
      <c r="E112" s="6">
        <f>SUMPRODUCT(C84:D84,C56:D56)/SUMPRODUCT(C84:D84,C55:D55)</f>
        <v>1.0165108727653529</v>
      </c>
      <c r="F112" s="6">
        <f>SUMPRODUCT(E84,E56)/SUMPRODUCT(E84,E55)</f>
        <v>0.9931752962282242</v>
      </c>
      <c r="G112" s="9">
        <f>(C112*E112)^0.5</f>
        <v>1.0155786115119554</v>
      </c>
      <c r="H112" s="9">
        <f>(D112*F112)^0.5</f>
        <v>0.99317529622822409</v>
      </c>
    </row>
    <row r="114" spans="2:11" ht="13.5" thickBot="1" x14ac:dyDescent="0.35">
      <c r="B114" s="132" t="s">
        <v>38</v>
      </c>
      <c r="C114" s="131"/>
      <c r="D114" s="131"/>
      <c r="E114" s="131"/>
      <c r="F114" s="131"/>
      <c r="G114" s="131"/>
      <c r="H114" s="131"/>
      <c r="I114" s="131"/>
      <c r="J114" s="131"/>
      <c r="K114" s="131"/>
    </row>
    <row r="115" spans="2:11" x14ac:dyDescent="0.3">
      <c r="B115" s="42" t="s">
        <v>39</v>
      </c>
      <c r="C115" s="53"/>
      <c r="D115" s="53"/>
      <c r="E115" s="53"/>
      <c r="F115" s="53"/>
      <c r="G115" s="61"/>
      <c r="H115" s="62"/>
      <c r="I115" s="62"/>
      <c r="J115" s="63"/>
    </row>
    <row r="116" spans="2:11" x14ac:dyDescent="0.3">
      <c r="B116" s="42"/>
      <c r="C116" s="43" t="s">
        <v>35</v>
      </c>
      <c r="D116" s="43" t="s">
        <v>35</v>
      </c>
      <c r="E116" s="43" t="s">
        <v>36</v>
      </c>
      <c r="F116" s="43" t="s">
        <v>36</v>
      </c>
      <c r="G116" s="64" t="s">
        <v>37</v>
      </c>
      <c r="H116" s="43" t="s">
        <v>37</v>
      </c>
      <c r="I116" s="43" t="s">
        <v>40</v>
      </c>
      <c r="J116" s="65" t="s">
        <v>40</v>
      </c>
    </row>
    <row r="117" spans="2:11" x14ac:dyDescent="0.3">
      <c r="B117" s="43" t="s">
        <v>3</v>
      </c>
      <c r="C117" s="43" t="s">
        <v>26</v>
      </c>
      <c r="D117" s="43" t="s">
        <v>27</v>
      </c>
      <c r="E117" s="43" t="s">
        <v>26</v>
      </c>
      <c r="F117" s="43" t="s">
        <v>27</v>
      </c>
      <c r="G117" s="64" t="s">
        <v>26</v>
      </c>
      <c r="H117" s="43" t="s">
        <v>27</v>
      </c>
      <c r="I117" s="43" t="s">
        <v>39</v>
      </c>
      <c r="J117" s="65" t="s">
        <v>41</v>
      </c>
    </row>
    <row r="118" spans="2:11" x14ac:dyDescent="0.3">
      <c r="B118" s="2">
        <v>2002</v>
      </c>
      <c r="C118" s="6">
        <v>1</v>
      </c>
      <c r="D118" s="6">
        <v>1</v>
      </c>
      <c r="E118" s="6">
        <v>1</v>
      </c>
      <c r="F118" s="6">
        <v>1</v>
      </c>
      <c r="G118" s="10">
        <v>1</v>
      </c>
      <c r="H118" s="6">
        <v>1</v>
      </c>
      <c r="I118" s="6">
        <f>H118/G118</f>
        <v>1</v>
      </c>
      <c r="J118" s="137"/>
    </row>
    <row r="119" spans="2:11" x14ac:dyDescent="0.3">
      <c r="B119" s="2">
        <v>2003</v>
      </c>
      <c r="C119" s="6">
        <f t="shared" ref="C119:H119" si="45">C118*C92</f>
        <v>1.0268604474127041</v>
      </c>
      <c r="D119" s="6">
        <f t="shared" si="45"/>
        <v>1.0732193382357795</v>
      </c>
      <c r="E119" s="6">
        <f t="shared" si="45"/>
        <v>1.0252096924124143</v>
      </c>
      <c r="F119" s="6">
        <f t="shared" si="45"/>
        <v>1.0732193382357795</v>
      </c>
      <c r="G119" s="10">
        <f t="shared" si="45"/>
        <v>1.0260347379316417</v>
      </c>
      <c r="H119" s="6">
        <f t="shared" si="45"/>
        <v>1.0732193382357795</v>
      </c>
      <c r="I119" s="6">
        <f>H119/G119</f>
        <v>1.0459873321630964</v>
      </c>
      <c r="J119" s="138">
        <f>LN(I119/I118)</f>
        <v>4.4961254826657818E-2</v>
      </c>
    </row>
    <row r="120" spans="2:11" x14ac:dyDescent="0.3">
      <c r="B120" s="2">
        <v>2004</v>
      </c>
      <c r="C120" s="6">
        <f t="shared" ref="C120:H120" si="46">C119*C93</f>
        <v>1.0298780717717606</v>
      </c>
      <c r="D120" s="6">
        <f t="shared" si="46"/>
        <v>1.0381111133243877</v>
      </c>
      <c r="E120" s="6">
        <f t="shared" si="46"/>
        <v>1.028309630836634</v>
      </c>
      <c r="F120" s="6">
        <f t="shared" si="46"/>
        <v>1.0381111133243877</v>
      </c>
      <c r="G120" s="10">
        <f t="shared" si="46"/>
        <v>1.0290935524967413</v>
      </c>
      <c r="H120" s="6">
        <f t="shared" si="46"/>
        <v>1.0381111133243877</v>
      </c>
      <c r="I120" s="6">
        <f t="shared" ref="I120:I133" si="47">H120/G120</f>
        <v>1.0087626249389749</v>
      </c>
      <c r="J120" s="138">
        <f t="shared" ref="J120:J132" si="48">LN(I120/I119)</f>
        <v>-3.6236798873982193E-2</v>
      </c>
    </row>
    <row r="121" spans="2:11" x14ac:dyDescent="0.3">
      <c r="B121" s="2">
        <v>2005</v>
      </c>
      <c r="C121" s="6">
        <f t="shared" ref="C121:H121" si="49">C120*C94</f>
        <v>1.0330958468736002</v>
      </c>
      <c r="D121" s="6">
        <f t="shared" si="49"/>
        <v>1.0303574018495829</v>
      </c>
      <c r="E121" s="6">
        <f t="shared" si="49"/>
        <v>1.0310554171827431</v>
      </c>
      <c r="F121" s="6">
        <f t="shared" si="49"/>
        <v>1.0303574018495829</v>
      </c>
      <c r="G121" s="10">
        <f t="shared" si="49"/>
        <v>1.0320751277828659</v>
      </c>
      <c r="H121" s="6">
        <f t="shared" si="49"/>
        <v>1.0303574018495829</v>
      </c>
      <c r="I121" s="6">
        <f t="shared" si="47"/>
        <v>0.99833565804751723</v>
      </c>
      <c r="J121" s="138">
        <f t="shared" si="48"/>
        <v>-1.0390184460907967E-2</v>
      </c>
    </row>
    <row r="122" spans="2:11" x14ac:dyDescent="0.3">
      <c r="B122" s="2">
        <v>2006</v>
      </c>
      <c r="C122" s="6">
        <f t="shared" ref="C122:H122" si="50">C121*C95</f>
        <v>1.0388460158338548</v>
      </c>
      <c r="D122" s="6">
        <f t="shared" si="50"/>
        <v>1.0925558413490866</v>
      </c>
      <c r="E122" s="6">
        <f t="shared" si="50"/>
        <v>1.0374527788473435</v>
      </c>
      <c r="F122" s="6">
        <f t="shared" si="50"/>
        <v>1.0925558413490866</v>
      </c>
      <c r="G122" s="10">
        <f t="shared" si="50"/>
        <v>1.0381491636182749</v>
      </c>
      <c r="H122" s="6">
        <f t="shared" si="50"/>
        <v>1.0925558413490866</v>
      </c>
      <c r="I122" s="6">
        <f t="shared" si="47"/>
        <v>1.0524073800157845</v>
      </c>
      <c r="J122" s="138">
        <f t="shared" si="48"/>
        <v>5.2746011225403087E-2</v>
      </c>
    </row>
    <row r="123" spans="2:11" x14ac:dyDescent="0.3">
      <c r="B123" s="2">
        <v>2007</v>
      </c>
      <c r="C123" s="6">
        <f t="shared" ref="C123:H123" si="51">C122*C96</f>
        <v>1.0347724701584018</v>
      </c>
      <c r="D123" s="6">
        <f t="shared" si="51"/>
        <v>0.92495842339365153</v>
      </c>
      <c r="E123" s="6">
        <f t="shared" si="51"/>
        <v>1.0349297589392596</v>
      </c>
      <c r="F123" s="6">
        <f t="shared" si="51"/>
        <v>0.9249584233936512</v>
      </c>
      <c r="G123" s="10">
        <f t="shared" si="51"/>
        <v>1.034851111560507</v>
      </c>
      <c r="H123" s="6">
        <f t="shared" si="51"/>
        <v>0.92495842339365131</v>
      </c>
      <c r="I123" s="6">
        <f t="shared" si="47"/>
        <v>0.89380821362684471</v>
      </c>
      <c r="J123" s="138">
        <f t="shared" si="48"/>
        <v>-0.16334433568428744</v>
      </c>
    </row>
    <row r="124" spans="2:11" x14ac:dyDescent="0.3">
      <c r="B124" s="2">
        <v>2008</v>
      </c>
      <c r="C124" s="6">
        <f t="shared" ref="C124:H124" si="52">C123*C97</f>
        <v>1.0533117844525859</v>
      </c>
      <c r="D124" s="6">
        <f t="shared" si="52"/>
        <v>0.95353341163607874</v>
      </c>
      <c r="E124" s="6">
        <f t="shared" si="52"/>
        <v>1.0522161898088531</v>
      </c>
      <c r="F124" s="6">
        <f t="shared" si="52"/>
        <v>0.95353341163607841</v>
      </c>
      <c r="G124" s="10">
        <f t="shared" si="52"/>
        <v>1.052763844609732</v>
      </c>
      <c r="H124" s="6">
        <f t="shared" si="52"/>
        <v>0.95353341163607852</v>
      </c>
      <c r="I124" s="6">
        <f t="shared" si="47"/>
        <v>0.90574293229984637</v>
      </c>
      <c r="J124" s="138">
        <f t="shared" si="48"/>
        <v>1.3264300582988367E-2</v>
      </c>
    </row>
    <row r="125" spans="2:11" x14ac:dyDescent="0.3">
      <c r="B125" s="2">
        <v>2009</v>
      </c>
      <c r="C125" s="6">
        <f t="shared" ref="C125:H125" si="53">C124*C98</f>
        <v>1.0544208351026503</v>
      </c>
      <c r="D125" s="6">
        <f t="shared" si="53"/>
        <v>1.0296274116642115</v>
      </c>
      <c r="E125" s="6">
        <f t="shared" si="53"/>
        <v>1.0532554212859937</v>
      </c>
      <c r="F125" s="6">
        <f t="shared" si="53"/>
        <v>1.0296274116642112</v>
      </c>
      <c r="G125" s="10">
        <f t="shared" si="53"/>
        <v>1.0538379670939795</v>
      </c>
      <c r="H125" s="6">
        <f t="shared" si="53"/>
        <v>1.0296274116642112</v>
      </c>
      <c r="I125" s="6">
        <f t="shared" si="47"/>
        <v>0.97702630177907679</v>
      </c>
      <c r="J125" s="138">
        <f t="shared" si="48"/>
        <v>7.5758046043595595E-2</v>
      </c>
    </row>
    <row r="126" spans="2:11" x14ac:dyDescent="0.3">
      <c r="B126" s="2">
        <v>2010</v>
      </c>
      <c r="C126" s="6">
        <f t="shared" ref="C126:H126" si="54">C125*C99</f>
        <v>1.0586472918222956</v>
      </c>
      <c r="D126" s="6">
        <f t="shared" si="54"/>
        <v>1.000467769477499</v>
      </c>
      <c r="E126" s="6">
        <f t="shared" si="54"/>
        <v>1.0576081390081293</v>
      </c>
      <c r="F126" s="6">
        <f t="shared" si="54"/>
        <v>1.0004677694774988</v>
      </c>
      <c r="G126" s="10">
        <f t="shared" si="54"/>
        <v>1.0581275878504321</v>
      </c>
      <c r="H126" s="6">
        <f t="shared" si="54"/>
        <v>1.0004677694774988</v>
      </c>
      <c r="I126" s="6">
        <f t="shared" si="47"/>
        <v>0.94550768826463716</v>
      </c>
      <c r="J126" s="138">
        <f t="shared" si="48"/>
        <v>-3.2791553148719697E-2</v>
      </c>
    </row>
    <row r="127" spans="2:11" x14ac:dyDescent="0.3">
      <c r="B127" s="2">
        <v>2011</v>
      </c>
      <c r="C127" s="6">
        <f t="shared" ref="C127:H127" si="55">C126*C100</f>
        <v>1.0418360865244551</v>
      </c>
      <c r="D127" s="6">
        <f t="shared" si="55"/>
        <v>1.1389044939149362</v>
      </c>
      <c r="E127" s="6">
        <f t="shared" si="55"/>
        <v>1.0407725748993282</v>
      </c>
      <c r="F127" s="6">
        <f t="shared" si="55"/>
        <v>1.138904493914936</v>
      </c>
      <c r="G127" s="10">
        <f t="shared" si="55"/>
        <v>1.0413041949378175</v>
      </c>
      <c r="H127" s="6">
        <f t="shared" si="55"/>
        <v>1.138904493914936</v>
      </c>
      <c r="I127" s="6">
        <f t="shared" si="47"/>
        <v>1.0937289021321448</v>
      </c>
      <c r="J127" s="138">
        <f t="shared" si="48"/>
        <v>0.14562612851371334</v>
      </c>
    </row>
    <row r="128" spans="2:11" x14ac:dyDescent="0.3">
      <c r="B128" s="2">
        <v>2012</v>
      </c>
      <c r="C128" s="6">
        <f t="shared" ref="C128:H128" si="56">C127*C101</f>
        <v>1.0463394508207604</v>
      </c>
      <c r="D128" s="6">
        <f t="shared" si="56"/>
        <v>1.0044641191132839</v>
      </c>
      <c r="E128" s="6">
        <f t="shared" si="56"/>
        <v>1.045863505641754</v>
      </c>
      <c r="F128" s="6">
        <f t="shared" si="56"/>
        <v>1.0044641191132839</v>
      </c>
      <c r="G128" s="10">
        <f t="shared" si="56"/>
        <v>1.0461014511636373</v>
      </c>
      <c r="H128" s="6">
        <f t="shared" si="56"/>
        <v>1.0044641191132839</v>
      </c>
      <c r="I128" s="6">
        <f t="shared" si="47"/>
        <v>0.96019761562892603</v>
      </c>
      <c r="J128" s="138">
        <f t="shared" si="48"/>
        <v>-0.13020903511537593</v>
      </c>
    </row>
    <row r="129" spans="2:19" x14ac:dyDescent="0.3">
      <c r="B129" s="2">
        <v>2013</v>
      </c>
      <c r="C129" s="6">
        <f t="shared" ref="C129:H129" si="57">C128*C102</f>
        <v>1.0406543592712849</v>
      </c>
      <c r="D129" s="6">
        <f t="shared" si="57"/>
        <v>0.98251352019752536</v>
      </c>
      <c r="E129" s="6">
        <f t="shared" si="57"/>
        <v>1.0418727495548614</v>
      </c>
      <c r="F129" s="6">
        <f t="shared" si="57"/>
        <v>0.98251352019752547</v>
      </c>
      <c r="G129" s="10">
        <f t="shared" si="57"/>
        <v>1.0412633762071082</v>
      </c>
      <c r="H129" s="6">
        <f t="shared" si="57"/>
        <v>0.98251352019752547</v>
      </c>
      <c r="I129" s="6">
        <f t="shared" si="47"/>
        <v>0.94357829406851501</v>
      </c>
      <c r="J129" s="138">
        <f t="shared" si="48"/>
        <v>-1.745976894093966E-2</v>
      </c>
      <c r="L129" s="215"/>
    </row>
    <row r="130" spans="2:19" x14ac:dyDescent="0.3">
      <c r="B130" s="66">
        <v>2014</v>
      </c>
      <c r="C130" s="6">
        <f t="shared" ref="C130:H130" si="58">C129*C103</f>
        <v>1.0389317060739265</v>
      </c>
      <c r="D130" s="6">
        <f t="shared" si="58"/>
        <v>0.9505115533293963</v>
      </c>
      <c r="E130" s="6">
        <f t="shared" si="58"/>
        <v>1.0404194175265009</v>
      </c>
      <c r="F130" s="6">
        <f t="shared" si="58"/>
        <v>0.95051155332939652</v>
      </c>
      <c r="G130" s="10">
        <f t="shared" si="58"/>
        <v>1.0396752956972903</v>
      </c>
      <c r="H130" s="6">
        <f t="shared" si="58"/>
        <v>0.95051155332939641</v>
      </c>
      <c r="I130" s="6">
        <f t="shared" si="47"/>
        <v>0.91423885636515634</v>
      </c>
      <c r="J130" s="138">
        <f t="shared" si="48"/>
        <v>-3.1587475821812358E-2</v>
      </c>
      <c r="L130" s="215"/>
    </row>
    <row r="131" spans="2:19" x14ac:dyDescent="0.3">
      <c r="B131" s="66">
        <v>2015</v>
      </c>
      <c r="C131" s="6">
        <f t="shared" ref="C131:H131" si="59">C130*C104</f>
        <v>1.0472208102609422</v>
      </c>
      <c r="D131" s="6">
        <f t="shared" si="59"/>
        <v>0.90711643910213324</v>
      </c>
      <c r="E131" s="6">
        <f t="shared" si="59"/>
        <v>1.0505982449196947</v>
      </c>
      <c r="F131" s="6">
        <f t="shared" si="59"/>
        <v>0.90711643910213335</v>
      </c>
      <c r="G131" s="10">
        <f t="shared" si="59"/>
        <v>1.04890816819373</v>
      </c>
      <c r="H131" s="6">
        <f t="shared" si="59"/>
        <v>0.90711643910213324</v>
      </c>
      <c r="I131" s="6">
        <f t="shared" si="47"/>
        <v>0.86481969214162102</v>
      </c>
      <c r="J131" s="138">
        <f t="shared" si="48"/>
        <v>-5.557083131616565E-2</v>
      </c>
      <c r="L131" s="215"/>
    </row>
    <row r="132" spans="2:19" x14ac:dyDescent="0.3">
      <c r="B132" s="66">
        <v>2016</v>
      </c>
      <c r="C132" s="6">
        <f t="shared" ref="C132:H132" si="60">C131*C105</f>
        <v>1.0456904749840192</v>
      </c>
      <c r="D132" s="6">
        <f t="shared" si="60"/>
        <v>0.9675601110660218</v>
      </c>
      <c r="E132" s="6">
        <f t="shared" si="60"/>
        <v>1.0489641152429297</v>
      </c>
      <c r="F132" s="6">
        <f t="shared" si="60"/>
        <v>0.96756011106602191</v>
      </c>
      <c r="G132" s="10">
        <f t="shared" si="60"/>
        <v>1.0473260160568774</v>
      </c>
      <c r="H132" s="6">
        <f t="shared" si="60"/>
        <v>0.9675601110660218</v>
      </c>
      <c r="I132" s="6">
        <f t="shared" si="47"/>
        <v>0.92383851468602907</v>
      </c>
      <c r="J132" s="138">
        <f t="shared" si="48"/>
        <v>6.6016251899920803E-2</v>
      </c>
      <c r="L132" s="215"/>
    </row>
    <row r="133" spans="2:19" x14ac:dyDescent="0.3">
      <c r="B133" s="2">
        <v>2017</v>
      </c>
      <c r="C133" s="6">
        <f t="shared" ref="C133:H133" si="61">C132*C106</f>
        <v>1.0322334055038143</v>
      </c>
      <c r="D133" s="6">
        <f t="shared" si="61"/>
        <v>1.0749272229813529</v>
      </c>
      <c r="E133" s="6">
        <f t="shared" si="61"/>
        <v>1.0365520297769686</v>
      </c>
      <c r="F133" s="6">
        <f t="shared" si="61"/>
        <v>1.0749272229813529</v>
      </c>
      <c r="G133" s="10">
        <f t="shared" si="61"/>
        <v>1.0343904638377963</v>
      </c>
      <c r="H133" s="6">
        <f t="shared" si="61"/>
        <v>1.0749272229813529</v>
      </c>
      <c r="I133" s="6">
        <f t="shared" si="47"/>
        <v>1.0391890302170392</v>
      </c>
      <c r="J133" s="138">
        <f>LN(I133/I132)</f>
        <v>0.11765862060022746</v>
      </c>
      <c r="L133" s="215"/>
    </row>
    <row r="134" spans="2:19" x14ac:dyDescent="0.3">
      <c r="B134" s="2">
        <v>2018</v>
      </c>
      <c r="C134" s="6">
        <f t="shared" ref="C134:H134" si="62">C133*C107</f>
        <v>1.0488164457683342</v>
      </c>
      <c r="D134" s="6">
        <f t="shared" si="62"/>
        <v>1.0525220452613167</v>
      </c>
      <c r="E134" s="6">
        <f t="shared" si="62"/>
        <v>1.0532286761399638</v>
      </c>
      <c r="F134" s="6">
        <f t="shared" si="62"/>
        <v>1.0525220452613169</v>
      </c>
      <c r="G134" s="10">
        <f t="shared" si="62"/>
        <v>1.0510202456139486</v>
      </c>
      <c r="H134" s="6">
        <f t="shared" si="62"/>
        <v>1.0525220452613169</v>
      </c>
      <c r="I134" s="6">
        <f t="shared" ref="I134:I138" si="63">H134/G134</f>
        <v>1.0014288969728562</v>
      </c>
      <c r="J134" s="138">
        <f t="shared" ref="J134:J138" si="64">LN(I134/I133)</f>
        <v>-3.7012753259297926E-2</v>
      </c>
      <c r="L134" s="215"/>
    </row>
    <row r="135" spans="2:19" x14ac:dyDescent="0.3">
      <c r="B135" s="2">
        <v>2019</v>
      </c>
      <c r="C135" s="6">
        <f t="shared" ref="C135:H135" si="65">C134*C108</f>
        <v>1.0355615725618421</v>
      </c>
      <c r="D135" s="6">
        <f t="shared" si="65"/>
        <v>1.0713268631176771</v>
      </c>
      <c r="E135" s="6">
        <f t="shared" si="65"/>
        <v>1.0402350165135892</v>
      </c>
      <c r="F135" s="6">
        <f t="shared" si="65"/>
        <v>1.0713268631176773</v>
      </c>
      <c r="G135" s="10">
        <f t="shared" si="65"/>
        <v>1.0378956640889807</v>
      </c>
      <c r="H135" s="6">
        <f t="shared" si="65"/>
        <v>1.0713268631176773</v>
      </c>
      <c r="I135" s="6">
        <f t="shared" si="63"/>
        <v>1.0322105585227983</v>
      </c>
      <c r="J135" s="138">
        <f t="shared" si="64"/>
        <v>3.0274798753505052E-2</v>
      </c>
      <c r="L135" s="215"/>
    </row>
    <row r="136" spans="2:19" x14ac:dyDescent="0.3">
      <c r="B136" s="2">
        <v>2020</v>
      </c>
      <c r="C136" s="6">
        <f t="shared" ref="C136:H137" si="66">C135*C109</f>
        <v>1.0388919414708961</v>
      </c>
      <c r="D136" s="6">
        <f t="shared" si="66"/>
        <v>1.0526776106741165</v>
      </c>
      <c r="E136" s="6">
        <f t="shared" si="66"/>
        <v>1.0419089538676138</v>
      </c>
      <c r="F136" s="6">
        <f t="shared" si="66"/>
        <v>1.0526776106741167</v>
      </c>
      <c r="G136" s="10">
        <f t="shared" si="66"/>
        <v>1.0403993540556606</v>
      </c>
      <c r="H136" s="6">
        <f t="shared" si="66"/>
        <v>1.0526776106741167</v>
      </c>
      <c r="I136" s="6">
        <f t="shared" si="63"/>
        <v>1.0118014842767762</v>
      </c>
      <c r="J136" s="138">
        <f t="shared" si="64"/>
        <v>-1.9970285983329311E-2</v>
      </c>
      <c r="L136" s="215"/>
    </row>
    <row r="137" spans="2:19" x14ac:dyDescent="0.3">
      <c r="B137" s="2">
        <v>2021</v>
      </c>
      <c r="C137" s="6">
        <f t="shared" si="66"/>
        <v>1.0434196495357118</v>
      </c>
      <c r="D137" s="6">
        <f t="shared" si="66"/>
        <v>0.91366668464626555</v>
      </c>
      <c r="E137" s="6">
        <f t="shared" si="66"/>
        <v>1.0458946772049831</v>
      </c>
      <c r="F137" s="6">
        <f t="shared" si="66"/>
        <v>0.91366668464626555</v>
      </c>
      <c r="G137" s="10">
        <f t="shared" si="66"/>
        <v>1.0446564303829706</v>
      </c>
      <c r="H137" s="6">
        <f t="shared" si="66"/>
        <v>0.91366668464626577</v>
      </c>
      <c r="I137" s="6">
        <f t="shared" si="63"/>
        <v>0.87460973586437019</v>
      </c>
      <c r="J137" s="138">
        <f t="shared" si="64"/>
        <v>-0.14570989811551194</v>
      </c>
      <c r="L137" s="215"/>
    </row>
    <row r="138" spans="2:19" x14ac:dyDescent="0.3">
      <c r="B138" s="2">
        <v>2022</v>
      </c>
      <c r="C138" s="6">
        <f t="shared" ref="C138:H138" si="67">C137*C111</f>
        <v>1.0264667247834862</v>
      </c>
      <c r="D138" s="6">
        <f t="shared" si="67"/>
        <v>0.92125352457867227</v>
      </c>
      <c r="E138" s="6">
        <f t="shared" si="67"/>
        <v>1.0303053630065833</v>
      </c>
      <c r="F138" s="6">
        <f t="shared" si="67"/>
        <v>0.92125352457867227</v>
      </c>
      <c r="G138" s="10">
        <f t="shared" si="67"/>
        <v>1.0283842528414313</v>
      </c>
      <c r="H138" s="6">
        <f t="shared" si="67"/>
        <v>0.92125352457867249</v>
      </c>
      <c r="I138" s="6">
        <f t="shared" si="63"/>
        <v>0.89582616812076221</v>
      </c>
      <c r="J138" s="138">
        <f t="shared" si="64"/>
        <v>2.3968614651179478E-2</v>
      </c>
      <c r="L138" s="215"/>
    </row>
    <row r="139" spans="2:19" x14ac:dyDescent="0.3">
      <c r="B139" s="2">
        <v>2023</v>
      </c>
      <c r="C139" s="6">
        <f t="shared" ref="C139:H139" si="68">C138*C112</f>
        <v>1.0415015935866616</v>
      </c>
      <c r="D139" s="6">
        <f t="shared" si="68"/>
        <v>0.91496624217471834</v>
      </c>
      <c r="E139" s="6">
        <f t="shared" si="68"/>
        <v>1.0473166037646457</v>
      </c>
      <c r="F139" s="6">
        <f t="shared" si="68"/>
        <v>0.91496624217471845</v>
      </c>
      <c r="G139" s="286">
        <f t="shared" si="68"/>
        <v>1.0444050516014605</v>
      </c>
      <c r="H139" s="267">
        <f t="shared" si="68"/>
        <v>0.91496624217471856</v>
      </c>
      <c r="I139" s="267">
        <f>H139/G139</f>
        <v>0.87606455059915289</v>
      </c>
      <c r="J139" s="287">
        <f>LN(I139/I138)</f>
        <v>-2.2306609238849841E-2</v>
      </c>
    </row>
    <row r="141" spans="2:19" s="194" customFormat="1" ht="13.5" thickBot="1" x14ac:dyDescent="0.35">
      <c r="B141" s="136" t="s">
        <v>42</v>
      </c>
      <c r="C141" s="135"/>
      <c r="D141" s="135"/>
      <c r="E141" s="135"/>
      <c r="F141" s="135"/>
      <c r="G141" s="135"/>
      <c r="H141" s="135"/>
      <c r="I141" s="135"/>
      <c r="J141" s="135"/>
      <c r="K141" s="135"/>
      <c r="L141" s="214"/>
      <c r="M141" s="214"/>
      <c r="N141" s="214"/>
      <c r="O141" s="214"/>
      <c r="P141" s="214"/>
      <c r="Q141" s="214"/>
    </row>
    <row r="142" spans="2:19" x14ac:dyDescent="0.3">
      <c r="B142" s="140" t="s">
        <v>43</v>
      </c>
      <c r="C142" s="141"/>
      <c r="D142" s="141"/>
      <c r="E142" s="141"/>
      <c r="F142" s="141"/>
      <c r="G142" s="141"/>
      <c r="H142" s="141"/>
      <c r="I142" s="142"/>
      <c r="R142" s="105"/>
      <c r="S142" s="105"/>
    </row>
    <row r="143" spans="2:19" ht="15.75" customHeight="1" x14ac:dyDescent="0.3">
      <c r="B143" s="143"/>
      <c r="C143" s="43" t="s">
        <v>35</v>
      </c>
      <c r="D143" s="43" t="s">
        <v>35</v>
      </c>
      <c r="E143" s="43" t="s">
        <v>36</v>
      </c>
      <c r="F143" s="43" t="s">
        <v>36</v>
      </c>
      <c r="G143" s="64" t="s">
        <v>37</v>
      </c>
      <c r="H143" s="43" t="s">
        <v>37</v>
      </c>
      <c r="I143" s="65" t="s">
        <v>44</v>
      </c>
    </row>
    <row r="144" spans="2:19" x14ac:dyDescent="0.3">
      <c r="B144" s="64" t="s">
        <v>3</v>
      </c>
      <c r="C144" s="43" t="s">
        <v>26</v>
      </c>
      <c r="D144" s="43" t="s">
        <v>27</v>
      </c>
      <c r="E144" s="43" t="s">
        <v>26</v>
      </c>
      <c r="F144" s="43" t="s">
        <v>27</v>
      </c>
      <c r="G144" s="64" t="s">
        <v>45</v>
      </c>
      <c r="H144" s="43" t="s">
        <v>46</v>
      </c>
      <c r="I144" s="65" t="s">
        <v>47</v>
      </c>
    </row>
    <row r="145" spans="2:18" x14ac:dyDescent="0.3">
      <c r="B145" s="144" t="s">
        <v>48</v>
      </c>
      <c r="C145" s="129">
        <f t="shared" ref="C145:I159" si="69">LN(C119/C118)</f>
        <v>2.6506037986715515E-2</v>
      </c>
      <c r="D145" s="129">
        <f t="shared" si="69"/>
        <v>7.0662858635257828E-2</v>
      </c>
      <c r="E145" s="129">
        <f t="shared" si="69"/>
        <v>2.4897169630484585E-2</v>
      </c>
      <c r="F145" s="129">
        <f t="shared" si="69"/>
        <v>7.0662858635257828E-2</v>
      </c>
      <c r="G145" s="129">
        <f t="shared" si="69"/>
        <v>2.5701603808600093E-2</v>
      </c>
      <c r="H145" s="129">
        <f t="shared" si="69"/>
        <v>7.0662858635257828E-2</v>
      </c>
      <c r="I145" s="138">
        <f>LN(I119/I118)</f>
        <v>4.4961254826657818E-2</v>
      </c>
    </row>
    <row r="146" spans="2:18" x14ac:dyDescent="0.3">
      <c r="B146" s="144" t="s">
        <v>49</v>
      </c>
      <c r="C146" s="129">
        <f t="shared" si="69"/>
        <v>2.9343803271074773E-3</v>
      </c>
      <c r="D146" s="129">
        <f t="shared" si="69"/>
        <v>-3.3260034028635831E-2</v>
      </c>
      <c r="E146" s="129">
        <f t="shared" si="69"/>
        <v>3.0191493635852652E-3</v>
      </c>
      <c r="F146" s="129">
        <f t="shared" si="69"/>
        <v>-3.3260034028635831E-2</v>
      </c>
      <c r="G146" s="129">
        <f t="shared" si="69"/>
        <v>2.9767648453462737E-3</v>
      </c>
      <c r="H146" s="129">
        <f t="shared" si="69"/>
        <v>-3.3260034028635831E-2</v>
      </c>
      <c r="I146" s="138">
        <f t="shared" si="69"/>
        <v>-3.6236798873982193E-2</v>
      </c>
    </row>
    <row r="147" spans="2:18" x14ac:dyDescent="0.3">
      <c r="B147" s="144" t="s">
        <v>50</v>
      </c>
      <c r="C147" s="129">
        <f t="shared" si="69"/>
        <v>3.1195524890227371E-3</v>
      </c>
      <c r="D147" s="129">
        <f t="shared" si="69"/>
        <v>-7.4970904659354114E-3</v>
      </c>
      <c r="E147" s="129">
        <f t="shared" si="69"/>
        <v>2.6666355009222426E-3</v>
      </c>
      <c r="F147" s="129">
        <f t="shared" si="69"/>
        <v>-7.4970904659354114E-3</v>
      </c>
      <c r="G147" s="129">
        <f t="shared" si="69"/>
        <v>2.8930939949726028E-3</v>
      </c>
      <c r="H147" s="129">
        <f t="shared" si="69"/>
        <v>-7.4970904659354114E-3</v>
      </c>
      <c r="I147" s="138">
        <f t="shared" si="69"/>
        <v>-1.0390184460907967E-2</v>
      </c>
      <c r="R147" s="196"/>
    </row>
    <row r="148" spans="2:18" x14ac:dyDescent="0.3">
      <c r="B148" s="144" t="s">
        <v>51</v>
      </c>
      <c r="C148" s="129">
        <f t="shared" si="69"/>
        <v>5.5505261286593697E-3</v>
      </c>
      <c r="D148" s="129">
        <f t="shared" si="69"/>
        <v>5.8614025903686355E-2</v>
      </c>
      <c r="E148" s="129">
        <f t="shared" si="69"/>
        <v>6.1855032279078508E-3</v>
      </c>
      <c r="F148" s="129">
        <f t="shared" si="69"/>
        <v>5.8614025903686355E-2</v>
      </c>
      <c r="G148" s="129">
        <f t="shared" si="69"/>
        <v>5.8680146782835443E-3</v>
      </c>
      <c r="H148" s="129">
        <f t="shared" si="69"/>
        <v>5.8614025903686355E-2</v>
      </c>
      <c r="I148" s="138">
        <f t="shared" si="69"/>
        <v>5.2746011225403087E-2</v>
      </c>
      <c r="R148" s="16"/>
    </row>
    <row r="149" spans="2:18" x14ac:dyDescent="0.3">
      <c r="B149" s="144" t="s">
        <v>52</v>
      </c>
      <c r="C149" s="129">
        <f t="shared" si="69"/>
        <v>-3.9289299773064695E-3</v>
      </c>
      <c r="D149" s="129">
        <f t="shared" si="69"/>
        <v>-0.16652625020680117</v>
      </c>
      <c r="E149" s="129">
        <f t="shared" si="69"/>
        <v>-2.4348990677218649E-3</v>
      </c>
      <c r="F149" s="129">
        <f t="shared" si="69"/>
        <v>-0.16652625020680145</v>
      </c>
      <c r="G149" s="129">
        <f t="shared" si="69"/>
        <v>-3.1819145225139814E-3</v>
      </c>
      <c r="H149" s="129">
        <f t="shared" si="69"/>
        <v>-0.16652625020680131</v>
      </c>
      <c r="I149" s="138">
        <f t="shared" si="69"/>
        <v>-0.16334433568428744</v>
      </c>
      <c r="R149" s="16"/>
    </row>
    <row r="150" spans="2:18" x14ac:dyDescent="0.3">
      <c r="B150" s="144" t="s">
        <v>53</v>
      </c>
      <c r="C150" s="129">
        <f t="shared" si="69"/>
        <v>1.7757713969070762E-2</v>
      </c>
      <c r="D150" s="129">
        <f t="shared" si="69"/>
        <v>3.0425676651496963E-2</v>
      </c>
      <c r="E150" s="129">
        <f t="shared" si="69"/>
        <v>1.6565038167946321E-2</v>
      </c>
      <c r="F150" s="129">
        <f t="shared" si="69"/>
        <v>3.0425676651496963E-2</v>
      </c>
      <c r="G150" s="129">
        <f t="shared" si="69"/>
        <v>1.7161376068508646E-2</v>
      </c>
      <c r="H150" s="129">
        <f t="shared" si="69"/>
        <v>3.0425676651496963E-2</v>
      </c>
      <c r="I150" s="138">
        <f>LN(I124/I123)</f>
        <v>1.3264300582988367E-2</v>
      </c>
      <c r="R150" s="16"/>
    </row>
    <row r="151" spans="2:18" x14ac:dyDescent="0.3">
      <c r="B151" s="144" t="s">
        <v>54</v>
      </c>
      <c r="C151" s="129">
        <f t="shared" si="69"/>
        <v>1.052363798071988E-3</v>
      </c>
      <c r="D151" s="129">
        <f t="shared" si="69"/>
        <v>7.6777814061797997E-2</v>
      </c>
      <c r="E151" s="129">
        <f t="shared" si="69"/>
        <v>9.8717223833309623E-4</v>
      </c>
      <c r="F151" s="129">
        <f t="shared" si="69"/>
        <v>7.6777814061798191E-2</v>
      </c>
      <c r="G151" s="129">
        <f t="shared" si="69"/>
        <v>1.0197680182026008E-3</v>
      </c>
      <c r="H151" s="129">
        <f t="shared" si="69"/>
        <v>7.6777814061798191E-2</v>
      </c>
      <c r="I151" s="138">
        <f t="shared" si="69"/>
        <v>7.5758046043595595E-2</v>
      </c>
      <c r="R151" s="16"/>
    </row>
    <row r="152" spans="2:18" x14ac:dyDescent="0.3">
      <c r="B152" s="144" t="s">
        <v>55</v>
      </c>
      <c r="C152" s="129">
        <f t="shared" si="69"/>
        <v>4.0003086525560528E-3</v>
      </c>
      <c r="D152" s="129">
        <f t="shared" si="69"/>
        <v>-2.8729340443404652E-2</v>
      </c>
      <c r="E152" s="129">
        <f t="shared" si="69"/>
        <v>4.124116758074438E-3</v>
      </c>
      <c r="F152" s="129">
        <f t="shared" si="69"/>
        <v>-2.8729340443404652E-2</v>
      </c>
      <c r="G152" s="129">
        <f t="shared" si="69"/>
        <v>4.0622127053151907E-3</v>
      </c>
      <c r="H152" s="129">
        <f t="shared" si="69"/>
        <v>-2.8729340443404652E-2</v>
      </c>
      <c r="I152" s="138">
        <f t="shared" si="69"/>
        <v>-3.2791553148719697E-2</v>
      </c>
      <c r="R152" s="16"/>
    </row>
    <row r="153" spans="2:18" x14ac:dyDescent="0.3">
      <c r="B153" s="144" t="s">
        <v>56</v>
      </c>
      <c r="C153" s="129">
        <f t="shared" si="69"/>
        <v>-1.6007329015114601E-2</v>
      </c>
      <c r="D153" s="129">
        <f t="shared" si="69"/>
        <v>0.12959917002095467</v>
      </c>
      <c r="E153" s="129">
        <f t="shared" si="69"/>
        <v>-1.6046587970402749E-2</v>
      </c>
      <c r="F153" s="129">
        <f t="shared" si="69"/>
        <v>0.12959917002095467</v>
      </c>
      <c r="G153" s="129">
        <f t="shared" si="69"/>
        <v>-1.6026958492758824E-2</v>
      </c>
      <c r="H153" s="129">
        <f t="shared" si="69"/>
        <v>0.12959917002095467</v>
      </c>
      <c r="I153" s="138">
        <f t="shared" si="69"/>
        <v>0.14562612851371334</v>
      </c>
      <c r="R153" s="16"/>
    </row>
    <row r="154" spans="2:18" x14ac:dyDescent="0.3">
      <c r="B154" s="144" t="s">
        <v>57</v>
      </c>
      <c r="C154" s="129">
        <f t="shared" si="69"/>
        <v>4.3132114110161993E-3</v>
      </c>
      <c r="D154" s="129">
        <f t="shared" si="69"/>
        <v>-0.12561264563960334</v>
      </c>
      <c r="E154" s="129">
        <f t="shared" si="69"/>
        <v>4.8795675405294324E-3</v>
      </c>
      <c r="F154" s="129">
        <f t="shared" si="69"/>
        <v>-0.12561264563960309</v>
      </c>
      <c r="G154" s="129">
        <f t="shared" si="69"/>
        <v>4.5963894757727426E-3</v>
      </c>
      <c r="H154" s="129">
        <f t="shared" si="69"/>
        <v>-0.12561264563960309</v>
      </c>
      <c r="I154" s="138">
        <f t="shared" si="69"/>
        <v>-0.13020903511537593</v>
      </c>
      <c r="J154" s="204"/>
      <c r="R154" s="16"/>
    </row>
    <row r="155" spans="2:18" x14ac:dyDescent="0.3">
      <c r="B155" s="144" t="s">
        <v>58</v>
      </c>
      <c r="C155" s="129">
        <f t="shared" si="69"/>
        <v>-5.4481288675628462E-3</v>
      </c>
      <c r="D155" s="129">
        <f t="shared" si="69"/>
        <v>-2.2095358806923333E-2</v>
      </c>
      <c r="E155" s="129">
        <f t="shared" si="69"/>
        <v>-3.8230508644040355E-3</v>
      </c>
      <c r="F155" s="129">
        <f t="shared" si="69"/>
        <v>-2.2095358806923218E-2</v>
      </c>
      <c r="G155" s="129">
        <f t="shared" si="69"/>
        <v>-4.6355898659835139E-3</v>
      </c>
      <c r="H155" s="129">
        <f t="shared" si="69"/>
        <v>-2.2095358806923218E-2</v>
      </c>
      <c r="I155" s="138">
        <f t="shared" si="69"/>
        <v>-1.745976894093966E-2</v>
      </c>
      <c r="R155" s="16"/>
    </row>
    <row r="156" spans="2:18" x14ac:dyDescent="0.3">
      <c r="B156" s="144" t="s">
        <v>59</v>
      </c>
      <c r="C156" s="129">
        <f t="shared" si="69"/>
        <v>-1.6567273844401659E-3</v>
      </c>
      <c r="D156" s="129">
        <f t="shared" si="69"/>
        <v>-3.3113787807419942E-2</v>
      </c>
      <c r="E156" s="129">
        <f t="shared" si="69"/>
        <v>-1.3958965867750318E-3</v>
      </c>
      <c r="F156" s="129">
        <f t="shared" si="69"/>
        <v>-3.3113787807419831E-2</v>
      </c>
      <c r="G156" s="129">
        <f t="shared" si="69"/>
        <v>-1.5263119856075377E-3</v>
      </c>
      <c r="H156" s="129">
        <f t="shared" si="69"/>
        <v>-3.3113787807419942E-2</v>
      </c>
      <c r="I156" s="138">
        <f t="shared" si="69"/>
        <v>-3.1587475821812358E-2</v>
      </c>
      <c r="R156" s="16"/>
    </row>
    <row r="157" spans="2:18" x14ac:dyDescent="0.3">
      <c r="B157" s="144" t="s">
        <v>60</v>
      </c>
      <c r="C157" s="129">
        <f t="shared" si="69"/>
        <v>7.9468281872115843E-3</v>
      </c>
      <c r="D157" s="129">
        <f t="shared" si="69"/>
        <v>-4.6729496698861339E-2</v>
      </c>
      <c r="E157" s="129">
        <f t="shared" si="69"/>
        <v>9.7358410473966338E-3</v>
      </c>
      <c r="F157" s="129">
        <f t="shared" si="69"/>
        <v>-4.6729496698861339E-2</v>
      </c>
      <c r="G157" s="129">
        <f t="shared" si="69"/>
        <v>8.8413346173040665E-3</v>
      </c>
      <c r="H157" s="129">
        <f t="shared" si="69"/>
        <v>-4.6729496698861457E-2</v>
      </c>
      <c r="I157" s="138">
        <f t="shared" si="69"/>
        <v>-5.557083131616565E-2</v>
      </c>
      <c r="R157" s="16"/>
    </row>
    <row r="158" spans="2:18" x14ac:dyDescent="0.3">
      <c r="B158" s="144" t="s">
        <v>61</v>
      </c>
      <c r="C158" s="129">
        <f t="shared" si="69"/>
        <v>-1.4623988703623696E-3</v>
      </c>
      <c r="D158" s="129">
        <f t="shared" si="69"/>
        <v>6.4506733116981199E-2</v>
      </c>
      <c r="E158" s="129">
        <f t="shared" si="69"/>
        <v>-1.5566386955168543E-3</v>
      </c>
      <c r="F158" s="129">
        <f t="shared" si="69"/>
        <v>6.4506733116981199E-2</v>
      </c>
      <c r="G158" s="129">
        <f t="shared" si="69"/>
        <v>-1.5095187829395323E-3</v>
      </c>
      <c r="H158" s="129">
        <f t="shared" si="69"/>
        <v>6.4506733116981199E-2</v>
      </c>
      <c r="I158" s="138">
        <f t="shared" si="69"/>
        <v>6.6016251899920803E-2</v>
      </c>
      <c r="R158" s="16"/>
    </row>
    <row r="159" spans="2:18" x14ac:dyDescent="0.3">
      <c r="B159" s="144" t="s">
        <v>62</v>
      </c>
      <c r="C159" s="129">
        <f t="shared" si="69"/>
        <v>-1.295259922357761E-2</v>
      </c>
      <c r="D159" s="129">
        <f t="shared" si="69"/>
        <v>0.10523068544308777</v>
      </c>
      <c r="E159" s="129">
        <f t="shared" si="69"/>
        <v>-1.1903271090701554E-2</v>
      </c>
      <c r="F159" s="129">
        <f t="shared" si="69"/>
        <v>0.10523068544308777</v>
      </c>
      <c r="G159" s="129">
        <f t="shared" si="69"/>
        <v>-1.2427935157139552E-2</v>
      </c>
      <c r="H159" s="129">
        <f t="shared" si="69"/>
        <v>0.10523068544308777</v>
      </c>
      <c r="I159" s="138">
        <f t="shared" si="69"/>
        <v>0.11765862060022746</v>
      </c>
      <c r="R159" s="16"/>
    </row>
    <row r="160" spans="2:18" x14ac:dyDescent="0.3">
      <c r="B160" s="144" t="s">
        <v>63</v>
      </c>
      <c r="C160" s="129">
        <f t="shared" ref="C160:I164" si="70">LN(C134/C133)</f>
        <v>1.5937524290492246E-2</v>
      </c>
      <c r="D160" s="129">
        <f t="shared" si="70"/>
        <v>-2.106372776418217E-2</v>
      </c>
      <c r="E160" s="129">
        <f t="shared" si="70"/>
        <v>1.5960526699739581E-2</v>
      </c>
      <c r="F160" s="129">
        <f t="shared" si="70"/>
        <v>-2.1063727764181944E-2</v>
      </c>
      <c r="G160" s="129">
        <f t="shared" si="70"/>
        <v>1.594902549511594E-2</v>
      </c>
      <c r="H160" s="129">
        <f t="shared" si="70"/>
        <v>-2.1063727764181944E-2</v>
      </c>
      <c r="I160" s="138">
        <f t="shared" si="70"/>
        <v>-3.7012753259297926E-2</v>
      </c>
      <c r="R160" s="16"/>
    </row>
    <row r="161" spans="1:18" x14ac:dyDescent="0.3">
      <c r="B161" s="144" t="s">
        <v>64</v>
      </c>
      <c r="C161" s="129">
        <f t="shared" si="70"/>
        <v>-1.27184721433638E-2</v>
      </c>
      <c r="D161" s="129">
        <f t="shared" si="70"/>
        <v>1.7708707252696205E-2</v>
      </c>
      <c r="E161" s="129">
        <f t="shared" si="70"/>
        <v>-1.241371085825415E-2</v>
      </c>
      <c r="F161" s="129">
        <f t="shared" si="70"/>
        <v>1.7708707252696205E-2</v>
      </c>
      <c r="G161" s="129">
        <f t="shared" si="70"/>
        <v>-1.2566091500808957E-2</v>
      </c>
      <c r="H161" s="129">
        <f t="shared" si="70"/>
        <v>1.7708707252696205E-2</v>
      </c>
      <c r="I161" s="138">
        <f t="shared" si="70"/>
        <v>3.0274798753505052E-2</v>
      </c>
      <c r="R161" s="16"/>
    </row>
    <row r="162" spans="1:18" x14ac:dyDescent="0.3">
      <c r="B162" s="144" t="s">
        <v>65</v>
      </c>
      <c r="C162" s="129">
        <f t="shared" si="70"/>
        <v>3.210842516094979E-3</v>
      </c>
      <c r="D162" s="129">
        <f t="shared" si="70"/>
        <v>-1.7560915652365661E-2</v>
      </c>
      <c r="E162" s="129">
        <f t="shared" si="70"/>
        <v>1.6078981458319925E-3</v>
      </c>
      <c r="F162" s="129">
        <f t="shared" si="70"/>
        <v>-1.7560915652365661E-2</v>
      </c>
      <c r="G162" s="129">
        <f t="shared" si="70"/>
        <v>2.4093703309634559E-3</v>
      </c>
      <c r="H162" s="129">
        <f t="shared" si="70"/>
        <v>-1.7560915652365661E-2</v>
      </c>
      <c r="I162" s="138">
        <f t="shared" si="70"/>
        <v>-1.9970285983329311E-2</v>
      </c>
      <c r="R162" s="16"/>
    </row>
    <row r="163" spans="1:18" x14ac:dyDescent="0.3">
      <c r="B163" s="144" t="s">
        <v>66</v>
      </c>
      <c r="C163" s="129">
        <f t="shared" si="70"/>
        <v>4.3487393720136481E-3</v>
      </c>
      <c r="D163" s="129">
        <f t="shared" si="70"/>
        <v>-0.14162647524077737</v>
      </c>
      <c r="E163" s="129">
        <f t="shared" si="70"/>
        <v>3.8181063774555563E-3</v>
      </c>
      <c r="F163" s="129">
        <f t="shared" si="70"/>
        <v>-0.14162647524077748</v>
      </c>
      <c r="G163" s="129">
        <f t="shared" si="70"/>
        <v>4.0834228747346985E-3</v>
      </c>
      <c r="H163" s="129">
        <f t="shared" si="70"/>
        <v>-0.14162647524077737</v>
      </c>
      <c r="I163" s="138">
        <f t="shared" si="70"/>
        <v>-0.14570989811551194</v>
      </c>
      <c r="R163" s="16"/>
    </row>
    <row r="164" spans="1:18" x14ac:dyDescent="0.3">
      <c r="B164" s="144" t="s">
        <v>67</v>
      </c>
      <c r="C164" s="129">
        <f t="shared" si="70"/>
        <v>-1.6380902882413385E-2</v>
      </c>
      <c r="D164" s="129">
        <f t="shared" si="70"/>
        <v>8.2694420486287973E-3</v>
      </c>
      <c r="E164" s="129">
        <f t="shared" si="70"/>
        <v>-1.5017442322687797E-2</v>
      </c>
      <c r="F164" s="129">
        <f t="shared" si="70"/>
        <v>8.2694420486287973E-3</v>
      </c>
      <c r="G164" s="129">
        <f t="shared" si="70"/>
        <v>-1.5699172602550566E-2</v>
      </c>
      <c r="H164" s="129">
        <f t="shared" si="70"/>
        <v>8.2694420486287973E-3</v>
      </c>
      <c r="I164" s="138">
        <f t="shared" si="70"/>
        <v>2.3968614651179478E-2</v>
      </c>
      <c r="R164" s="16"/>
    </row>
    <row r="165" spans="1:18" x14ac:dyDescent="0.3">
      <c r="B165" s="144" t="s">
        <v>68</v>
      </c>
      <c r="C165" s="129">
        <f t="shared" ref="C165:I165" si="71">LN(C139/C138)</f>
        <v>1.4540971041836877E-2</v>
      </c>
      <c r="D165" s="129">
        <f t="shared" si="71"/>
        <v>-6.8480985650086323E-3</v>
      </c>
      <c r="E165" s="129">
        <f t="shared" si="71"/>
        <v>1.6376050305845446E-2</v>
      </c>
      <c r="F165" s="129">
        <f t="shared" si="71"/>
        <v>-6.8480985650085204E-3</v>
      </c>
      <c r="G165" s="129">
        <f t="shared" si="71"/>
        <v>1.5458510673841172E-2</v>
      </c>
      <c r="H165" s="129">
        <f t="shared" si="71"/>
        <v>-6.8480985650086323E-3</v>
      </c>
      <c r="I165" s="138">
        <f t="shared" si="71"/>
        <v>-2.2306609238849841E-2</v>
      </c>
      <c r="R165" s="16"/>
    </row>
    <row r="166" spans="1:18" ht="13.5" thickBot="1" x14ac:dyDescent="0.35">
      <c r="B166" s="145" t="s">
        <v>69</v>
      </c>
      <c r="C166" s="139">
        <f t="shared" ref="C166:H166" si="72">AVERAGE(C145:C165)</f>
        <v>1.9363577050346755E-3</v>
      </c>
      <c r="D166" s="139">
        <f t="shared" si="72"/>
        <v>-4.2318146754919562E-3</v>
      </c>
      <c r="E166" s="139">
        <f t="shared" si="72"/>
        <v>2.2014894070280194E-3</v>
      </c>
      <c r="F166" s="139">
        <f t="shared" si="72"/>
        <v>-4.2318146754919267E-3</v>
      </c>
      <c r="G166" s="86">
        <f t="shared" si="72"/>
        <v>2.0689235560313601E-3</v>
      </c>
      <c r="H166" s="87">
        <f t="shared" si="72"/>
        <v>-4.231814675491931E-3</v>
      </c>
      <c r="I166" s="78">
        <f>AVERAGE(I145:I165)</f>
        <v>-6.3007382315232808E-3</v>
      </c>
      <c r="J166" s="300"/>
      <c r="R166" s="16"/>
    </row>
    <row r="167" spans="1:18" ht="13.5" thickBot="1" x14ac:dyDescent="0.35">
      <c r="E167" s="299"/>
      <c r="F167" s="299"/>
    </row>
    <row r="168" spans="1:18" ht="13.5" thickBot="1" x14ac:dyDescent="0.35">
      <c r="B168" s="199" t="s">
        <v>70</v>
      </c>
      <c r="C168" s="200"/>
      <c r="D168" s="200"/>
      <c r="E168" s="200"/>
      <c r="F168" s="200"/>
      <c r="G168" s="200"/>
      <c r="H168" s="201"/>
    </row>
    <row r="169" spans="1:18" ht="13.5" thickBot="1" x14ac:dyDescent="0.35">
      <c r="A169"/>
      <c r="B169" s="334" t="s">
        <v>71</v>
      </c>
      <c r="C169" s="334" t="s">
        <v>72</v>
      </c>
      <c r="D169" s="334" t="s">
        <v>73</v>
      </c>
      <c r="E169" s="334" t="s">
        <v>74</v>
      </c>
      <c r="F169" s="334" t="s">
        <v>75</v>
      </c>
      <c r="G169" s="334" t="s">
        <v>76</v>
      </c>
      <c r="H169" s="334" t="s">
        <v>77</v>
      </c>
      <c r="I169"/>
      <c r="J169"/>
    </row>
    <row r="170" spans="1:18" ht="13.5" thickBot="1" x14ac:dyDescent="0.35">
      <c r="A170"/>
      <c r="B170" s="335"/>
      <c r="C170" s="335"/>
      <c r="D170" s="335"/>
      <c r="E170" s="335"/>
      <c r="F170" s="335"/>
      <c r="G170" s="335"/>
      <c r="H170" s="335"/>
      <c r="I170"/>
      <c r="J170"/>
    </row>
    <row r="171" spans="1:18" x14ac:dyDescent="0.3">
      <c r="A171"/>
      <c r="B171" s="89">
        <v>0</v>
      </c>
      <c r="C171" s="108">
        <f t="shared" ref="C171:C192" si="73">LN(I118)</f>
        <v>0</v>
      </c>
      <c r="D171" s="146">
        <f>SLOPE(C171:C192,$B$171:$B$192)</f>
        <v>-4.0120958337121777E-3</v>
      </c>
      <c r="E171" s="108">
        <f t="shared" ref="E171:E192" si="74">LN(G118)</f>
        <v>0</v>
      </c>
      <c r="F171" s="146">
        <f>SLOPE(E171:E192,$B$171:$B$192)</f>
        <v>7.0239775015981003E-4</v>
      </c>
      <c r="G171" s="198">
        <f t="shared" ref="G171:G192" si="75">LN(H118)</f>
        <v>0</v>
      </c>
      <c r="H171" s="202">
        <f>SLOPE(G171:G192,$B$171:$B$192)</f>
        <v>-3.3096980835523675E-3</v>
      </c>
      <c r="I171"/>
      <c r="J171"/>
    </row>
    <row r="172" spans="1:18" x14ac:dyDescent="0.3">
      <c r="A172"/>
      <c r="B172" s="89">
        <f t="shared" ref="B172:B192" si="76">B171+1</f>
        <v>1</v>
      </c>
      <c r="C172" s="108">
        <f t="shared" si="73"/>
        <v>4.4961254826657818E-2</v>
      </c>
      <c r="E172" s="108">
        <f t="shared" si="74"/>
        <v>2.5701603808600093E-2</v>
      </c>
      <c r="G172" s="108">
        <f t="shared" si="75"/>
        <v>7.0662858635257828E-2</v>
      </c>
      <c r="H172" s="147"/>
      <c r="I172"/>
      <c r="J172"/>
    </row>
    <row r="173" spans="1:18" x14ac:dyDescent="0.3">
      <c r="A173"/>
      <c r="B173" s="89">
        <f t="shared" si="76"/>
        <v>2</v>
      </c>
      <c r="C173" s="108">
        <f t="shared" si="73"/>
        <v>8.7244559526756232E-3</v>
      </c>
      <c r="E173" s="108">
        <f t="shared" si="74"/>
        <v>2.8678368653946261E-2</v>
      </c>
      <c r="G173" s="108">
        <f t="shared" si="75"/>
        <v>3.7402824606621983E-2</v>
      </c>
      <c r="H173" s="147"/>
      <c r="I173"/>
      <c r="J173"/>
    </row>
    <row r="174" spans="1:18" x14ac:dyDescent="0.3">
      <c r="B174" s="89">
        <f t="shared" si="76"/>
        <v>3</v>
      </c>
      <c r="C174" s="108">
        <f t="shared" si="73"/>
        <v>-1.6657285082323401E-3</v>
      </c>
      <c r="E174" s="108">
        <f t="shared" si="74"/>
        <v>3.1571462648918934E-2</v>
      </c>
      <c r="G174" s="108">
        <f t="shared" si="75"/>
        <v>2.9905734140686622E-2</v>
      </c>
      <c r="H174" s="147"/>
    </row>
    <row r="175" spans="1:18" x14ac:dyDescent="0.3">
      <c r="B175" s="89">
        <f t="shared" si="76"/>
        <v>4</v>
      </c>
      <c r="C175" s="108">
        <f t="shared" si="73"/>
        <v>5.1080282717170716E-2</v>
      </c>
      <c r="E175" s="108">
        <f t="shared" si="74"/>
        <v>3.7439477327202424E-2</v>
      </c>
      <c r="G175" s="108">
        <f t="shared" si="75"/>
        <v>8.8519760044373036E-2</v>
      </c>
      <c r="H175" s="147"/>
    </row>
    <row r="176" spans="1:18" x14ac:dyDescent="0.3">
      <c r="B176" s="89">
        <f t="shared" si="76"/>
        <v>5</v>
      </c>
      <c r="C176" s="108">
        <f t="shared" si="73"/>
        <v>-0.11226405296711671</v>
      </c>
      <c r="E176" s="108">
        <f t="shared" si="74"/>
        <v>3.4257562804688432E-2</v>
      </c>
      <c r="G176" s="108">
        <f t="shared" si="75"/>
        <v>-7.8006490162428332E-2</v>
      </c>
      <c r="H176" s="147"/>
    </row>
    <row r="177" spans="2:8" x14ac:dyDescent="0.3">
      <c r="B177" s="89">
        <f t="shared" si="76"/>
        <v>6</v>
      </c>
      <c r="C177" s="108">
        <f t="shared" si="73"/>
        <v>-9.8999752384128378E-2</v>
      </c>
      <c r="E177" s="108">
        <f t="shared" si="74"/>
        <v>5.1418938873196998E-2</v>
      </c>
      <c r="G177" s="108">
        <f t="shared" si="75"/>
        <v>-4.758081351093138E-2</v>
      </c>
      <c r="H177" s="147"/>
    </row>
    <row r="178" spans="2:8" x14ac:dyDescent="0.3">
      <c r="B178" s="89">
        <f t="shared" si="76"/>
        <v>7</v>
      </c>
      <c r="C178" s="108">
        <f t="shared" si="73"/>
        <v>-2.3241706340532863E-2</v>
      </c>
      <c r="E178" s="108">
        <f t="shared" si="74"/>
        <v>5.2438706891399546E-2</v>
      </c>
      <c r="G178" s="108">
        <f t="shared" si="75"/>
        <v>2.9197000550866728E-2</v>
      </c>
      <c r="H178" s="147"/>
    </row>
    <row r="179" spans="2:8" x14ac:dyDescent="0.3">
      <c r="B179" s="89">
        <f t="shared" si="76"/>
        <v>8</v>
      </c>
      <c r="C179" s="108">
        <f t="shared" si="73"/>
        <v>-5.6033259489252529E-2</v>
      </c>
      <c r="E179" s="108">
        <f t="shared" si="74"/>
        <v>5.6500919596714674E-2</v>
      </c>
      <c r="G179" s="108">
        <f t="shared" si="75"/>
        <v>4.6766010746209939E-4</v>
      </c>
      <c r="H179" s="147"/>
    </row>
    <row r="180" spans="2:8" x14ac:dyDescent="0.3">
      <c r="B180" s="89">
        <f t="shared" si="76"/>
        <v>9</v>
      </c>
      <c r="C180" s="108">
        <f t="shared" si="73"/>
        <v>8.9592869024460842E-2</v>
      </c>
      <c r="E180" s="108">
        <f t="shared" si="74"/>
        <v>4.0473961103955895E-2</v>
      </c>
      <c r="G180" s="108">
        <f t="shared" si="75"/>
        <v>0.13006683012841674</v>
      </c>
      <c r="H180" s="147"/>
    </row>
    <row r="181" spans="2:8" x14ac:dyDescent="0.3">
      <c r="B181" s="89">
        <f t="shared" si="76"/>
        <v>10</v>
      </c>
      <c r="C181" s="108">
        <f t="shared" si="73"/>
        <v>-4.061616609091509E-2</v>
      </c>
      <c r="E181" s="108">
        <f t="shared" si="74"/>
        <v>4.5070350579728718E-2</v>
      </c>
      <c r="G181" s="108">
        <f t="shared" si="75"/>
        <v>4.4541844888136336E-3</v>
      </c>
      <c r="H181" s="147"/>
    </row>
    <row r="182" spans="2:8" x14ac:dyDescent="0.3">
      <c r="B182" s="89">
        <f t="shared" si="76"/>
        <v>11</v>
      </c>
      <c r="C182" s="108">
        <f t="shared" si="73"/>
        <v>-5.8075935031854736E-2</v>
      </c>
      <c r="E182" s="108">
        <f t="shared" si="74"/>
        <v>4.0434760713745216E-2</v>
      </c>
      <c r="G182" s="108">
        <f t="shared" si="75"/>
        <v>-1.7641174318109555E-2</v>
      </c>
      <c r="H182" s="147"/>
    </row>
    <row r="183" spans="2:8" x14ac:dyDescent="0.3">
      <c r="B183" s="89">
        <f t="shared" si="76"/>
        <v>12</v>
      </c>
      <c r="C183" s="108">
        <f t="shared" si="73"/>
        <v>-8.9663410853667108E-2</v>
      </c>
      <c r="E183" s="108">
        <f t="shared" si="74"/>
        <v>3.8908448728137694E-2</v>
      </c>
      <c r="G183" s="108">
        <f t="shared" si="75"/>
        <v>-5.0754962125529469E-2</v>
      </c>
      <c r="H183" s="147"/>
    </row>
    <row r="184" spans="2:8" x14ac:dyDescent="0.3">
      <c r="B184" s="89">
        <f t="shared" si="76"/>
        <v>13</v>
      </c>
      <c r="C184" s="108">
        <f t="shared" si="73"/>
        <v>-0.14523424216983274</v>
      </c>
      <c r="E184" s="108">
        <f t="shared" si="74"/>
        <v>4.774978334544186E-2</v>
      </c>
      <c r="G184" s="108">
        <f t="shared" si="75"/>
        <v>-9.7484458824390871E-2</v>
      </c>
      <c r="H184" s="147"/>
    </row>
    <row r="185" spans="2:8" x14ac:dyDescent="0.3">
      <c r="B185" s="89">
        <f t="shared" si="76"/>
        <v>14</v>
      </c>
      <c r="C185" s="108">
        <f t="shared" si="73"/>
        <v>-7.9217990269911942E-2</v>
      </c>
      <c r="E185" s="108">
        <f t="shared" si="74"/>
        <v>4.6240264562502298E-2</v>
      </c>
      <c r="G185" s="108">
        <f t="shared" si="75"/>
        <v>-3.2977725707409651E-2</v>
      </c>
      <c r="H185" s="147"/>
    </row>
    <row r="186" spans="2:8" x14ac:dyDescent="0.3">
      <c r="B186" s="89">
        <v>15</v>
      </c>
      <c r="C186" s="108">
        <f t="shared" si="73"/>
        <v>3.8440630330315445E-2</v>
      </c>
      <c r="E186" s="108">
        <f t="shared" si="74"/>
        <v>3.3812329405362732E-2</v>
      </c>
      <c r="G186" s="108">
        <f t="shared" si="75"/>
        <v>7.2252959735678149E-2</v>
      </c>
      <c r="H186" s="147"/>
    </row>
    <row r="187" spans="2:8" x14ac:dyDescent="0.3">
      <c r="B187" s="89">
        <f t="shared" si="76"/>
        <v>16</v>
      </c>
      <c r="C187" s="108">
        <f t="shared" si="73"/>
        <v>1.4278770710175121E-3</v>
      </c>
      <c r="E187" s="108">
        <f t="shared" si="74"/>
        <v>4.9761354900478692E-2</v>
      </c>
      <c r="G187" s="108">
        <f t="shared" si="75"/>
        <v>5.1189231971496156E-2</v>
      </c>
      <c r="H187" s="147"/>
    </row>
    <row r="188" spans="2:8" x14ac:dyDescent="0.3">
      <c r="B188" s="89">
        <f t="shared" si="76"/>
        <v>17</v>
      </c>
      <c r="C188" s="108">
        <f t="shared" si="73"/>
        <v>3.170267582452261E-2</v>
      </c>
      <c r="E188" s="108">
        <f t="shared" si="74"/>
        <v>3.7195263399669776E-2</v>
      </c>
      <c r="G188" s="108">
        <f t="shared" si="75"/>
        <v>6.8897939224192295E-2</v>
      </c>
      <c r="H188" s="147"/>
    </row>
    <row r="189" spans="2:8" x14ac:dyDescent="0.3">
      <c r="B189" s="89">
        <f t="shared" si="76"/>
        <v>18</v>
      </c>
      <c r="C189" s="108">
        <f t="shared" si="73"/>
        <v>1.1732389841193324E-2</v>
      </c>
      <c r="E189" s="108">
        <f t="shared" si="74"/>
        <v>3.9604633730633283E-2</v>
      </c>
      <c r="G189" s="108">
        <f t="shared" si="75"/>
        <v>5.1337023571826679E-2</v>
      </c>
      <c r="H189" s="147"/>
    </row>
    <row r="190" spans="2:8" x14ac:dyDescent="0.3">
      <c r="B190" s="89">
        <f t="shared" si="76"/>
        <v>19</v>
      </c>
      <c r="C190" s="108">
        <f t="shared" si="73"/>
        <v>-0.13397750827431867</v>
      </c>
      <c r="E190" s="108">
        <f t="shared" si="74"/>
        <v>4.3688056605368029E-2</v>
      </c>
      <c r="G190" s="108">
        <f t="shared" si="75"/>
        <v>-9.0289451668950638E-2</v>
      </c>
      <c r="H190" s="147"/>
    </row>
    <row r="191" spans="2:8" x14ac:dyDescent="0.3">
      <c r="B191" s="89">
        <f t="shared" si="76"/>
        <v>20</v>
      </c>
      <c r="C191" s="108">
        <f t="shared" si="73"/>
        <v>-0.11000889362313927</v>
      </c>
      <c r="E191" s="108">
        <f t="shared" si="74"/>
        <v>2.7988884002817467E-2</v>
      </c>
      <c r="G191" s="108">
        <f t="shared" si="75"/>
        <v>-8.2020009620321799E-2</v>
      </c>
      <c r="H191" s="147"/>
    </row>
    <row r="192" spans="2:8" x14ac:dyDescent="0.3">
      <c r="B192" s="288">
        <f t="shared" si="76"/>
        <v>21</v>
      </c>
      <c r="C192" s="289">
        <f t="shared" si="73"/>
        <v>-0.13231550286198909</v>
      </c>
      <c r="D192" s="290"/>
      <c r="E192" s="289">
        <f t="shared" si="74"/>
        <v>4.3447394676658632E-2</v>
      </c>
      <c r="F192" s="290"/>
      <c r="G192" s="289">
        <f t="shared" si="75"/>
        <v>-8.8868108185330447E-2</v>
      </c>
      <c r="H192" s="291"/>
    </row>
    <row r="193" spans="7:8" x14ac:dyDescent="0.3">
      <c r="G193" s="17"/>
      <c r="H193" s="16"/>
    </row>
  </sheetData>
  <dataConsolidate/>
  <mergeCells count="7">
    <mergeCell ref="G169:G170"/>
    <mergeCell ref="H169:H170"/>
    <mergeCell ref="B169:B170"/>
    <mergeCell ref="C169:C170"/>
    <mergeCell ref="D169:D170"/>
    <mergeCell ref="E169:E170"/>
    <mergeCell ref="F169:F170"/>
  </mergeCells>
  <phoneticPr fontId="72" type="noConversion"/>
  <pageMargins left="0.7" right="0.7" top="0.75" bottom="0.75" header="0.3" footer="0.3"/>
  <pageSetup scale="52" orientation="landscape" r:id="rId1"/>
  <rowBreaks count="2" manualBreakCount="2">
    <brk id="57" max="10" man="1"/>
    <brk id="139" max="10" man="1"/>
  </rowBreaks>
  <colBreaks count="1" manualBreakCount="1">
    <brk id="11" max="113"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'OPG hydro peers'!$D$25:$D$27</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BA631"/>
  <sheetViews>
    <sheetView showGridLines="0" zoomScale="85" zoomScaleNormal="85" zoomScaleSheetLayoutView="100" workbookViewId="0">
      <pane xSplit="5" ySplit="4" topLeftCell="F5" activePane="bottomRight" state="frozen"/>
      <selection pane="topRight" activeCell="U17" sqref="U17"/>
      <selection pane="bottomLeft" activeCell="U17" sqref="U17"/>
      <selection pane="bottomRight"/>
    </sheetView>
  </sheetViews>
  <sheetFormatPr defaultRowHeight="13" x14ac:dyDescent="0.25"/>
  <cols>
    <col min="1" max="1" width="2.81640625" customWidth="1"/>
    <col min="2" max="2" width="8.26953125" style="2" bestFit="1" customWidth="1"/>
    <col min="3" max="3" width="7.26953125" style="2" bestFit="1" customWidth="1"/>
    <col min="4" max="4" width="20.453125" style="2" bestFit="1" customWidth="1"/>
    <col min="5" max="5" width="5" style="11" bestFit="1" customWidth="1"/>
    <col min="6" max="6" width="8.54296875" style="2" customWidth="1"/>
    <col min="7" max="7" width="14.1796875" style="2" bestFit="1" customWidth="1"/>
    <col min="8" max="8" width="14.7265625" style="2" bestFit="1" customWidth="1"/>
    <col min="9" max="9" width="18.54296875" style="2" bestFit="1" customWidth="1"/>
    <col min="10" max="10" width="12.1796875" style="2" customWidth="1"/>
    <col min="11" max="11" width="19" style="2" bestFit="1" customWidth="1"/>
    <col min="12" max="12" width="20" style="2" bestFit="1" customWidth="1"/>
    <col min="13" max="13" width="15.81640625" style="2" customWidth="1"/>
    <col min="14" max="14" width="12.453125" style="3" customWidth="1"/>
    <col min="15" max="15" width="12" style="2" customWidth="1"/>
    <col min="16" max="16" width="12.54296875" style="2" customWidth="1"/>
    <col min="17" max="17" width="12.81640625" style="2" customWidth="1"/>
    <col min="18" max="18" width="19.7265625" style="2" customWidth="1"/>
    <col min="19" max="20" width="23.54296875" style="2" customWidth="1"/>
  </cols>
  <sheetData>
    <row r="1" spans="2:53" x14ac:dyDescent="0.25">
      <c r="J1" s="219"/>
      <c r="K1" s="220">
        <f>AVERAGE(K5:K26)</f>
        <v>0.15246119507566927</v>
      </c>
      <c r="L1" s="220">
        <f>'EUCG L share'!C52</f>
        <v>0.62201302932058922</v>
      </c>
      <c r="M1" s="219"/>
      <c r="N1" s="2"/>
    </row>
    <row r="2" spans="2:53" x14ac:dyDescent="0.25">
      <c r="B2" s="54"/>
      <c r="C2" s="54"/>
      <c r="D2" s="54"/>
      <c r="E2" s="55"/>
      <c r="F2" s="54" t="s">
        <v>16</v>
      </c>
      <c r="G2" s="54"/>
      <c r="H2" s="54" t="s">
        <v>16</v>
      </c>
      <c r="I2" s="54" t="s">
        <v>16</v>
      </c>
      <c r="J2" s="54" t="s">
        <v>16</v>
      </c>
      <c r="K2" s="54"/>
      <c r="L2" s="54"/>
      <c r="M2" s="54" t="s">
        <v>18</v>
      </c>
      <c r="N2" s="54" t="s">
        <v>20</v>
      </c>
      <c r="O2" s="54" t="s">
        <v>20</v>
      </c>
      <c r="P2" s="54" t="s">
        <v>20</v>
      </c>
      <c r="Q2" s="54" t="s">
        <v>20</v>
      </c>
      <c r="R2" s="54" t="s">
        <v>20</v>
      </c>
      <c r="S2" s="54" t="s">
        <v>20</v>
      </c>
      <c r="T2" s="54" t="s">
        <v>78</v>
      </c>
    </row>
    <row r="3" spans="2:53" x14ac:dyDescent="0.25">
      <c r="B3" s="54"/>
      <c r="C3" s="54"/>
      <c r="D3" s="54"/>
      <c r="E3" s="55"/>
      <c r="F3" s="54" t="s">
        <v>79</v>
      </c>
      <c r="G3" s="54" t="s">
        <v>80</v>
      </c>
      <c r="H3" s="54" t="s">
        <v>81</v>
      </c>
      <c r="I3" s="54" t="s">
        <v>81</v>
      </c>
      <c r="J3" s="54" t="s">
        <v>81</v>
      </c>
      <c r="K3" s="54" t="s">
        <v>80</v>
      </c>
      <c r="L3" s="54" t="s">
        <v>80</v>
      </c>
      <c r="M3" s="54" t="s">
        <v>82</v>
      </c>
      <c r="N3" s="54" t="s">
        <v>81</v>
      </c>
      <c r="O3" s="54" t="s">
        <v>81</v>
      </c>
      <c r="P3" s="54" t="s">
        <v>80</v>
      </c>
      <c r="Q3" s="54" t="s">
        <v>80</v>
      </c>
      <c r="R3" s="54" t="s">
        <v>80</v>
      </c>
      <c r="S3" s="54" t="s">
        <v>80</v>
      </c>
      <c r="T3" s="54" t="s">
        <v>83</v>
      </c>
    </row>
    <row r="4" spans="2:53" x14ac:dyDescent="0.25">
      <c r="B4" s="43" t="s">
        <v>84</v>
      </c>
      <c r="C4" s="43" t="s">
        <v>85</v>
      </c>
      <c r="D4" s="43" t="s">
        <v>86</v>
      </c>
      <c r="E4" s="56" t="s">
        <v>3</v>
      </c>
      <c r="F4" s="43" t="s">
        <v>87</v>
      </c>
      <c r="G4" s="43" t="s">
        <v>88</v>
      </c>
      <c r="H4" s="43" t="s">
        <v>89</v>
      </c>
      <c r="I4" s="43" t="s">
        <v>90</v>
      </c>
      <c r="J4" s="43" t="s">
        <v>91</v>
      </c>
      <c r="K4" s="43" t="s">
        <v>92</v>
      </c>
      <c r="L4" s="12" t="s">
        <v>93</v>
      </c>
      <c r="M4" s="43" t="s">
        <v>94</v>
      </c>
      <c r="N4" s="43" t="s">
        <v>95</v>
      </c>
      <c r="O4" s="43" t="s">
        <v>96</v>
      </c>
      <c r="P4" s="12" t="s">
        <v>4</v>
      </c>
      <c r="Q4" s="12" t="s">
        <v>5</v>
      </c>
      <c r="R4" s="12" t="s">
        <v>97</v>
      </c>
      <c r="S4" s="12" t="s">
        <v>98</v>
      </c>
      <c r="T4" s="12" t="s">
        <v>99</v>
      </c>
    </row>
    <row r="5" spans="2:53" x14ac:dyDescent="0.25">
      <c r="B5" s="2">
        <f>'OPG hydro peers'!B4</f>
        <v>1</v>
      </c>
      <c r="C5" s="2">
        <v>0</v>
      </c>
      <c r="D5" s="2" t="s">
        <v>100</v>
      </c>
      <c r="E5" s="11">
        <v>2002</v>
      </c>
      <c r="F5" s="216">
        <v>6898.5099999999984</v>
      </c>
      <c r="G5" s="13">
        <f>M5/(F5*8760)</f>
        <v>0.56225759067858816</v>
      </c>
      <c r="H5" s="217">
        <v>78723.459999999992</v>
      </c>
      <c r="I5" s="217">
        <v>39165.660000000003</v>
      </c>
      <c r="J5" s="276">
        <f t="shared" ref="J5:J26" si="0">SUM($H5:$I5)</f>
        <v>117889.12</v>
      </c>
      <c r="K5" s="13">
        <f>J5/$J$467</f>
        <v>0.15363029634056261</v>
      </c>
      <c r="L5" s="13">
        <f>H5/J5</f>
        <v>0.66777544865887539</v>
      </c>
      <c r="M5" s="216">
        <v>33977759</v>
      </c>
      <c r="N5" s="216">
        <v>2126289.7744959998</v>
      </c>
      <c r="O5" s="3">
        <f>N5-J5</f>
        <v>2008400.6544959997</v>
      </c>
      <c r="P5" s="13">
        <f>O5/N5</f>
        <v>0.94455641869041873</v>
      </c>
      <c r="Q5" s="13">
        <f>1-P5</f>
        <v>5.5443581309581269E-2</v>
      </c>
      <c r="R5" s="13">
        <f>Q5*L5</f>
        <v>3.7023862384260468E-2</v>
      </c>
      <c r="S5" s="13">
        <f>Q5-R5</f>
        <v>1.8419718925320801E-2</v>
      </c>
      <c r="T5" s="77">
        <f>'Can O&amp;M price indexes'!K5</f>
        <v>1</v>
      </c>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row>
    <row r="6" spans="2:53" x14ac:dyDescent="0.25">
      <c r="B6" s="2">
        <f>B5</f>
        <v>1</v>
      </c>
      <c r="C6" s="2">
        <f t="shared" ref="C6:C16" si="1">C5</f>
        <v>0</v>
      </c>
      <c r="D6" s="2" t="s">
        <v>100</v>
      </c>
      <c r="E6" s="11">
        <v>2003</v>
      </c>
      <c r="F6" s="216">
        <v>6926.0099999999984</v>
      </c>
      <c r="G6" s="13">
        <f t="shared" ref="G6:G84" si="2">M6/(F6*8760)</f>
        <v>0.54725193501442027</v>
      </c>
      <c r="H6" s="217">
        <v>84147.322400000005</v>
      </c>
      <c r="I6" s="217">
        <v>46554.921589999998</v>
      </c>
      <c r="J6" s="276">
        <f t="shared" si="0"/>
        <v>130702.24399</v>
      </c>
      <c r="K6" s="13">
        <f>J6/$J$468</f>
        <v>0.15411345366139129</v>
      </c>
      <c r="L6" s="13">
        <f t="shared" ref="L6:L20" si="3">H6/J6</f>
        <v>0.64380931674316244</v>
      </c>
      <c r="M6" s="216">
        <v>33202786</v>
      </c>
      <c r="N6" s="216">
        <v>2068079.04862</v>
      </c>
      <c r="O6" s="3">
        <f t="shared" ref="O6:O84" si="4">N6-J6</f>
        <v>1937376.8046299999</v>
      </c>
      <c r="P6" s="13">
        <f t="shared" ref="P6:P84" si="5">O6/N6</f>
        <v>0.93680017014958117</v>
      </c>
      <c r="Q6" s="13">
        <f t="shared" ref="Q6:Q84" si="6">1-P6</f>
        <v>6.3199829850418832E-2</v>
      </c>
      <c r="R6" s="13">
        <f t="shared" ref="R6:R84" si="7">Q6*L6</f>
        <v>4.0688639274282269E-2</v>
      </c>
      <c r="S6" s="13">
        <f t="shared" ref="S6:S84" si="8">Q6-R6</f>
        <v>2.2511190576136562E-2</v>
      </c>
      <c r="T6" s="77">
        <f>'Can O&amp;M price indexes'!K6</f>
        <v>1.0211550101430107</v>
      </c>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row>
    <row r="7" spans="2:53" x14ac:dyDescent="0.25">
      <c r="B7" s="2">
        <f t="shared" ref="B7:B85" si="9">B6</f>
        <v>1</v>
      </c>
      <c r="C7" s="2">
        <f t="shared" si="1"/>
        <v>0</v>
      </c>
      <c r="D7" s="2" t="s">
        <v>100</v>
      </c>
      <c r="E7" s="11">
        <v>2004</v>
      </c>
      <c r="F7" s="216">
        <v>6958.0099999999984</v>
      </c>
      <c r="G7" s="13">
        <f t="shared" si="2"/>
        <v>0.57998385278097986</v>
      </c>
      <c r="H7" s="217">
        <v>88414.01066</v>
      </c>
      <c r="I7" s="217">
        <v>43797.113089999999</v>
      </c>
      <c r="J7" s="276">
        <f t="shared" si="0"/>
        <v>132211.12375</v>
      </c>
      <c r="K7" s="13">
        <f>J7/$J$469</f>
        <v>0.14962491348894835</v>
      </c>
      <c r="L7" s="13">
        <f t="shared" si="3"/>
        <v>0.66873352371759109</v>
      </c>
      <c r="M7" s="216">
        <v>35351273</v>
      </c>
      <c r="N7" s="216">
        <v>1851547.2550300001</v>
      </c>
      <c r="O7" s="3">
        <f t="shared" si="4"/>
        <v>1719336.1312800001</v>
      </c>
      <c r="P7" s="13">
        <f t="shared" si="5"/>
        <v>0.92859424819386649</v>
      </c>
      <c r="Q7" s="13">
        <f t="shared" si="6"/>
        <v>7.1405751806133511E-2</v>
      </c>
      <c r="R7" s="13">
        <f t="shared" si="7"/>
        <v>4.7751420019019407E-2</v>
      </c>
      <c r="S7" s="13">
        <f t="shared" si="8"/>
        <v>2.3654331787114104E-2</v>
      </c>
      <c r="T7" s="77">
        <f>'Can O&amp;M price indexes'!K7</f>
        <v>1.0457775544658492</v>
      </c>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row>
    <row r="8" spans="2:53" x14ac:dyDescent="0.25">
      <c r="B8" s="2">
        <f t="shared" si="9"/>
        <v>1</v>
      </c>
      <c r="C8" s="2">
        <f t="shared" si="1"/>
        <v>0</v>
      </c>
      <c r="D8" s="2" t="s">
        <v>100</v>
      </c>
      <c r="E8" s="11">
        <v>2005</v>
      </c>
      <c r="F8" s="216">
        <v>6923.6099999999988</v>
      </c>
      <c r="G8" s="13">
        <f t="shared" si="2"/>
        <v>0.55212964989316327</v>
      </c>
      <c r="H8" s="217">
        <v>91482.578680000006</v>
      </c>
      <c r="I8" s="217">
        <v>50905.888859999999</v>
      </c>
      <c r="J8" s="276">
        <f t="shared" si="0"/>
        <v>142388.46754000001</v>
      </c>
      <c r="K8" s="13">
        <f>J8/$J$470</f>
        <v>0.15326901787759195</v>
      </c>
      <c r="L8" s="13">
        <f t="shared" si="3"/>
        <v>0.64248587164757964</v>
      </c>
      <c r="M8" s="216">
        <v>33487118</v>
      </c>
      <c r="N8" s="216">
        <v>1837930.4661700001</v>
      </c>
      <c r="O8" s="3">
        <f t="shared" si="4"/>
        <v>1695541.99863</v>
      </c>
      <c r="P8" s="13">
        <f t="shared" si="5"/>
        <v>0.92252782672637312</v>
      </c>
      <c r="Q8" s="13">
        <f t="shared" si="6"/>
        <v>7.7472173273626876E-2</v>
      </c>
      <c r="R8" s="13">
        <f t="shared" si="7"/>
        <v>4.9774776774138489E-2</v>
      </c>
      <c r="S8" s="13">
        <f t="shared" si="8"/>
        <v>2.7697396499488387E-2</v>
      </c>
      <c r="T8" s="77">
        <f>'Can O&amp;M price indexes'!K8</f>
        <v>1.0775076217723061</v>
      </c>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row>
    <row r="9" spans="2:53" x14ac:dyDescent="0.25">
      <c r="B9" s="2">
        <f t="shared" si="9"/>
        <v>1</v>
      </c>
      <c r="C9" s="2">
        <f t="shared" si="1"/>
        <v>0</v>
      </c>
      <c r="D9" s="2" t="s">
        <v>100</v>
      </c>
      <c r="E9" s="11">
        <v>2006</v>
      </c>
      <c r="F9" s="216">
        <v>6971.0099999999984</v>
      </c>
      <c r="G9" s="13">
        <f t="shared" si="2"/>
        <v>0.56216887041498997</v>
      </c>
      <c r="H9" s="217">
        <v>100681.86233</v>
      </c>
      <c r="I9" s="217">
        <v>55924.058429999997</v>
      </c>
      <c r="J9" s="276">
        <f t="shared" si="0"/>
        <v>156605.92076000001</v>
      </c>
      <c r="K9" s="13">
        <f>J9/$J$471</f>
        <v>0.15909164910194276</v>
      </c>
      <c r="L9" s="13">
        <f t="shared" si="3"/>
        <v>0.64289946281338795</v>
      </c>
      <c r="M9" s="216">
        <v>34329431</v>
      </c>
      <c r="N9" s="216">
        <v>1408919.80602</v>
      </c>
      <c r="O9" s="3">
        <f t="shared" si="4"/>
        <v>1252313.8852599999</v>
      </c>
      <c r="P9" s="13">
        <f t="shared" si="5"/>
        <v>0.88884681719225045</v>
      </c>
      <c r="Q9" s="13">
        <f t="shared" si="6"/>
        <v>0.11115318280774955</v>
      </c>
      <c r="R9" s="13">
        <f t="shared" si="7"/>
        <v>7.1460321517100495E-2</v>
      </c>
      <c r="S9" s="13">
        <f t="shared" si="8"/>
        <v>3.9692861290649056E-2</v>
      </c>
      <c r="T9" s="77">
        <f>'Can O&amp;M price indexes'!K9</f>
        <v>1.0978504824157034</v>
      </c>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row>
    <row r="10" spans="2:53" x14ac:dyDescent="0.25">
      <c r="B10" s="2">
        <f t="shared" si="9"/>
        <v>1</v>
      </c>
      <c r="C10" s="2">
        <f t="shared" si="1"/>
        <v>0</v>
      </c>
      <c r="D10" s="2" t="s">
        <v>100</v>
      </c>
      <c r="E10" s="11">
        <v>2007</v>
      </c>
      <c r="F10" s="216">
        <v>6970.8099999999986</v>
      </c>
      <c r="G10" s="13">
        <f t="shared" si="2"/>
        <v>0.54019648758545591</v>
      </c>
      <c r="H10" s="217">
        <v>106219.52222</v>
      </c>
      <c r="I10" s="217">
        <v>58734.58023</v>
      </c>
      <c r="J10" s="276">
        <f t="shared" si="0"/>
        <v>164954.10245000001</v>
      </c>
      <c r="K10" s="13">
        <f>J10/$J$472</f>
        <v>0.15475174364975844</v>
      </c>
      <c r="L10" s="13">
        <f t="shared" si="3"/>
        <v>0.64393380123538724</v>
      </c>
      <c r="M10" s="216">
        <v>32986718</v>
      </c>
      <c r="N10" s="216">
        <v>1378521.0506000002</v>
      </c>
      <c r="O10" s="3">
        <f t="shared" si="4"/>
        <v>1213566.9481500001</v>
      </c>
      <c r="P10" s="13">
        <f t="shared" si="5"/>
        <v>0.88033980157342973</v>
      </c>
      <c r="Q10" s="13">
        <f t="shared" si="6"/>
        <v>0.11966019842657027</v>
      </c>
      <c r="R10" s="13">
        <f t="shared" si="7"/>
        <v>7.7053246429402103E-2</v>
      </c>
      <c r="S10" s="13">
        <f t="shared" si="8"/>
        <v>4.2606951997168171E-2</v>
      </c>
      <c r="T10" s="77">
        <f>'Can O&amp;M price indexes'!K10</f>
        <v>1.1341952388649277</v>
      </c>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row>
    <row r="11" spans="2:53" x14ac:dyDescent="0.25">
      <c r="B11" s="2">
        <f t="shared" si="9"/>
        <v>1</v>
      </c>
      <c r="C11" s="2">
        <f t="shared" si="1"/>
        <v>0</v>
      </c>
      <c r="D11" s="2" t="s">
        <v>100</v>
      </c>
      <c r="E11" s="11">
        <v>2008</v>
      </c>
      <c r="F11" s="216">
        <f>7030.41-11.75-10.8-5.2-3.5</f>
        <v>6999.16</v>
      </c>
      <c r="G11" s="13">
        <f t="shared" si="2"/>
        <v>0.61036884276080505</v>
      </c>
      <c r="H11" s="217">
        <v>110503.06468000001</v>
      </c>
      <c r="I11" s="217">
        <v>75236.367070000008</v>
      </c>
      <c r="J11" s="276">
        <f t="shared" si="0"/>
        <v>185739.43175000002</v>
      </c>
      <c r="K11" s="13">
        <f>J11/$J$473</f>
        <v>0.16038674276614928</v>
      </c>
      <c r="L11" s="13">
        <f t="shared" si="3"/>
        <v>0.594935946766188</v>
      </c>
      <c r="M11" s="216">
        <v>37423326.099999994</v>
      </c>
      <c r="N11" s="216">
        <v>1615588.8934800001</v>
      </c>
      <c r="O11" s="3">
        <f t="shared" si="4"/>
        <v>1429849.4617300001</v>
      </c>
      <c r="P11" s="13">
        <f t="shared" si="5"/>
        <v>0.88503298549551501</v>
      </c>
      <c r="Q11" s="13">
        <f t="shared" si="6"/>
        <v>0.11496701450448499</v>
      </c>
      <c r="R11" s="13">
        <f t="shared" si="7"/>
        <v>6.8398009621107841E-2</v>
      </c>
      <c r="S11" s="13">
        <f t="shared" si="8"/>
        <v>4.6569004883377146E-2</v>
      </c>
      <c r="T11" s="77">
        <f>'Can O&amp;M price indexes'!K11</f>
        <v>1.1613163660690422</v>
      </c>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2:53" x14ac:dyDescent="0.25">
      <c r="B12" s="2">
        <f t="shared" si="9"/>
        <v>1</v>
      </c>
      <c r="C12" s="2">
        <f t="shared" si="1"/>
        <v>0</v>
      </c>
      <c r="D12" s="2" t="s">
        <v>100</v>
      </c>
      <c r="E12" s="11">
        <v>2009</v>
      </c>
      <c r="F12" s="216">
        <f>6919.623-10.8-3.6</f>
        <v>6905.222999999999</v>
      </c>
      <c r="G12" s="13">
        <f t="shared" si="2"/>
        <v>0.60015051329318148</v>
      </c>
      <c r="H12" s="217">
        <v>114132.30885</v>
      </c>
      <c r="I12" s="217">
        <v>70964.519109999994</v>
      </c>
      <c r="J12" s="276">
        <f t="shared" si="0"/>
        <v>185096.82796</v>
      </c>
      <c r="K12" s="13">
        <f>J12/$J$474</f>
        <v>0.15686368928763453</v>
      </c>
      <c r="L12" s="13">
        <f t="shared" si="3"/>
        <v>0.61660866967782046</v>
      </c>
      <c r="M12" s="216">
        <v>36302956.600000001</v>
      </c>
      <c r="N12" s="216">
        <v>1335251.2364000001</v>
      </c>
      <c r="O12" s="3">
        <f t="shared" si="4"/>
        <v>1150154.4084400001</v>
      </c>
      <c r="P12" s="13">
        <f t="shared" si="5"/>
        <v>0.86137677845628247</v>
      </c>
      <c r="Q12" s="13">
        <f t="shared" si="6"/>
        <v>0.13862322154371753</v>
      </c>
      <c r="R12" s="13">
        <f t="shared" si="7"/>
        <v>8.5476280222525444E-2</v>
      </c>
      <c r="S12" s="13">
        <f t="shared" si="8"/>
        <v>5.314694132119209E-2</v>
      </c>
      <c r="T12" s="77">
        <f>'Can O&amp;M price indexes'!K12</f>
        <v>1.1753605249380674</v>
      </c>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2:53" x14ac:dyDescent="0.25">
      <c r="B13" s="2">
        <f t="shared" si="9"/>
        <v>1</v>
      </c>
      <c r="C13" s="2">
        <f t="shared" si="1"/>
        <v>0</v>
      </c>
      <c r="D13" s="2" t="s">
        <v>100</v>
      </c>
      <c r="E13" s="11">
        <v>2010</v>
      </c>
      <c r="F13" s="216">
        <v>6905.5699999999988</v>
      </c>
      <c r="G13" s="13">
        <f t="shared" si="2"/>
        <v>0.50532066189993696</v>
      </c>
      <c r="H13" s="217">
        <v>107411.93009929522</v>
      </c>
      <c r="I13" s="217">
        <v>77281.183353160057</v>
      </c>
      <c r="J13" s="276">
        <f t="shared" si="0"/>
        <v>184693.11345245526</v>
      </c>
      <c r="K13" s="13">
        <f>J13/$J$475</f>
        <v>0.15093164368475254</v>
      </c>
      <c r="L13" s="13">
        <f t="shared" si="3"/>
        <v>0.58156976235578917</v>
      </c>
      <c r="M13" s="216">
        <v>30568258.300000001</v>
      </c>
      <c r="N13" s="216">
        <v>1125925.9085899999</v>
      </c>
      <c r="O13" s="3">
        <f t="shared" si="4"/>
        <v>941232.79513754463</v>
      </c>
      <c r="P13" s="13">
        <f t="shared" si="5"/>
        <v>0.83596335065799587</v>
      </c>
      <c r="Q13" s="13">
        <f t="shared" si="6"/>
        <v>0.16403664934200413</v>
      </c>
      <c r="R13" s="13">
        <f t="shared" si="7"/>
        <v>9.5398755175469252E-2</v>
      </c>
      <c r="S13" s="13">
        <f t="shared" si="8"/>
        <v>6.8637894166534874E-2</v>
      </c>
      <c r="T13" s="77">
        <f>'Can O&amp;M price indexes'!K13</f>
        <v>1.2079860102312048</v>
      </c>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2:53" x14ac:dyDescent="0.25">
      <c r="B14" s="2">
        <f t="shared" si="9"/>
        <v>1</v>
      </c>
      <c r="C14" s="2">
        <f t="shared" si="1"/>
        <v>0</v>
      </c>
      <c r="D14" s="2" t="s">
        <v>100</v>
      </c>
      <c r="E14" s="11">
        <v>2011</v>
      </c>
      <c r="F14" s="216">
        <v>6422</v>
      </c>
      <c r="G14" s="13">
        <f t="shared" si="2"/>
        <v>0.5396674495064766</v>
      </c>
      <c r="H14" s="217">
        <v>110456.35376672391</v>
      </c>
      <c r="I14" s="217">
        <v>64154.284907597321</v>
      </c>
      <c r="J14" s="276">
        <f t="shared" si="0"/>
        <v>174610.63867432124</v>
      </c>
      <c r="K14" s="13">
        <f>J14/$J$476</f>
        <v>0.14466838735607909</v>
      </c>
      <c r="L14" s="13">
        <f t="shared" si="3"/>
        <v>0.63258662018151102</v>
      </c>
      <c r="M14" s="216">
        <v>30359920.599999994</v>
      </c>
      <c r="N14" s="216">
        <v>1099541.3732</v>
      </c>
      <c r="O14" s="3">
        <f t="shared" si="4"/>
        <v>924930.7345256788</v>
      </c>
      <c r="P14" s="13">
        <f t="shared" si="5"/>
        <v>0.84119684540277817</v>
      </c>
      <c r="Q14" s="13">
        <f t="shared" si="6"/>
        <v>0.15880315459722183</v>
      </c>
      <c r="R14" s="13">
        <f t="shared" si="7"/>
        <v>0.10045675084081854</v>
      </c>
      <c r="S14" s="13">
        <f t="shared" si="8"/>
        <v>5.8346403756403292E-2</v>
      </c>
      <c r="T14" s="77">
        <f>'Can O&amp;M price indexes'!K14</f>
        <v>1.2290606500769137</v>
      </c>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2:53" x14ac:dyDescent="0.25">
      <c r="B15" s="2">
        <f t="shared" si="9"/>
        <v>1</v>
      </c>
      <c r="C15" s="2">
        <f t="shared" si="1"/>
        <v>0</v>
      </c>
      <c r="D15" s="2" t="s">
        <v>100</v>
      </c>
      <c r="E15" s="11">
        <v>2012</v>
      </c>
      <c r="F15" s="216">
        <v>6422</v>
      </c>
      <c r="G15" s="13">
        <f t="shared" si="2"/>
        <v>0.50587583314491136</v>
      </c>
      <c r="H15" s="217">
        <v>115567.00224012346</v>
      </c>
      <c r="I15" s="217">
        <v>62567.194327740981</v>
      </c>
      <c r="J15" s="276">
        <f t="shared" si="0"/>
        <v>178134.19656786445</v>
      </c>
      <c r="K15" s="13">
        <f>J15/$J$477</f>
        <v>0.14306963783427287</v>
      </c>
      <c r="L15" s="13">
        <f t="shared" si="3"/>
        <v>0.64876370998252131</v>
      </c>
      <c r="M15" s="216">
        <v>28458915.099999998</v>
      </c>
      <c r="N15" s="216">
        <v>941858.41798999987</v>
      </c>
      <c r="O15" s="3">
        <f t="shared" si="4"/>
        <v>763724.22142213536</v>
      </c>
      <c r="P15" s="13">
        <f t="shared" si="5"/>
        <v>0.81086945429864399</v>
      </c>
      <c r="Q15" s="13">
        <f t="shared" si="6"/>
        <v>0.18913054570135601</v>
      </c>
      <c r="R15" s="13">
        <f t="shared" si="7"/>
        <v>0.12270103450023052</v>
      </c>
      <c r="S15" s="13">
        <f t="shared" si="8"/>
        <v>6.6429511201125488E-2</v>
      </c>
      <c r="T15" s="77">
        <f>'Can O&amp;M price indexes'!K15</f>
        <v>1.2475770983547301</v>
      </c>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2:53" x14ac:dyDescent="0.25">
      <c r="B16" s="2">
        <f t="shared" si="9"/>
        <v>1</v>
      </c>
      <c r="C16" s="2">
        <f t="shared" si="1"/>
        <v>0</v>
      </c>
      <c r="D16" s="2" t="s">
        <v>100</v>
      </c>
      <c r="E16" s="11">
        <v>2013</v>
      </c>
      <c r="F16" s="216">
        <v>6433</v>
      </c>
      <c r="G16" s="13">
        <f t="shared" si="2"/>
        <v>0.53852233098882973</v>
      </c>
      <c r="H16" s="217">
        <v>121788.66470000001</v>
      </c>
      <c r="I16" s="217">
        <v>60795.025349999996</v>
      </c>
      <c r="J16" s="276">
        <f t="shared" si="0"/>
        <v>182583.69005</v>
      </c>
      <c r="K16" s="13">
        <f>J16/$J$478</f>
        <v>0.14687508975095367</v>
      </c>
      <c r="L16" s="13">
        <f t="shared" si="3"/>
        <v>0.66702926568440224</v>
      </c>
      <c r="M16" s="216">
        <v>30347392</v>
      </c>
      <c r="N16" s="216">
        <v>1127001.4199100002</v>
      </c>
      <c r="O16" s="3">
        <f t="shared" si="4"/>
        <v>944417.7298600002</v>
      </c>
      <c r="P16" s="13">
        <f t="shared" si="5"/>
        <v>0.83799160602248335</v>
      </c>
      <c r="Q16" s="13">
        <f t="shared" si="6"/>
        <v>0.16200839397751665</v>
      </c>
      <c r="R16" s="13">
        <f t="shared" si="7"/>
        <v>0.10806434006953226</v>
      </c>
      <c r="S16" s="13">
        <f t="shared" si="8"/>
        <v>5.3944053907984388E-2</v>
      </c>
      <c r="T16" s="77">
        <f>'Can O&amp;M price indexes'!K16</f>
        <v>1.2676049758674726</v>
      </c>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2:53" x14ac:dyDescent="0.25">
      <c r="B17" s="2">
        <f t="shared" si="9"/>
        <v>1</v>
      </c>
      <c r="C17" s="2">
        <f>C14</f>
        <v>0</v>
      </c>
      <c r="D17" s="2" t="s">
        <v>100</v>
      </c>
      <c r="E17" s="11">
        <v>2014</v>
      </c>
      <c r="F17" s="216">
        <v>6433</v>
      </c>
      <c r="G17" s="13">
        <f t="shared" si="2"/>
        <v>0.54345920400446612</v>
      </c>
      <c r="H17" s="217">
        <v>119906.76461697961</v>
      </c>
      <c r="I17" s="217">
        <v>68112.906172668241</v>
      </c>
      <c r="J17" s="276">
        <f t="shared" si="0"/>
        <v>188019.67078964785</v>
      </c>
      <c r="K17" s="13">
        <f>J17/$J$479</f>
        <v>0.15069505200954111</v>
      </c>
      <c r="L17" s="13">
        <f t="shared" si="3"/>
        <v>0.63773521203070593</v>
      </c>
      <c r="M17" s="216">
        <v>30625600</v>
      </c>
      <c r="N17" s="216">
        <v>1310091.24125</v>
      </c>
      <c r="O17" s="3">
        <f t="shared" si="4"/>
        <v>1122071.5704603521</v>
      </c>
      <c r="P17" s="13">
        <f t="shared" si="5"/>
        <v>0.85648352964313212</v>
      </c>
      <c r="Q17" s="13">
        <f t="shared" si="6"/>
        <v>0.14351647035686788</v>
      </c>
      <c r="R17" s="13">
        <f t="shared" si="7"/>
        <v>9.1525506652935656E-2</v>
      </c>
      <c r="S17" s="13">
        <f t="shared" si="8"/>
        <v>5.1990963703932219E-2</v>
      </c>
      <c r="T17" s="77">
        <f>'Can O&amp;M price indexes'!K17</f>
        <v>1.2944731022415634</v>
      </c>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2:53" x14ac:dyDescent="0.25">
      <c r="B18" s="2">
        <f t="shared" si="9"/>
        <v>1</v>
      </c>
      <c r="C18" s="2">
        <f>C15</f>
        <v>0</v>
      </c>
      <c r="D18" s="2" t="s">
        <v>100</v>
      </c>
      <c r="E18" s="11">
        <v>2015</v>
      </c>
      <c r="F18" s="216">
        <v>6433</v>
      </c>
      <c r="G18" s="13">
        <f t="shared" si="2"/>
        <v>0.54277611800455272</v>
      </c>
      <c r="H18" s="217">
        <v>127788.37457000001</v>
      </c>
      <c r="I18" s="216">
        <v>89570.862779999996</v>
      </c>
      <c r="J18" s="276">
        <f t="shared" si="0"/>
        <v>217359.23735000001</v>
      </c>
      <c r="K18" s="13">
        <f>J18/$J$480</f>
        <v>0.16492135946042089</v>
      </c>
      <c r="L18" s="13">
        <f t="shared" si="3"/>
        <v>0.58791324504065301</v>
      </c>
      <c r="M18" s="216">
        <v>30587106</v>
      </c>
      <c r="N18" s="216">
        <v>1450465.1814900001</v>
      </c>
      <c r="O18" s="3">
        <f t="shared" si="4"/>
        <v>1233105.94414</v>
      </c>
      <c r="P18" s="13">
        <f t="shared" si="5"/>
        <v>0.85014515334541407</v>
      </c>
      <c r="Q18" s="13">
        <f t="shared" si="6"/>
        <v>0.14985484665458593</v>
      </c>
      <c r="R18" s="13">
        <f t="shared" si="7"/>
        <v>8.8101649181767064E-2</v>
      </c>
      <c r="S18" s="13">
        <f t="shared" si="8"/>
        <v>6.1753197472818863E-2</v>
      </c>
      <c r="T18" s="77">
        <f>'Can O&amp;M price indexes'!K18</f>
        <v>1.3232148193941595</v>
      </c>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2:53" x14ac:dyDescent="0.25">
      <c r="B19" s="2">
        <f t="shared" si="9"/>
        <v>1</v>
      </c>
      <c r="C19" s="2">
        <f>C16</f>
        <v>0</v>
      </c>
      <c r="D19" s="2" t="s">
        <v>100</v>
      </c>
      <c r="E19" s="11">
        <v>2016</v>
      </c>
      <c r="F19" s="216">
        <v>6433</v>
      </c>
      <c r="G19" s="13">
        <f t="shared" si="2"/>
        <v>0.52768343806585194</v>
      </c>
      <c r="H19" s="217">
        <v>126307.37258000014</v>
      </c>
      <c r="I19" s="217">
        <v>68820.302019999988</v>
      </c>
      <c r="J19" s="276">
        <f t="shared" si="0"/>
        <v>195127.67460000014</v>
      </c>
      <c r="K19" s="13">
        <f>J19/$J$481</f>
        <v>0.14661483226507066</v>
      </c>
      <c r="L19" s="13">
        <f t="shared" si="3"/>
        <v>0.64730629747380819</v>
      </c>
      <c r="M19" s="216">
        <v>29736587</v>
      </c>
      <c r="N19" s="216">
        <v>1355471.6475499999</v>
      </c>
      <c r="O19" s="3">
        <f t="shared" si="4"/>
        <v>1160343.9729499999</v>
      </c>
      <c r="P19" s="13">
        <f t="shared" si="5"/>
        <v>0.85604444404817237</v>
      </c>
      <c r="Q19" s="13">
        <f t="shared" si="6"/>
        <v>0.14395555595182763</v>
      </c>
      <c r="R19" s="13">
        <f t="shared" si="7"/>
        <v>9.3183337923961176E-2</v>
      </c>
      <c r="S19" s="13">
        <f t="shared" si="8"/>
        <v>5.0772218027866453E-2</v>
      </c>
      <c r="T19" s="77">
        <f>'Can O&amp;M price indexes'!K19</f>
        <v>1.3376663690093986</v>
      </c>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2:53" x14ac:dyDescent="0.25">
      <c r="B20" s="2">
        <f t="shared" si="9"/>
        <v>1</v>
      </c>
      <c r="C20" s="2">
        <f>C16</f>
        <v>0</v>
      </c>
      <c r="D20" s="2" t="s">
        <v>100</v>
      </c>
      <c r="E20" s="11">
        <v>2017</v>
      </c>
      <c r="F20" s="216">
        <v>6433</v>
      </c>
      <c r="G20" s="13">
        <f t="shared" si="2"/>
        <v>0.55082286540504977</v>
      </c>
      <c r="H20" s="217">
        <v>126799.42701</v>
      </c>
      <c r="I20" s="217">
        <v>71384.908030000006</v>
      </c>
      <c r="J20" s="276">
        <f t="shared" si="0"/>
        <v>198184.33504000001</v>
      </c>
      <c r="K20" s="13">
        <f>J20/$J$482</f>
        <v>0.15221809513386939</v>
      </c>
      <c r="L20" s="13">
        <f t="shared" si="3"/>
        <v>0.6398054971620627</v>
      </c>
      <c r="M20" s="216">
        <v>31040565</v>
      </c>
      <c r="N20" s="216">
        <v>1284704.8418399999</v>
      </c>
      <c r="O20" s="3">
        <f t="shared" si="4"/>
        <v>1086520.5067999999</v>
      </c>
      <c r="P20" s="13">
        <f t="shared" si="5"/>
        <v>0.84573551170231953</v>
      </c>
      <c r="Q20" s="13">
        <f t="shared" si="6"/>
        <v>0.15426448829768047</v>
      </c>
      <c r="R20" s="13">
        <f t="shared" si="7"/>
        <v>9.8699267629748649E-2</v>
      </c>
      <c r="S20" s="13">
        <f t="shared" si="8"/>
        <v>5.5565220667931819E-2</v>
      </c>
      <c r="T20" s="77">
        <f>'Can O&amp;M price indexes'!K20</f>
        <v>1.3608770138253408</v>
      </c>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2:53" x14ac:dyDescent="0.25">
      <c r="B21" s="2">
        <f t="shared" si="9"/>
        <v>1</v>
      </c>
      <c r="C21" s="2">
        <f t="shared" ref="C21:C25" si="10">C17</f>
        <v>0</v>
      </c>
      <c r="D21" s="2" t="s">
        <v>100</v>
      </c>
      <c r="E21" s="11">
        <v>2018</v>
      </c>
      <c r="F21" s="216">
        <v>6428.2999999999975</v>
      </c>
      <c r="G21" s="13">
        <f t="shared" ref="G21:G26" si="11">M21/(F21*8760)</f>
        <v>0.53448114384616507</v>
      </c>
      <c r="H21" s="217">
        <v>122995.0659300001</v>
      </c>
      <c r="I21" s="217">
        <v>81798.123690000008</v>
      </c>
      <c r="J21" s="276">
        <f t="shared" si="0"/>
        <v>204793.18962000011</v>
      </c>
      <c r="K21" s="13">
        <f>J21/$J$483</f>
        <v>0.14595729746945008</v>
      </c>
      <c r="L21" s="13">
        <f t="shared" ref="L21" si="12">H21/J21</f>
        <v>0.6005818169941155</v>
      </c>
      <c r="M21" s="216">
        <v>30097653</v>
      </c>
      <c r="N21" s="216">
        <v>1300921.2802700002</v>
      </c>
      <c r="O21" s="3">
        <f t="shared" ref="O21" si="13">N21-J21</f>
        <v>1096128.0906500001</v>
      </c>
      <c r="P21" s="13">
        <f t="shared" ref="P21" si="14">O21/N21</f>
        <v>0.84257833834688589</v>
      </c>
      <c r="Q21" s="13">
        <f t="shared" ref="Q21" si="15">1-P21</f>
        <v>0.15742166165311411</v>
      </c>
      <c r="R21" s="13">
        <f t="shared" ref="R21" si="16">Q21*L21</f>
        <v>9.4544587589860146E-2</v>
      </c>
      <c r="S21" s="13">
        <f t="shared" ref="S21" si="17">Q21-R21</f>
        <v>6.2877074063253963E-2</v>
      </c>
      <c r="T21" s="77">
        <f>'Can O&amp;M price indexes'!K16</f>
        <v>1.2676049758674726</v>
      </c>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2:53" x14ac:dyDescent="0.3">
      <c r="B22" s="2">
        <f t="shared" si="9"/>
        <v>1</v>
      </c>
      <c r="C22" s="2">
        <f t="shared" si="10"/>
        <v>0</v>
      </c>
      <c r="D22" s="2" t="s">
        <v>100</v>
      </c>
      <c r="E22" s="11">
        <v>2019</v>
      </c>
      <c r="F22" s="279">
        <v>6419.840000000002</v>
      </c>
      <c r="G22" s="13">
        <f t="shared" si="11"/>
        <v>0.57384584779300807</v>
      </c>
      <c r="H22" s="216">
        <v>120920.62018000003</v>
      </c>
      <c r="I22" s="216">
        <v>82243.949939999962</v>
      </c>
      <c r="J22" s="276">
        <f t="shared" si="0"/>
        <v>203164.57011999999</v>
      </c>
      <c r="K22" s="13">
        <f>J22/$J$484</f>
        <v>0.14754348702394052</v>
      </c>
      <c r="L22" s="13">
        <f t="shared" ref="L22:L26" si="18">H22/J22</f>
        <v>0.59518556856925287</v>
      </c>
      <c r="M22" s="216">
        <v>32271827.100860287</v>
      </c>
      <c r="N22" s="216">
        <v>1489397.3899600001</v>
      </c>
      <c r="O22" s="3">
        <f t="shared" ref="O22:O26" si="19">N22-J22</f>
        <v>1286232.81984</v>
      </c>
      <c r="P22" s="13">
        <f t="shared" ref="P22:P26" si="20">O22/N22</f>
        <v>0.86359277148628788</v>
      </c>
      <c r="Q22" s="13">
        <f t="shared" ref="Q22:Q26" si="21">1-P22</f>
        <v>0.13640722851371212</v>
      </c>
      <c r="R22" s="13">
        <f t="shared" ref="R22:R26" si="22">Q22*L22</f>
        <v>8.1187613859889748E-2</v>
      </c>
      <c r="S22" s="13">
        <f t="shared" ref="S22:S26" si="23">Q22-R22</f>
        <v>5.5219614653822371E-2</v>
      </c>
      <c r="T22" s="77">
        <f>'Can O&amp;M price indexes'!K17</f>
        <v>1.2944731022415634</v>
      </c>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2:53" x14ac:dyDescent="0.3">
      <c r="B23" s="2">
        <f t="shared" si="9"/>
        <v>1</v>
      </c>
      <c r="C23" s="2">
        <f t="shared" si="10"/>
        <v>0</v>
      </c>
      <c r="D23" s="2" t="s">
        <v>100</v>
      </c>
      <c r="E23" s="11">
        <v>2020</v>
      </c>
      <c r="F23" s="279">
        <v>6419.9400000000014</v>
      </c>
      <c r="G23" s="13">
        <f t="shared" si="11"/>
        <v>0.58355387748079612</v>
      </c>
      <c r="H23" s="216">
        <v>122608.11560000015</v>
      </c>
      <c r="I23" s="216">
        <v>79399.274960000024</v>
      </c>
      <c r="J23" s="276">
        <f t="shared" si="0"/>
        <v>202007.39056000017</v>
      </c>
      <c r="K23" s="13">
        <f>J23/$J$485</f>
        <v>0.14585750972943379</v>
      </c>
      <c r="L23" s="13">
        <f t="shared" si="18"/>
        <v>0.60694866291826644</v>
      </c>
      <c r="M23" s="216">
        <v>32818296.510499991</v>
      </c>
      <c r="N23" s="216">
        <v>1449983.5610199999</v>
      </c>
      <c r="O23" s="3">
        <f t="shared" si="19"/>
        <v>1247976.1704599997</v>
      </c>
      <c r="P23" s="13">
        <f t="shared" si="20"/>
        <v>0.86068297876570621</v>
      </c>
      <c r="Q23" s="13">
        <f t="shared" si="21"/>
        <v>0.13931702123429379</v>
      </c>
      <c r="R23" s="13">
        <f t="shared" si="22"/>
        <v>8.4558279759910343E-2</v>
      </c>
      <c r="S23" s="13">
        <f t="shared" si="23"/>
        <v>5.4758741474383449E-2</v>
      </c>
      <c r="T23" s="77">
        <f>'Can O&amp;M price indexes'!K18</f>
        <v>1.3232148193941595</v>
      </c>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2:53" x14ac:dyDescent="0.3">
      <c r="B24" s="2">
        <f t="shared" si="9"/>
        <v>1</v>
      </c>
      <c r="C24" s="2">
        <f t="shared" si="10"/>
        <v>0</v>
      </c>
      <c r="D24" s="2" t="s">
        <v>100</v>
      </c>
      <c r="E24" s="11">
        <v>2021</v>
      </c>
      <c r="F24" s="280">
        <v>6419.9400000000014</v>
      </c>
      <c r="G24" s="13">
        <f t="shared" si="11"/>
        <v>0.55543297811087822</v>
      </c>
      <c r="H24" s="216">
        <v>128520.06126000018</v>
      </c>
      <c r="I24" s="216">
        <v>104696.98438000002</v>
      </c>
      <c r="J24" s="276">
        <f t="shared" si="0"/>
        <v>233217.0456400002</v>
      </c>
      <c r="K24" s="13">
        <f>J24/$J$486</f>
        <v>0.16095206955104346</v>
      </c>
      <c r="L24" s="13">
        <f t="shared" si="18"/>
        <v>0.55107490495521938</v>
      </c>
      <c r="M24" s="216">
        <v>31236814.407000013</v>
      </c>
      <c r="N24" s="216">
        <v>1432035.1061</v>
      </c>
      <c r="O24" s="3">
        <f t="shared" si="19"/>
        <v>1198818.0604599998</v>
      </c>
      <c r="P24" s="13">
        <f t="shared" si="20"/>
        <v>0.8371429271205908</v>
      </c>
      <c r="Q24" s="13">
        <f t="shared" si="21"/>
        <v>0.1628570728794092</v>
      </c>
      <c r="R24" s="13">
        <f t="shared" si="22"/>
        <v>8.9746445958305665E-2</v>
      </c>
      <c r="S24" s="13">
        <f t="shared" si="23"/>
        <v>7.3110626921103539E-2</v>
      </c>
      <c r="T24" s="77">
        <f>'Can O&amp;M price indexes'!K19</f>
        <v>1.3376663690093986</v>
      </c>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2:53" x14ac:dyDescent="0.3">
      <c r="B25" s="2">
        <f t="shared" si="9"/>
        <v>1</v>
      </c>
      <c r="C25" s="2">
        <f t="shared" si="10"/>
        <v>0</v>
      </c>
      <c r="D25" s="2" t="s">
        <v>100</v>
      </c>
      <c r="E25" s="11">
        <v>2022</v>
      </c>
      <c r="F25" s="280">
        <v>6419.9400000000014</v>
      </c>
      <c r="G25" s="13">
        <f t="shared" si="11"/>
        <v>0.60843455898562193</v>
      </c>
      <c r="H25" s="216">
        <v>131973.80998999981</v>
      </c>
      <c r="I25" s="216">
        <v>102639.15055000001</v>
      </c>
      <c r="J25" s="276">
        <f t="shared" si="0"/>
        <v>234612.96053999983</v>
      </c>
      <c r="K25" s="13">
        <f>J25/$J$487</f>
        <v>0.1595849300204554</v>
      </c>
      <c r="L25" s="13">
        <f t="shared" si="18"/>
        <v>0.56251713326595709</v>
      </c>
      <c r="M25" s="216">
        <v>34217553.056499995</v>
      </c>
      <c r="N25" s="216">
        <v>1586074.33192</v>
      </c>
      <c r="O25" s="3">
        <f t="shared" si="19"/>
        <v>1351461.3713800001</v>
      </c>
      <c r="P25" s="13">
        <f t="shared" si="20"/>
        <v>0.85207946700959947</v>
      </c>
      <c r="Q25" s="13">
        <f t="shared" si="21"/>
        <v>0.14792053299040053</v>
      </c>
      <c r="R25" s="13">
        <f t="shared" si="22"/>
        <v>8.3207834168932543E-2</v>
      </c>
      <c r="S25" s="13">
        <f t="shared" si="23"/>
        <v>6.471269882146799E-2</v>
      </c>
      <c r="T25" s="77">
        <f>'Can O&amp;M price indexes'!K20</f>
        <v>1.3608770138253408</v>
      </c>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2:53" x14ac:dyDescent="0.3">
      <c r="B26" s="2">
        <f t="shared" si="9"/>
        <v>1</v>
      </c>
      <c r="C26" s="2">
        <f>C17</f>
        <v>0</v>
      </c>
      <c r="D26" s="2" t="s">
        <v>100</v>
      </c>
      <c r="E26" s="11">
        <v>2023</v>
      </c>
      <c r="F26" s="280">
        <v>6534.0400000000018</v>
      </c>
      <c r="G26" s="13">
        <f t="shared" si="11"/>
        <v>0.59513712874123259</v>
      </c>
      <c r="H26" s="216">
        <v>135441.68068000008</v>
      </c>
      <c r="I26" s="216">
        <v>108190.98696000005</v>
      </c>
      <c r="J26" s="276">
        <f t="shared" si="0"/>
        <v>243632.66764000012</v>
      </c>
      <c r="K26" s="13">
        <f>J26/$J$488</f>
        <v>0.15252539420146161</v>
      </c>
      <c r="L26" s="13">
        <f t="shared" si="18"/>
        <v>0.55592577954337918</v>
      </c>
      <c r="M26" s="216">
        <v>34064572.28899999</v>
      </c>
      <c r="N26" s="216">
        <v>1516710.5681599998</v>
      </c>
      <c r="O26" s="3">
        <f t="shared" si="19"/>
        <v>1273077.9005199997</v>
      </c>
      <c r="P26" s="13">
        <f t="shared" si="20"/>
        <v>0.83936772594947795</v>
      </c>
      <c r="Q26" s="13">
        <f t="shared" si="21"/>
        <v>0.16063227405052205</v>
      </c>
      <c r="R26" s="13">
        <f t="shared" si="22"/>
        <v>8.9299622171362183E-2</v>
      </c>
      <c r="S26" s="13">
        <f t="shared" si="23"/>
        <v>7.1332651879159867E-2</v>
      </c>
      <c r="T26" s="77">
        <f>'Can O&amp;M price indexes'!K26</f>
        <v>1.671854488653</v>
      </c>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2:53" x14ac:dyDescent="0.25">
      <c r="B27" s="44">
        <f t="shared" si="9"/>
        <v>1</v>
      </c>
      <c r="C27" s="44">
        <f>IF(D27=D26,C26,C26+1)</f>
        <v>1</v>
      </c>
      <c r="D27" s="44" t="str">
        <f>'OPG hydro peers'!D5</f>
        <v>PG&amp;E</v>
      </c>
      <c r="E27" s="45">
        <v>2002</v>
      </c>
      <c r="F27" s="206">
        <v>3578</v>
      </c>
      <c r="G27" s="51">
        <f t="shared" si="2"/>
        <v>0.32144884007034363</v>
      </c>
      <c r="H27" s="46"/>
      <c r="I27" s="46"/>
      <c r="J27" s="206">
        <v>71809.680000000008</v>
      </c>
      <c r="K27" s="51">
        <f t="shared" ref="K27" si="24">J27/$J$467</f>
        <v>9.3580666464564102E-2</v>
      </c>
      <c r="L27" s="51"/>
      <c r="M27" s="206">
        <v>10075261</v>
      </c>
      <c r="N27" s="206">
        <v>293877.94515301532</v>
      </c>
      <c r="O27" s="46">
        <f t="shared" si="4"/>
        <v>222068.26515301532</v>
      </c>
      <c r="P27" s="51">
        <f t="shared" si="5"/>
        <v>0.7556479443783698</v>
      </c>
      <c r="Q27" s="51">
        <f t="shared" si="6"/>
        <v>0.2443520556216302</v>
      </c>
      <c r="R27" s="51">
        <f t="shared" si="7"/>
        <v>0</v>
      </c>
      <c r="S27" s="51">
        <f t="shared" si="8"/>
        <v>0.2443520556216302</v>
      </c>
      <c r="T27" s="51">
        <f>R27-S27</f>
        <v>-0.2443520556216302</v>
      </c>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2:53" x14ac:dyDescent="0.25">
      <c r="B28" s="44">
        <f t="shared" si="9"/>
        <v>1</v>
      </c>
      <c r="C28" s="44">
        <f t="shared" ref="C28:C108" si="25">IF(D28=D27,C27,C27+1)</f>
        <v>1</v>
      </c>
      <c r="D28" s="44" t="str">
        <f t="shared" ref="D28:D38" si="26">D27</f>
        <v>PG&amp;E</v>
      </c>
      <c r="E28" s="45">
        <v>2003</v>
      </c>
      <c r="F28" s="206">
        <v>3578</v>
      </c>
      <c r="G28" s="51">
        <f t="shared" si="2"/>
        <v>0.36710018862097393</v>
      </c>
      <c r="H28" s="46"/>
      <c r="I28" s="46"/>
      <c r="J28" s="206">
        <v>84364.531199999998</v>
      </c>
      <c r="K28" s="51">
        <f t="shared" ref="K28" si="27">J28/$J$468</f>
        <v>9.9475792249985817E-2</v>
      </c>
      <c r="L28" s="51"/>
      <c r="M28" s="206">
        <v>11506124</v>
      </c>
      <c r="N28" s="206">
        <v>453336.80827720958</v>
      </c>
      <c r="O28" s="46">
        <f t="shared" si="4"/>
        <v>368972.27707720955</v>
      </c>
      <c r="P28" s="51">
        <f t="shared" si="5"/>
        <v>0.81390319590283033</v>
      </c>
      <c r="Q28" s="51">
        <f t="shared" si="6"/>
        <v>0.18609680409716967</v>
      </c>
      <c r="R28" s="51">
        <f t="shared" si="7"/>
        <v>0</v>
      </c>
      <c r="S28" s="51">
        <f t="shared" si="8"/>
        <v>0.18609680409716967</v>
      </c>
      <c r="T28" s="51">
        <f t="shared" ref="T28:T106" si="28">R28-S28</f>
        <v>-0.18609680409716967</v>
      </c>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2:53" x14ac:dyDescent="0.25">
      <c r="B29" s="44">
        <f t="shared" si="9"/>
        <v>1</v>
      </c>
      <c r="C29" s="44">
        <f t="shared" si="25"/>
        <v>1</v>
      </c>
      <c r="D29" s="44" t="str">
        <f t="shared" si="26"/>
        <v>PG&amp;E</v>
      </c>
      <c r="E29" s="45">
        <v>2004</v>
      </c>
      <c r="F29" s="206">
        <v>3578</v>
      </c>
      <c r="G29" s="51">
        <f t="shared" si="2"/>
        <v>0.33835061295435576</v>
      </c>
      <c r="H29" s="46"/>
      <c r="I29" s="46"/>
      <c r="J29" s="206">
        <v>83322.004799999995</v>
      </c>
      <c r="K29" s="51">
        <f t="shared" ref="K29" si="29">J29/$J$469</f>
        <v>9.4296511566605151E-2</v>
      </c>
      <c r="L29" s="51"/>
      <c r="M29" s="206">
        <v>10605018</v>
      </c>
      <c r="N29" s="206">
        <v>450854.44957519788</v>
      </c>
      <c r="O29" s="46">
        <f t="shared" si="4"/>
        <v>367532.44477519789</v>
      </c>
      <c r="P29" s="51">
        <f t="shared" si="5"/>
        <v>0.81519090057000154</v>
      </c>
      <c r="Q29" s="51">
        <f t="shared" si="6"/>
        <v>0.18480909942999846</v>
      </c>
      <c r="R29" s="51">
        <f t="shared" si="7"/>
        <v>0</v>
      </c>
      <c r="S29" s="51">
        <f t="shared" si="8"/>
        <v>0.18480909942999846</v>
      </c>
      <c r="T29" s="51">
        <f t="shared" si="28"/>
        <v>-0.18480909942999846</v>
      </c>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2:53" x14ac:dyDescent="0.25">
      <c r="B30" s="44">
        <f t="shared" si="9"/>
        <v>1</v>
      </c>
      <c r="C30" s="44">
        <f t="shared" si="25"/>
        <v>1</v>
      </c>
      <c r="D30" s="44" t="str">
        <f t="shared" si="26"/>
        <v>PG&amp;E</v>
      </c>
      <c r="E30" s="45">
        <v>2005</v>
      </c>
      <c r="F30" s="206">
        <v>3578</v>
      </c>
      <c r="G30" s="51">
        <f t="shared" si="2"/>
        <v>0.38865060000102092</v>
      </c>
      <c r="H30" s="46"/>
      <c r="I30" s="46"/>
      <c r="J30" s="206">
        <v>82367.62920000001</v>
      </c>
      <c r="K30" s="51">
        <f t="shared" ref="K30" si="30">J30/$J$470</f>
        <v>8.8661714326289776E-2</v>
      </c>
      <c r="L30" s="51"/>
      <c r="M30" s="206">
        <v>12181584.578</v>
      </c>
      <c r="N30" s="206">
        <v>734493.9456283059</v>
      </c>
      <c r="O30" s="46">
        <f t="shared" si="4"/>
        <v>652126.31642830593</v>
      </c>
      <c r="P30" s="51">
        <f t="shared" si="5"/>
        <v>0.88785798754332756</v>
      </c>
      <c r="Q30" s="51">
        <f t="shared" si="6"/>
        <v>0.11214201245667244</v>
      </c>
      <c r="R30" s="51">
        <f t="shared" si="7"/>
        <v>0</v>
      </c>
      <c r="S30" s="51">
        <f t="shared" si="8"/>
        <v>0.11214201245667244</v>
      </c>
      <c r="T30" s="51">
        <f t="shared" si="28"/>
        <v>-0.11214201245667244</v>
      </c>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2:53" x14ac:dyDescent="0.25">
      <c r="B31" s="44">
        <f t="shared" si="9"/>
        <v>1</v>
      </c>
      <c r="C31" s="44">
        <f t="shared" si="25"/>
        <v>1</v>
      </c>
      <c r="D31" s="44" t="str">
        <f t="shared" si="26"/>
        <v>PG&amp;E</v>
      </c>
      <c r="E31" s="45">
        <v>2006</v>
      </c>
      <c r="F31" s="206">
        <v>3578</v>
      </c>
      <c r="G31" s="51">
        <f t="shared" si="2"/>
        <v>0.45769552341044079</v>
      </c>
      <c r="H31" s="46"/>
      <c r="I31" s="46"/>
      <c r="J31" s="206">
        <v>74669.354400000011</v>
      </c>
      <c r="K31" s="51">
        <f t="shared" ref="K31" si="31">J31/$J$471</f>
        <v>7.5854544139991348E-2</v>
      </c>
      <c r="L31" s="51"/>
      <c r="M31" s="206">
        <v>14345678.945</v>
      </c>
      <c r="N31" s="206">
        <v>689912.16502130567</v>
      </c>
      <c r="O31" s="46">
        <f t="shared" si="4"/>
        <v>615242.8106213056</v>
      </c>
      <c r="P31" s="51">
        <f t="shared" si="5"/>
        <v>0.89176976695621224</v>
      </c>
      <c r="Q31" s="51">
        <f t="shared" si="6"/>
        <v>0.10823023304378776</v>
      </c>
      <c r="R31" s="51">
        <f t="shared" si="7"/>
        <v>0</v>
      </c>
      <c r="S31" s="51">
        <f t="shared" si="8"/>
        <v>0.10823023304378776</v>
      </c>
      <c r="T31" s="51">
        <f t="shared" si="28"/>
        <v>-0.10823023304378776</v>
      </c>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2:53" x14ac:dyDescent="0.25">
      <c r="B32" s="44">
        <f t="shared" si="9"/>
        <v>1</v>
      </c>
      <c r="C32" s="44">
        <f t="shared" si="25"/>
        <v>1</v>
      </c>
      <c r="D32" s="44" t="str">
        <f t="shared" si="26"/>
        <v>PG&amp;E</v>
      </c>
      <c r="E32" s="45">
        <v>2007</v>
      </c>
      <c r="F32" s="206">
        <v>3578</v>
      </c>
      <c r="G32" s="51">
        <f t="shared" si="2"/>
        <v>0.25835035293051656</v>
      </c>
      <c r="H32" s="46"/>
      <c r="I32" s="46"/>
      <c r="J32" s="206">
        <v>98854.517999999996</v>
      </c>
      <c r="K32" s="51">
        <f t="shared" ref="K32" si="32">J32/$J$472</f>
        <v>9.2740397485982201E-2</v>
      </c>
      <c r="L32" s="51"/>
      <c r="M32" s="206">
        <v>8097547.4500000002</v>
      </c>
      <c r="N32" s="206">
        <v>495856.56866018503</v>
      </c>
      <c r="O32" s="46">
        <f t="shared" si="4"/>
        <v>397002.05066018505</v>
      </c>
      <c r="P32" s="51">
        <f t="shared" si="5"/>
        <v>0.80063888582315856</v>
      </c>
      <c r="Q32" s="51">
        <f t="shared" si="6"/>
        <v>0.19936111417684144</v>
      </c>
      <c r="R32" s="51">
        <f t="shared" si="7"/>
        <v>0</v>
      </c>
      <c r="S32" s="51">
        <f t="shared" si="8"/>
        <v>0.19936111417684144</v>
      </c>
      <c r="T32" s="51">
        <f t="shared" si="28"/>
        <v>-0.19936111417684144</v>
      </c>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2:53" x14ac:dyDescent="0.25">
      <c r="B33" s="44">
        <f t="shared" si="9"/>
        <v>1</v>
      </c>
      <c r="C33" s="44">
        <f t="shared" si="25"/>
        <v>1</v>
      </c>
      <c r="D33" s="44" t="str">
        <f t="shared" si="26"/>
        <v>PG&amp;E</v>
      </c>
      <c r="E33" s="45">
        <v>2008</v>
      </c>
      <c r="F33" s="206">
        <v>3578</v>
      </c>
      <c r="G33" s="51">
        <f t="shared" si="2"/>
        <v>0.25987209858062077</v>
      </c>
      <c r="H33" s="46"/>
      <c r="I33" s="46"/>
      <c r="J33" s="206">
        <v>106708.05</v>
      </c>
      <c r="K33" s="51">
        <f t="shared" ref="K33" si="33">J33/$J$473</f>
        <v>9.2142828290026763E-2</v>
      </c>
      <c r="L33" s="51"/>
      <c r="M33" s="206">
        <v>8145243.9499999993</v>
      </c>
      <c r="N33" s="206">
        <v>708104.66592277645</v>
      </c>
      <c r="O33" s="46">
        <f t="shared" si="4"/>
        <v>601396.6159227764</v>
      </c>
      <c r="P33" s="51">
        <f t="shared" si="5"/>
        <v>0.8493046930273479</v>
      </c>
      <c r="Q33" s="51">
        <f t="shared" si="6"/>
        <v>0.1506953069726521</v>
      </c>
      <c r="R33" s="51">
        <f t="shared" si="7"/>
        <v>0</v>
      </c>
      <c r="S33" s="51">
        <f t="shared" si="8"/>
        <v>0.1506953069726521</v>
      </c>
      <c r="T33" s="51">
        <f t="shared" si="28"/>
        <v>-0.1506953069726521</v>
      </c>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2:53" x14ac:dyDescent="0.25">
      <c r="B34" s="44">
        <f t="shared" si="9"/>
        <v>1</v>
      </c>
      <c r="C34" s="44">
        <f t="shared" si="25"/>
        <v>1</v>
      </c>
      <c r="D34" s="44" t="str">
        <f t="shared" si="26"/>
        <v>PG&amp;E</v>
      </c>
      <c r="E34" s="45">
        <v>2009</v>
      </c>
      <c r="F34" s="206">
        <v>3578</v>
      </c>
      <c r="G34" s="51">
        <f t="shared" si="2"/>
        <v>0.28482653717160422</v>
      </c>
      <c r="H34" s="46"/>
      <c r="I34" s="46"/>
      <c r="J34" s="206">
        <v>106947.5808</v>
      </c>
      <c r="K34" s="51">
        <f t="shared" ref="K34" si="34">J34/$J$474</f>
        <v>9.0634681693739103E-2</v>
      </c>
      <c r="L34" s="51"/>
      <c r="M34" s="206">
        <v>8927397.9059999995</v>
      </c>
      <c r="N34" s="206">
        <v>354320.4611910446</v>
      </c>
      <c r="O34" s="46">
        <f t="shared" si="4"/>
        <v>247372.8803910446</v>
      </c>
      <c r="P34" s="51">
        <f t="shared" si="5"/>
        <v>0.69816143148917564</v>
      </c>
      <c r="Q34" s="51">
        <f t="shared" si="6"/>
        <v>0.30183856851082436</v>
      </c>
      <c r="R34" s="51">
        <f t="shared" si="7"/>
        <v>0</v>
      </c>
      <c r="S34" s="51">
        <f t="shared" si="8"/>
        <v>0.30183856851082436</v>
      </c>
      <c r="T34" s="51">
        <f t="shared" si="28"/>
        <v>-0.30183856851082436</v>
      </c>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2:53" x14ac:dyDescent="0.25">
      <c r="B35" s="44">
        <f t="shared" si="9"/>
        <v>1</v>
      </c>
      <c r="C35" s="44">
        <f t="shared" si="25"/>
        <v>1</v>
      </c>
      <c r="D35" s="44" t="str">
        <f t="shared" si="26"/>
        <v>PG&amp;E</v>
      </c>
      <c r="E35" s="45">
        <v>2010</v>
      </c>
      <c r="F35" s="206">
        <v>3578</v>
      </c>
      <c r="G35" s="51">
        <f t="shared" si="2"/>
        <v>0.33455051350720155</v>
      </c>
      <c r="H35" s="46"/>
      <c r="I35" s="46"/>
      <c r="J35" s="206">
        <v>108905.50439999999</v>
      </c>
      <c r="K35" s="51">
        <f t="shared" ref="K35" si="35">J35/$J$475</f>
        <v>8.8997832556655804E-2</v>
      </c>
      <c r="L35" s="51"/>
      <c r="M35" s="206">
        <v>10485910.419</v>
      </c>
      <c r="N35" s="206">
        <v>425820.75564059347</v>
      </c>
      <c r="O35" s="46">
        <f t="shared" si="4"/>
        <v>316915.2512405935</v>
      </c>
      <c r="P35" s="51">
        <f t="shared" si="5"/>
        <v>0.74424566450227303</v>
      </c>
      <c r="Q35" s="51">
        <f t="shared" si="6"/>
        <v>0.25575433549772697</v>
      </c>
      <c r="R35" s="51">
        <f t="shared" si="7"/>
        <v>0</v>
      </c>
      <c r="S35" s="51">
        <f t="shared" si="8"/>
        <v>0.25575433549772697</v>
      </c>
      <c r="T35" s="51">
        <f t="shared" si="28"/>
        <v>-0.25575433549772697</v>
      </c>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2:53" x14ac:dyDescent="0.25">
      <c r="B36" s="44">
        <f t="shared" si="9"/>
        <v>1</v>
      </c>
      <c r="C36" s="44">
        <f t="shared" si="25"/>
        <v>1</v>
      </c>
      <c r="D36" s="44" t="str">
        <f t="shared" si="26"/>
        <v>PG&amp;E</v>
      </c>
      <c r="E36" s="45">
        <v>2011</v>
      </c>
      <c r="F36" s="206">
        <v>3578</v>
      </c>
      <c r="G36" s="51">
        <f t="shared" si="2"/>
        <v>0.38434691190583758</v>
      </c>
      <c r="H36" s="46"/>
      <c r="I36" s="46"/>
      <c r="J36" s="206">
        <v>113892.5868</v>
      </c>
      <c r="K36" s="51">
        <f t="shared" ref="K36" si="36">J36/$J$476</f>
        <v>9.4362273623545059E-2</v>
      </c>
      <c r="L36" s="51"/>
      <c r="M36" s="206">
        <v>12046692.877</v>
      </c>
      <c r="N36" s="206">
        <v>421934.90607884398</v>
      </c>
      <c r="O36" s="46">
        <f t="shared" si="4"/>
        <v>308042.31927884399</v>
      </c>
      <c r="P36" s="51">
        <f t="shared" si="5"/>
        <v>0.73007071669316292</v>
      </c>
      <c r="Q36" s="51">
        <f t="shared" si="6"/>
        <v>0.26992928330683708</v>
      </c>
      <c r="R36" s="51">
        <f t="shared" si="7"/>
        <v>0</v>
      </c>
      <c r="S36" s="51">
        <f t="shared" si="8"/>
        <v>0.26992928330683708</v>
      </c>
      <c r="T36" s="51">
        <f t="shared" si="28"/>
        <v>-0.26992928330683708</v>
      </c>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2:53" x14ac:dyDescent="0.25">
      <c r="B37" s="44">
        <f t="shared" si="9"/>
        <v>1</v>
      </c>
      <c r="C37" s="44">
        <f t="shared" si="25"/>
        <v>1</v>
      </c>
      <c r="D37" s="44" t="str">
        <f t="shared" si="26"/>
        <v>PG&amp;E</v>
      </c>
      <c r="E37" s="45">
        <v>2012</v>
      </c>
      <c r="F37" s="206">
        <v>3578</v>
      </c>
      <c r="G37" s="51">
        <f t="shared" si="2"/>
        <v>0.2512329407451932</v>
      </c>
      <c r="H37" s="46"/>
      <c r="I37" s="46"/>
      <c r="J37" s="206">
        <v>140429.7684</v>
      </c>
      <c r="K37" s="51">
        <f t="shared" ref="K37" si="37">J37/$J$477</f>
        <v>0.11278708127490043</v>
      </c>
      <c r="L37" s="51"/>
      <c r="M37" s="206">
        <v>7874464.4069999997</v>
      </c>
      <c r="N37" s="206">
        <v>260606.23358687424</v>
      </c>
      <c r="O37" s="46">
        <f t="shared" si="4"/>
        <v>120176.46518687424</v>
      </c>
      <c r="P37" s="51">
        <f t="shared" si="5"/>
        <v>0.4611419440464492</v>
      </c>
      <c r="Q37" s="51">
        <f t="shared" si="6"/>
        <v>0.53885805595355074</v>
      </c>
      <c r="R37" s="51">
        <f t="shared" si="7"/>
        <v>0</v>
      </c>
      <c r="S37" s="51">
        <f t="shared" si="8"/>
        <v>0.53885805595355074</v>
      </c>
      <c r="T37" s="51">
        <f t="shared" si="28"/>
        <v>-0.53885805595355074</v>
      </c>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2:53" x14ac:dyDescent="0.25">
      <c r="B38" s="44">
        <f t="shared" si="9"/>
        <v>1</v>
      </c>
      <c r="C38" s="44">
        <f t="shared" si="25"/>
        <v>1</v>
      </c>
      <c r="D38" s="44" t="str">
        <f t="shared" si="26"/>
        <v>PG&amp;E</v>
      </c>
      <c r="E38" s="45">
        <v>2013</v>
      </c>
      <c r="F38" s="206">
        <v>3566.6399999999994</v>
      </c>
      <c r="G38" s="51">
        <f t="shared" si="2"/>
        <v>0.24348539589004228</v>
      </c>
      <c r="H38" s="44"/>
      <c r="I38" s="44"/>
      <c r="J38" s="206">
        <v>140742.09479999996</v>
      </c>
      <c r="K38" s="51">
        <f t="shared" ref="K38" si="38">J38/$J$478</f>
        <v>0.11321661754029834</v>
      </c>
      <c r="L38" s="44"/>
      <c r="M38" s="206">
        <v>7607400.8310000002</v>
      </c>
      <c r="N38" s="206">
        <v>349637.36609364086</v>
      </c>
      <c r="O38" s="46">
        <f t="shared" si="4"/>
        <v>208895.27129364089</v>
      </c>
      <c r="P38" s="51">
        <f t="shared" si="5"/>
        <v>0.59746266146420401</v>
      </c>
      <c r="Q38" s="51">
        <f t="shared" si="6"/>
        <v>0.40253733853579599</v>
      </c>
      <c r="R38" s="51">
        <f t="shared" si="7"/>
        <v>0</v>
      </c>
      <c r="S38" s="51">
        <f t="shared" si="8"/>
        <v>0.40253733853579599</v>
      </c>
      <c r="T38" s="51">
        <f t="shared" si="28"/>
        <v>-0.40253733853579599</v>
      </c>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2:53" x14ac:dyDescent="0.25">
      <c r="B39" s="44">
        <f t="shared" si="9"/>
        <v>1</v>
      </c>
      <c r="C39" s="44">
        <f t="shared" si="25"/>
        <v>1</v>
      </c>
      <c r="D39" s="44" t="str">
        <f>D36</f>
        <v>PG&amp;E</v>
      </c>
      <c r="E39" s="45">
        <v>2014</v>
      </c>
      <c r="F39" s="206">
        <v>3567.2699999999995</v>
      </c>
      <c r="G39" s="51">
        <f t="shared" si="2"/>
        <v>0.18368446082088305</v>
      </c>
      <c r="H39" s="44"/>
      <c r="I39" s="44"/>
      <c r="J39" s="206">
        <v>136302.32640000002</v>
      </c>
      <c r="K39" s="51">
        <f t="shared" ref="K39" si="39">J39/$J$479</f>
        <v>0.10924434703882253</v>
      </c>
      <c r="L39" s="44"/>
      <c r="M39" s="206">
        <v>5740008.1030000001</v>
      </c>
      <c r="N39" s="206">
        <v>317511.70106307074</v>
      </c>
      <c r="O39" s="46">
        <f t="shared" si="4"/>
        <v>181209.37466307072</v>
      </c>
      <c r="P39" s="51">
        <f t="shared" si="5"/>
        <v>0.57071715485242913</v>
      </c>
      <c r="Q39" s="51">
        <f t="shared" si="6"/>
        <v>0.42928284514757087</v>
      </c>
      <c r="R39" s="51">
        <f t="shared" si="7"/>
        <v>0</v>
      </c>
      <c r="S39" s="51">
        <f t="shared" si="8"/>
        <v>0.42928284514757087</v>
      </c>
      <c r="T39" s="51">
        <f t="shared" si="28"/>
        <v>-0.42928284514757087</v>
      </c>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2:53" x14ac:dyDescent="0.25">
      <c r="B40" s="44">
        <f t="shared" si="9"/>
        <v>1</v>
      </c>
      <c r="C40" s="44">
        <f t="shared" si="25"/>
        <v>1</v>
      </c>
      <c r="D40" s="44" t="str">
        <f>D37</f>
        <v>PG&amp;E</v>
      </c>
      <c r="E40" s="45">
        <v>2015</v>
      </c>
      <c r="F40" s="206">
        <v>3567.27</v>
      </c>
      <c r="G40" s="51">
        <f t="shared" si="2"/>
        <v>0.13803810270834613</v>
      </c>
      <c r="H40" s="44"/>
      <c r="I40" s="44"/>
      <c r="J40" s="206">
        <v>146836.62360000002</v>
      </c>
      <c r="K40" s="51">
        <f t="shared" ref="K40" si="40">J40/$J$480</f>
        <v>0.11141231390914301</v>
      </c>
      <c r="L40" s="44"/>
      <c r="M40" s="206">
        <v>4313592.04</v>
      </c>
      <c r="N40" s="206">
        <v>180663.74988162715</v>
      </c>
      <c r="O40" s="46">
        <f t="shared" si="4"/>
        <v>33827.126281627134</v>
      </c>
      <c r="P40" s="51">
        <f t="shared" si="5"/>
        <v>0.1872380391959706</v>
      </c>
      <c r="Q40" s="51">
        <f t="shared" si="6"/>
        <v>0.8127619608040294</v>
      </c>
      <c r="R40" s="51">
        <f t="shared" si="7"/>
        <v>0</v>
      </c>
      <c r="S40" s="51">
        <f t="shared" si="8"/>
        <v>0.8127619608040294</v>
      </c>
      <c r="T40" s="51">
        <f t="shared" si="28"/>
        <v>-0.8127619608040294</v>
      </c>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2:53" x14ac:dyDescent="0.25">
      <c r="B41" s="44">
        <f t="shared" si="9"/>
        <v>1</v>
      </c>
      <c r="C41" s="44">
        <f t="shared" si="25"/>
        <v>1</v>
      </c>
      <c r="D41" s="44" t="str">
        <f>D38</f>
        <v>PG&amp;E</v>
      </c>
      <c r="E41" s="45">
        <v>2016</v>
      </c>
      <c r="F41" s="206">
        <v>3567.27</v>
      </c>
      <c r="G41" s="51">
        <f t="shared" si="2"/>
        <v>0.26191561770507316</v>
      </c>
      <c r="H41" s="44"/>
      <c r="I41" s="44"/>
      <c r="J41" s="206">
        <v>121289.00039999999</v>
      </c>
      <c r="K41" s="51">
        <f t="shared" ref="K41" si="41">J41/$J$481</f>
        <v>9.1134004880126185E-2</v>
      </c>
      <c r="L41" s="44"/>
      <c r="M41" s="206">
        <v>8184675.8360000001</v>
      </c>
      <c r="N41" s="206">
        <v>292914.37216630392</v>
      </c>
      <c r="O41" s="46">
        <f t="shared" si="4"/>
        <v>171625.37176630393</v>
      </c>
      <c r="P41" s="51">
        <f t="shared" si="5"/>
        <v>0.58592335533765671</v>
      </c>
      <c r="Q41" s="51">
        <f t="shared" si="6"/>
        <v>0.41407664466234329</v>
      </c>
      <c r="R41" s="51">
        <f t="shared" si="7"/>
        <v>0</v>
      </c>
      <c r="S41" s="51">
        <f t="shared" si="8"/>
        <v>0.41407664466234329</v>
      </c>
      <c r="T41" s="51">
        <f t="shared" si="28"/>
        <v>-0.41407664466234329</v>
      </c>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2:53" x14ac:dyDescent="0.25">
      <c r="B42" s="44">
        <f t="shared" si="9"/>
        <v>1</v>
      </c>
      <c r="C42" s="44">
        <f t="shared" si="25"/>
        <v>1</v>
      </c>
      <c r="D42" s="44" t="str">
        <f>D38</f>
        <v>PG&amp;E</v>
      </c>
      <c r="E42" s="45">
        <v>2017</v>
      </c>
      <c r="F42" s="206">
        <v>3567.27</v>
      </c>
      <c r="G42" s="51">
        <f t="shared" si="2"/>
        <v>0.36520849526503735</v>
      </c>
      <c r="H42" s="44"/>
      <c r="I42" s="44"/>
      <c r="J42" s="206">
        <v>104173.59</v>
      </c>
      <c r="K42" s="51">
        <f t="shared" ref="K42" si="42">J42/$J$482</f>
        <v>8.0011901192171567E-2</v>
      </c>
      <c r="L42" s="44"/>
      <c r="M42" s="206">
        <v>11412504.426000001</v>
      </c>
      <c r="N42" s="206">
        <v>431222.55846352817</v>
      </c>
      <c r="O42" s="46">
        <f t="shared" si="4"/>
        <v>327048.9684635282</v>
      </c>
      <c r="P42" s="51">
        <f t="shared" si="5"/>
        <v>0.75842267999341983</v>
      </c>
      <c r="Q42" s="51">
        <f t="shared" si="6"/>
        <v>0.24157732000658017</v>
      </c>
      <c r="R42" s="51">
        <f t="shared" si="7"/>
        <v>0</v>
      </c>
      <c r="S42" s="51">
        <f t="shared" si="8"/>
        <v>0.24157732000658017</v>
      </c>
      <c r="T42" s="51">
        <f t="shared" si="28"/>
        <v>-0.24157732000658017</v>
      </c>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2:53" x14ac:dyDescent="0.25">
      <c r="B43" s="44">
        <f t="shared" si="9"/>
        <v>1</v>
      </c>
      <c r="C43" s="44">
        <f t="shared" ref="C43:C48" si="43">IF(D43=D42,C42,C42+1)</f>
        <v>1</v>
      </c>
      <c r="D43" s="44" t="str">
        <f t="shared" ref="D43:D47" si="44">D39</f>
        <v>PG&amp;E</v>
      </c>
      <c r="E43" s="45">
        <v>2018</v>
      </c>
      <c r="F43" s="206">
        <v>3567.27</v>
      </c>
      <c r="G43" s="51">
        <f t="shared" ref="G43:G44" si="45">M43/(F43*8760)</f>
        <v>0.27887733374458112</v>
      </c>
      <c r="H43" s="44"/>
      <c r="I43" s="44"/>
      <c r="J43" s="206">
        <v>98992.214399999997</v>
      </c>
      <c r="K43" s="51">
        <f t="shared" ref="K43" si="46">J43/$J$483</f>
        <v>7.0552327014146599E-2</v>
      </c>
      <c r="L43" s="44"/>
      <c r="M43" s="206">
        <v>8714717.3379999995</v>
      </c>
      <c r="N43" s="206">
        <v>353264.85204519716</v>
      </c>
      <c r="O43" s="46">
        <f t="shared" ref="O43" si="47">N43-J43</f>
        <v>254272.63764519716</v>
      </c>
      <c r="P43" s="51">
        <f t="shared" ref="P43" si="48">O43/N43</f>
        <v>0.71977904445660845</v>
      </c>
      <c r="Q43" s="51">
        <f t="shared" ref="Q43" si="49">1-P43</f>
        <v>0.28022095554339155</v>
      </c>
      <c r="R43" s="51">
        <f t="shared" ref="R43" si="50">Q43*L43</f>
        <v>0</v>
      </c>
      <c r="S43" s="51">
        <f t="shared" ref="S43" si="51">Q43-R43</f>
        <v>0.28022095554339155</v>
      </c>
      <c r="T43" s="51">
        <f t="shared" ref="T43" si="52">R43-S43</f>
        <v>-0.28022095554339155</v>
      </c>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2:53" x14ac:dyDescent="0.25">
      <c r="B44" s="44">
        <f t="shared" si="9"/>
        <v>1</v>
      </c>
      <c r="C44" s="44">
        <f t="shared" si="43"/>
        <v>1</v>
      </c>
      <c r="D44" s="44" t="str">
        <f t="shared" si="44"/>
        <v>PG&amp;E</v>
      </c>
      <c r="E44" s="45">
        <v>2019</v>
      </c>
      <c r="F44" s="206">
        <v>3567.2700000000004</v>
      </c>
      <c r="G44" s="51">
        <f t="shared" si="45"/>
        <v>0.36393485774836221</v>
      </c>
      <c r="H44" s="44"/>
      <c r="I44" s="44"/>
      <c r="J44" s="206">
        <v>105533.17079999999</v>
      </c>
      <c r="K44" s="51">
        <f t="shared" ref="K44" si="53">J44/$J$484</f>
        <v>7.6640981285901272E-2</v>
      </c>
      <c r="L44" s="44"/>
      <c r="M44" s="206">
        <v>11372704.164000001</v>
      </c>
      <c r="N44" s="206">
        <v>443800.21355596842</v>
      </c>
      <c r="O44" s="46">
        <f t="shared" ref="O44:O48" si="54">N44-J44</f>
        <v>338267.0427559684</v>
      </c>
      <c r="P44" s="51">
        <f t="shared" ref="P44:P48" si="55">O44/N44</f>
        <v>0.76220567819377349</v>
      </c>
      <c r="Q44" s="51">
        <f t="shared" ref="Q44:Q48" si="56">1-P44</f>
        <v>0.23779432180622651</v>
      </c>
      <c r="R44" s="51">
        <f t="shared" ref="R44:R48" si="57">Q44*L44</f>
        <v>0</v>
      </c>
      <c r="S44" s="51">
        <f t="shared" ref="S44:S48" si="58">Q44-R44</f>
        <v>0.23779432180622651</v>
      </c>
      <c r="T44" s="51">
        <f t="shared" ref="T44:T48" si="59">R44-S44</f>
        <v>-0.23779432180622651</v>
      </c>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2:53" x14ac:dyDescent="0.25">
      <c r="B45" s="44">
        <f t="shared" si="9"/>
        <v>1</v>
      </c>
      <c r="C45" s="44">
        <f t="shared" si="43"/>
        <v>1</v>
      </c>
      <c r="D45" s="44" t="str">
        <f t="shared" si="44"/>
        <v>PG&amp;E</v>
      </c>
      <c r="E45" s="45">
        <v>2020</v>
      </c>
      <c r="F45" s="206">
        <v>3567.2700000000004</v>
      </c>
      <c r="G45" s="51">
        <f t="shared" si="2"/>
        <v>0.2158882448293569</v>
      </c>
      <c r="H45" s="44"/>
      <c r="I45" s="44"/>
      <c r="J45" s="206">
        <v>141248.00039999999</v>
      </c>
      <c r="K45" s="51">
        <f t="shared" ref="K45" si="60">J45/$J$485</f>
        <v>0.10198677155075098</v>
      </c>
      <c r="L45" s="44"/>
      <c r="M45" s="206">
        <v>6746353.3339999998</v>
      </c>
      <c r="N45" s="206">
        <v>237224.20303003449</v>
      </c>
      <c r="O45" s="46">
        <f t="shared" si="54"/>
        <v>95976.202630034502</v>
      </c>
      <c r="P45" s="51">
        <f t="shared" si="55"/>
        <v>0.40458014571929302</v>
      </c>
      <c r="Q45" s="51">
        <f t="shared" si="56"/>
        <v>0.59541985428070698</v>
      </c>
      <c r="R45" s="51">
        <f t="shared" si="57"/>
        <v>0</v>
      </c>
      <c r="S45" s="51">
        <f t="shared" si="58"/>
        <v>0.59541985428070698</v>
      </c>
      <c r="T45" s="51">
        <f t="shared" si="59"/>
        <v>-0.59541985428070698</v>
      </c>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row>
    <row r="46" spans="2:53" x14ac:dyDescent="0.25">
      <c r="B46" s="44">
        <f t="shared" si="9"/>
        <v>1</v>
      </c>
      <c r="C46" s="44">
        <f t="shared" si="43"/>
        <v>1</v>
      </c>
      <c r="D46" s="44" t="str">
        <f t="shared" si="44"/>
        <v>PG&amp;E</v>
      </c>
      <c r="E46" s="45">
        <v>2021</v>
      </c>
      <c r="F46" s="206">
        <v>3567.51</v>
      </c>
      <c r="G46" s="51">
        <f t="shared" si="2"/>
        <v>0.16437473112393897</v>
      </c>
      <c r="H46" s="44"/>
      <c r="I46" s="44"/>
      <c r="J46" s="206">
        <v>145820.69999999998</v>
      </c>
      <c r="K46" s="51">
        <f t="shared" ref="K46" si="61">J46/$J$486</f>
        <v>0.10063648385551953</v>
      </c>
      <c r="L46" s="44"/>
      <c r="M46" s="206">
        <v>5136938.4340000004</v>
      </c>
      <c r="N46" s="206">
        <v>277895.99047847791</v>
      </c>
      <c r="O46" s="46">
        <f t="shared" si="54"/>
        <v>132075.29047847792</v>
      </c>
      <c r="P46" s="51">
        <f t="shared" si="55"/>
        <v>0.47526878761752667</v>
      </c>
      <c r="Q46" s="51">
        <f t="shared" si="56"/>
        <v>0.52473121238247333</v>
      </c>
      <c r="R46" s="51">
        <f t="shared" si="57"/>
        <v>0</v>
      </c>
      <c r="S46" s="51">
        <f t="shared" si="58"/>
        <v>0.52473121238247333</v>
      </c>
      <c r="T46" s="51">
        <f t="shared" si="59"/>
        <v>-0.52473121238247333</v>
      </c>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row>
    <row r="47" spans="2:53" x14ac:dyDescent="0.25">
      <c r="B47" s="44">
        <f t="shared" si="9"/>
        <v>1</v>
      </c>
      <c r="C47" s="44">
        <f t="shared" si="43"/>
        <v>1</v>
      </c>
      <c r="D47" s="44" t="str">
        <f t="shared" si="44"/>
        <v>PG&amp;E</v>
      </c>
      <c r="E47" s="45">
        <v>2022</v>
      </c>
      <c r="F47" s="206">
        <v>3567.51</v>
      </c>
      <c r="G47" s="51">
        <f t="shared" si="2"/>
        <v>0.19195287018231472</v>
      </c>
      <c r="H47" s="44"/>
      <c r="I47" s="44"/>
      <c r="J47" s="206">
        <v>157474.7064</v>
      </c>
      <c r="K47" s="51">
        <f t="shared" ref="K47" si="62">J47/$J$487</f>
        <v>0.10711509689402335</v>
      </c>
      <c r="L47" s="44"/>
      <c r="M47" s="206">
        <v>5998793.5470000003</v>
      </c>
      <c r="N47" s="206">
        <v>591780.64889889932</v>
      </c>
      <c r="O47" s="46">
        <f t="shared" si="54"/>
        <v>434305.9424988993</v>
      </c>
      <c r="P47" s="51">
        <f t="shared" si="55"/>
        <v>0.73389683036610542</v>
      </c>
      <c r="Q47" s="51">
        <f t="shared" si="56"/>
        <v>0.26610316963389458</v>
      </c>
      <c r="R47" s="51">
        <f t="shared" si="57"/>
        <v>0</v>
      </c>
      <c r="S47" s="51">
        <f t="shared" si="58"/>
        <v>0.26610316963389458</v>
      </c>
      <c r="T47" s="51">
        <f t="shared" si="59"/>
        <v>-0.26610316963389458</v>
      </c>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row>
    <row r="48" spans="2:53" x14ac:dyDescent="0.25">
      <c r="B48" s="44">
        <f t="shared" si="9"/>
        <v>1</v>
      </c>
      <c r="C48" s="44">
        <f t="shared" si="43"/>
        <v>1</v>
      </c>
      <c r="D48" s="44" t="str">
        <f>D39</f>
        <v>PG&amp;E</v>
      </c>
      <c r="E48" s="45">
        <v>2023</v>
      </c>
      <c r="F48" s="206">
        <v>3729</v>
      </c>
      <c r="G48" s="51">
        <f t="shared" si="2"/>
        <v>0.29606309442466855</v>
      </c>
      <c r="H48" s="44"/>
      <c r="I48" s="44"/>
      <c r="J48" s="206">
        <v>169309.02</v>
      </c>
      <c r="K48" s="51">
        <f t="shared" ref="K48" si="63">J48/$J$488</f>
        <v>0.105995330049587</v>
      </c>
      <c r="L48" s="44"/>
      <c r="M48" s="206">
        <v>9671208.8849999998</v>
      </c>
      <c r="N48" s="206">
        <v>600218.01247906848</v>
      </c>
      <c r="O48" s="46">
        <f t="shared" si="54"/>
        <v>430908.99247906846</v>
      </c>
      <c r="P48" s="51">
        <f t="shared" si="55"/>
        <v>0.71792079464475522</v>
      </c>
      <c r="Q48" s="51">
        <f t="shared" si="56"/>
        <v>0.28207920535524478</v>
      </c>
      <c r="R48" s="51">
        <f t="shared" si="57"/>
        <v>0</v>
      </c>
      <c r="S48" s="51">
        <f t="shared" si="58"/>
        <v>0.28207920535524478</v>
      </c>
      <c r="T48" s="51">
        <f t="shared" si="59"/>
        <v>-0.28207920535524478</v>
      </c>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row>
    <row r="49" spans="2:53" x14ac:dyDescent="0.25">
      <c r="B49" s="47">
        <f t="shared" si="9"/>
        <v>1</v>
      </c>
      <c r="C49" s="47">
        <f t="shared" si="25"/>
        <v>2</v>
      </c>
      <c r="D49" s="47" t="str">
        <f>'OPG hydro peers'!D6</f>
        <v>Duke</v>
      </c>
      <c r="E49" s="48">
        <v>2002</v>
      </c>
      <c r="F49" s="207">
        <v>2753.99</v>
      </c>
      <c r="G49" s="50">
        <f t="shared" si="2"/>
        <v>0.20556245947245891</v>
      </c>
      <c r="H49" s="49"/>
      <c r="I49" s="49"/>
      <c r="J49" s="207">
        <v>26365.206000000002</v>
      </c>
      <c r="K49" s="50">
        <f t="shared" ref="K49" si="64">J49/$J$467</f>
        <v>3.435850917251719E-2</v>
      </c>
      <c r="L49" s="50"/>
      <c r="M49" s="207">
        <v>4959184.55</v>
      </c>
      <c r="N49" s="207">
        <v>31186.796267748006</v>
      </c>
      <c r="O49" s="49">
        <f t="shared" si="4"/>
        <v>4821.5902677480044</v>
      </c>
      <c r="P49" s="50">
        <f t="shared" si="5"/>
        <v>0.15460357730730676</v>
      </c>
      <c r="Q49" s="50">
        <f t="shared" si="6"/>
        <v>0.84539642269269322</v>
      </c>
      <c r="R49" s="50">
        <f t="shared" si="7"/>
        <v>0</v>
      </c>
      <c r="S49" s="50">
        <f t="shared" si="8"/>
        <v>0.84539642269269322</v>
      </c>
      <c r="T49" s="50">
        <f t="shared" si="28"/>
        <v>-0.84539642269269322</v>
      </c>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2:53" x14ac:dyDescent="0.25">
      <c r="B50" s="47">
        <f t="shared" si="9"/>
        <v>1</v>
      </c>
      <c r="C50" s="47">
        <f t="shared" si="25"/>
        <v>2</v>
      </c>
      <c r="D50" s="47" t="str">
        <f t="shared" ref="D50:D60" si="65">D49</f>
        <v>Duke</v>
      </c>
      <c r="E50" s="48">
        <v>2003</v>
      </c>
      <c r="F50" s="207">
        <v>2753.99</v>
      </c>
      <c r="G50" s="50">
        <f t="shared" si="2"/>
        <v>0.26319881982440724</v>
      </c>
      <c r="H50" s="49"/>
      <c r="I50" s="49"/>
      <c r="J50" s="207">
        <v>28615.039200000003</v>
      </c>
      <c r="K50" s="50">
        <f t="shared" ref="K50" si="66">J50/$J$468</f>
        <v>3.3740526429718379E-2</v>
      </c>
      <c r="L50" s="50"/>
      <c r="M50" s="207">
        <v>6349659</v>
      </c>
      <c r="N50" s="207">
        <v>104310.27945089997</v>
      </c>
      <c r="O50" s="49">
        <f t="shared" si="4"/>
        <v>75695.240250899966</v>
      </c>
      <c r="P50" s="50">
        <f t="shared" si="5"/>
        <v>0.72567383242924377</v>
      </c>
      <c r="Q50" s="50">
        <f t="shared" si="6"/>
        <v>0.27432616757075623</v>
      </c>
      <c r="R50" s="50">
        <f t="shared" si="7"/>
        <v>0</v>
      </c>
      <c r="S50" s="50">
        <f t="shared" si="8"/>
        <v>0.27432616757075623</v>
      </c>
      <c r="T50" s="50">
        <f t="shared" si="28"/>
        <v>-0.27432616757075623</v>
      </c>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2:53" x14ac:dyDescent="0.25">
      <c r="B51" s="47">
        <f t="shared" si="9"/>
        <v>1</v>
      </c>
      <c r="C51" s="47">
        <f t="shared" si="25"/>
        <v>2</v>
      </c>
      <c r="D51" s="47" t="str">
        <f t="shared" si="65"/>
        <v>Duke</v>
      </c>
      <c r="E51" s="48">
        <v>2004</v>
      </c>
      <c r="F51" s="207">
        <v>2753.99</v>
      </c>
      <c r="G51" s="50">
        <f t="shared" si="2"/>
        <v>0.21278313485915937</v>
      </c>
      <c r="H51" s="49"/>
      <c r="I51" s="49"/>
      <c r="J51" s="207">
        <v>34896.252</v>
      </c>
      <c r="K51" s="50">
        <f t="shared" ref="K51" si="67">J51/$J$469</f>
        <v>3.9492506670328796E-2</v>
      </c>
      <c r="L51" s="50"/>
      <c r="M51" s="207">
        <v>5133383</v>
      </c>
      <c r="N51" s="207">
        <v>94075.976460004269</v>
      </c>
      <c r="O51" s="49">
        <f t="shared" si="4"/>
        <v>59179.724460004269</v>
      </c>
      <c r="P51" s="50">
        <f t="shared" si="5"/>
        <v>0.62906309014144657</v>
      </c>
      <c r="Q51" s="50">
        <f t="shared" si="6"/>
        <v>0.37093690985855343</v>
      </c>
      <c r="R51" s="50">
        <f t="shared" si="7"/>
        <v>0</v>
      </c>
      <c r="S51" s="50">
        <f t="shared" si="8"/>
        <v>0.37093690985855343</v>
      </c>
      <c r="T51" s="50">
        <f t="shared" si="28"/>
        <v>-0.37093690985855343</v>
      </c>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2:53" x14ac:dyDescent="0.25">
      <c r="B52" s="47">
        <f t="shared" si="9"/>
        <v>1</v>
      </c>
      <c r="C52" s="47">
        <f t="shared" si="25"/>
        <v>2</v>
      </c>
      <c r="D52" s="47" t="str">
        <f t="shared" si="65"/>
        <v>Duke</v>
      </c>
      <c r="E52" s="48">
        <v>2005</v>
      </c>
      <c r="F52" s="207">
        <v>2753.99</v>
      </c>
      <c r="G52" s="50">
        <f t="shared" si="2"/>
        <v>0.22907473177024798</v>
      </c>
      <c r="H52" s="49"/>
      <c r="I52" s="49"/>
      <c r="J52" s="207">
        <v>34263.0792</v>
      </c>
      <c r="K52" s="50">
        <f t="shared" ref="K52" si="68">J52/$J$470</f>
        <v>3.6881276898151162E-2</v>
      </c>
      <c r="L52" s="50"/>
      <c r="M52" s="207">
        <v>5526417</v>
      </c>
      <c r="N52" s="207">
        <v>140989.80044901269</v>
      </c>
      <c r="O52" s="49">
        <f t="shared" si="4"/>
        <v>106726.72124901268</v>
      </c>
      <c r="P52" s="50">
        <f t="shared" si="5"/>
        <v>0.7569818590360311</v>
      </c>
      <c r="Q52" s="50">
        <f t="shared" si="6"/>
        <v>0.2430181409639689</v>
      </c>
      <c r="R52" s="50">
        <f t="shared" si="7"/>
        <v>0</v>
      </c>
      <c r="S52" s="50">
        <f t="shared" si="8"/>
        <v>0.2430181409639689</v>
      </c>
      <c r="T52" s="50">
        <f t="shared" si="28"/>
        <v>-0.2430181409639689</v>
      </c>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row>
    <row r="53" spans="2:53" x14ac:dyDescent="0.25">
      <c r="B53" s="47">
        <f t="shared" si="9"/>
        <v>1</v>
      </c>
      <c r="C53" s="47">
        <f t="shared" si="25"/>
        <v>2</v>
      </c>
      <c r="D53" s="47" t="str">
        <f t="shared" si="65"/>
        <v>Duke</v>
      </c>
      <c r="E53" s="48">
        <v>2006</v>
      </c>
      <c r="F53" s="207">
        <v>2755.99</v>
      </c>
      <c r="G53" s="50">
        <f t="shared" si="2"/>
        <v>0.18543017988497318</v>
      </c>
      <c r="H53" s="49"/>
      <c r="I53" s="49"/>
      <c r="J53" s="207">
        <v>26523.175200000001</v>
      </c>
      <c r="K53" s="50">
        <f t="shared" ref="K53" si="69">J53/$J$471</f>
        <v>2.6944164444806337E-2</v>
      </c>
      <c r="L53" s="50"/>
      <c r="M53" s="207">
        <v>4476743</v>
      </c>
      <c r="N53" s="207">
        <v>80417.237768862702</v>
      </c>
      <c r="O53" s="49">
        <f t="shared" si="4"/>
        <v>53894.062568862704</v>
      </c>
      <c r="P53" s="50">
        <f t="shared" si="5"/>
        <v>0.67018047453664609</v>
      </c>
      <c r="Q53" s="50">
        <f t="shared" si="6"/>
        <v>0.32981952546335391</v>
      </c>
      <c r="R53" s="50">
        <f t="shared" si="7"/>
        <v>0</v>
      </c>
      <c r="S53" s="50">
        <f t="shared" si="8"/>
        <v>0.32981952546335391</v>
      </c>
      <c r="T53" s="50">
        <f t="shared" si="28"/>
        <v>-0.32981952546335391</v>
      </c>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2:53" x14ac:dyDescent="0.25">
      <c r="B54" s="47">
        <f t="shared" si="9"/>
        <v>1</v>
      </c>
      <c r="C54" s="47">
        <f t="shared" si="25"/>
        <v>2</v>
      </c>
      <c r="D54" s="47" t="str">
        <f t="shared" si="65"/>
        <v>Duke</v>
      </c>
      <c r="E54" s="48">
        <v>2007</v>
      </c>
      <c r="F54" s="207">
        <v>2755.99</v>
      </c>
      <c r="G54" s="50">
        <f t="shared" si="2"/>
        <v>0.18519122341421834</v>
      </c>
      <c r="H54" s="49"/>
      <c r="I54" s="49"/>
      <c r="J54" s="207">
        <v>31786.130399999998</v>
      </c>
      <c r="K54" s="50">
        <f t="shared" ref="K54" si="70">J54/$J$472</f>
        <v>2.9820168339066328E-2</v>
      </c>
      <c r="L54" s="50"/>
      <c r="M54" s="207">
        <v>4470974</v>
      </c>
      <c r="N54" s="207">
        <v>59608.286352569827</v>
      </c>
      <c r="O54" s="49">
        <f t="shared" si="4"/>
        <v>27822.155952569829</v>
      </c>
      <c r="P54" s="50">
        <f t="shared" si="5"/>
        <v>0.46674980367675611</v>
      </c>
      <c r="Q54" s="50">
        <f t="shared" si="6"/>
        <v>0.53325019632324389</v>
      </c>
      <c r="R54" s="50">
        <f t="shared" si="7"/>
        <v>0</v>
      </c>
      <c r="S54" s="50">
        <f t="shared" si="8"/>
        <v>0.53325019632324389</v>
      </c>
      <c r="T54" s="50">
        <f t="shared" si="28"/>
        <v>-0.53325019632324389</v>
      </c>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2:53" x14ac:dyDescent="0.25">
      <c r="B55" s="47">
        <f t="shared" si="9"/>
        <v>1</v>
      </c>
      <c r="C55" s="47">
        <f t="shared" si="25"/>
        <v>2</v>
      </c>
      <c r="D55" s="47" t="str">
        <f t="shared" si="65"/>
        <v>Duke</v>
      </c>
      <c r="E55" s="48">
        <v>2008</v>
      </c>
      <c r="F55" s="207">
        <v>2790.99</v>
      </c>
      <c r="G55" s="50">
        <f t="shared" si="2"/>
        <v>0.18891481543487926</v>
      </c>
      <c r="H55" s="49"/>
      <c r="I55" s="49"/>
      <c r="J55" s="207">
        <v>31394.673599999998</v>
      </c>
      <c r="K55" s="50">
        <f t="shared" ref="K55" si="71">J55/$J$473</f>
        <v>2.7109426315505118E-2</v>
      </c>
      <c r="L55" s="50"/>
      <c r="M55" s="207">
        <v>4618792</v>
      </c>
      <c r="N55" s="207">
        <v>63364.029444485997</v>
      </c>
      <c r="O55" s="49">
        <f t="shared" si="4"/>
        <v>31969.355844485999</v>
      </c>
      <c r="P55" s="50">
        <f t="shared" si="5"/>
        <v>0.50453476719776391</v>
      </c>
      <c r="Q55" s="50">
        <f t="shared" si="6"/>
        <v>0.49546523280223609</v>
      </c>
      <c r="R55" s="50">
        <f t="shared" si="7"/>
        <v>0</v>
      </c>
      <c r="S55" s="50">
        <f t="shared" si="8"/>
        <v>0.49546523280223609</v>
      </c>
      <c r="T55" s="50">
        <f t="shared" si="28"/>
        <v>-0.49546523280223609</v>
      </c>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2:53" x14ac:dyDescent="0.25">
      <c r="B56" s="47">
        <f t="shared" si="9"/>
        <v>1</v>
      </c>
      <c r="C56" s="47">
        <f t="shared" si="25"/>
        <v>2</v>
      </c>
      <c r="D56" s="47" t="str">
        <f t="shared" si="65"/>
        <v>Duke</v>
      </c>
      <c r="E56" s="48">
        <v>2009</v>
      </c>
      <c r="F56" s="207">
        <v>2790.99</v>
      </c>
      <c r="G56" s="50">
        <f t="shared" si="2"/>
        <v>0.19501717373948307</v>
      </c>
      <c r="H56" s="49"/>
      <c r="I56" s="49"/>
      <c r="J56" s="207">
        <v>35099.573999999993</v>
      </c>
      <c r="K56" s="50">
        <f t="shared" ref="K56" si="72">J56/$J$474</f>
        <v>2.9745775390889819E-2</v>
      </c>
      <c r="L56" s="50"/>
      <c r="M56" s="207">
        <v>4767989</v>
      </c>
      <c r="N56" s="207">
        <v>72867.134663025863</v>
      </c>
      <c r="O56" s="49">
        <f t="shared" si="4"/>
        <v>37767.56066302587</v>
      </c>
      <c r="P56" s="50">
        <f t="shared" si="5"/>
        <v>0.51830720169911981</v>
      </c>
      <c r="Q56" s="50">
        <f t="shared" si="6"/>
        <v>0.48169279830088019</v>
      </c>
      <c r="R56" s="50">
        <f t="shared" si="7"/>
        <v>0</v>
      </c>
      <c r="S56" s="50">
        <f t="shared" si="8"/>
        <v>0.48169279830088019</v>
      </c>
      <c r="T56" s="50">
        <f t="shared" si="28"/>
        <v>-0.48169279830088019</v>
      </c>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2:53" x14ac:dyDescent="0.25">
      <c r="B57" s="47">
        <f t="shared" si="9"/>
        <v>1</v>
      </c>
      <c r="C57" s="47">
        <f t="shared" si="25"/>
        <v>2</v>
      </c>
      <c r="D57" s="47" t="str">
        <f t="shared" si="65"/>
        <v>Duke</v>
      </c>
      <c r="E57" s="48">
        <v>2010</v>
      </c>
      <c r="F57" s="207">
        <v>2794.99</v>
      </c>
      <c r="G57" s="50">
        <f t="shared" si="2"/>
        <v>0.19432360553940278</v>
      </c>
      <c r="H57" s="49"/>
      <c r="I57" s="49"/>
      <c r="J57" s="207">
        <v>37789.309200000011</v>
      </c>
      <c r="K57" s="50">
        <f t="shared" ref="K57" si="73">J57/$J$475</f>
        <v>3.0881511739394633E-2</v>
      </c>
      <c r="L57" s="50"/>
      <c r="M57" s="207">
        <v>4757841</v>
      </c>
      <c r="N57" s="207">
        <v>80696.000591124204</v>
      </c>
      <c r="O57" s="49">
        <f t="shared" si="4"/>
        <v>42906.691391124194</v>
      </c>
      <c r="P57" s="50">
        <f t="shared" si="5"/>
        <v>0.53170778076755798</v>
      </c>
      <c r="Q57" s="50">
        <f t="shared" si="6"/>
        <v>0.46829221923244202</v>
      </c>
      <c r="R57" s="50">
        <f t="shared" si="7"/>
        <v>0</v>
      </c>
      <c r="S57" s="50">
        <f t="shared" si="8"/>
        <v>0.46829221923244202</v>
      </c>
      <c r="T57" s="50">
        <f t="shared" si="28"/>
        <v>-0.46829221923244202</v>
      </c>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2:53" x14ac:dyDescent="0.25">
      <c r="B58" s="47">
        <f t="shared" si="9"/>
        <v>1</v>
      </c>
      <c r="C58" s="47">
        <f t="shared" si="25"/>
        <v>2</v>
      </c>
      <c r="D58" s="47" t="str">
        <f t="shared" si="65"/>
        <v>Duke</v>
      </c>
      <c r="E58" s="48">
        <v>2011</v>
      </c>
      <c r="F58" s="207">
        <v>2846.3199999999997</v>
      </c>
      <c r="G58" s="50">
        <f t="shared" si="2"/>
        <v>0.17070203024948918</v>
      </c>
      <c r="H58" s="49"/>
      <c r="I58" s="49"/>
      <c r="J58" s="207">
        <v>37918.287599999996</v>
      </c>
      <c r="K58" s="50">
        <f t="shared" ref="K58" si="74">J58/$J$476</f>
        <v>3.1416055516683333E-2</v>
      </c>
      <c r="L58" s="50"/>
      <c r="M58" s="207">
        <v>4256244</v>
      </c>
      <c r="N58" s="207">
        <v>60530.647345575562</v>
      </c>
      <c r="O58" s="49">
        <f t="shared" si="4"/>
        <v>22612.359745575566</v>
      </c>
      <c r="P58" s="50">
        <f t="shared" si="5"/>
        <v>0.37356877445039249</v>
      </c>
      <c r="Q58" s="50">
        <f t="shared" si="6"/>
        <v>0.62643122554960751</v>
      </c>
      <c r="R58" s="50">
        <f t="shared" si="7"/>
        <v>0</v>
      </c>
      <c r="S58" s="50">
        <f t="shared" si="8"/>
        <v>0.62643122554960751</v>
      </c>
      <c r="T58" s="50">
        <f t="shared" si="28"/>
        <v>-0.62643122554960751</v>
      </c>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2:53" x14ac:dyDescent="0.25">
      <c r="B59" s="47">
        <f t="shared" si="9"/>
        <v>1</v>
      </c>
      <c r="C59" s="47">
        <f t="shared" si="25"/>
        <v>2</v>
      </c>
      <c r="D59" s="47" t="str">
        <f t="shared" si="65"/>
        <v>Duke</v>
      </c>
      <c r="E59" s="48">
        <v>2012</v>
      </c>
      <c r="F59" s="207">
        <v>2851.8999999999996</v>
      </c>
      <c r="G59" s="50">
        <f t="shared" si="2"/>
        <v>0.15971059748519814</v>
      </c>
      <c r="H59" s="49"/>
      <c r="I59" s="49"/>
      <c r="J59" s="207">
        <v>38662.533599999995</v>
      </c>
      <c r="K59" s="50">
        <f t="shared" ref="K59" si="75">J59/$J$477</f>
        <v>3.1052065164815641E-2</v>
      </c>
      <c r="L59" s="50"/>
      <c r="M59" s="207">
        <v>3989993</v>
      </c>
      <c r="N59" s="207">
        <v>45830.905434297907</v>
      </c>
      <c r="O59" s="49">
        <f t="shared" si="4"/>
        <v>7168.3718342979118</v>
      </c>
      <c r="P59" s="50">
        <f t="shared" si="5"/>
        <v>0.15640912537881929</v>
      </c>
      <c r="Q59" s="50">
        <f t="shared" si="6"/>
        <v>0.84359087462118065</v>
      </c>
      <c r="R59" s="50">
        <f t="shared" si="7"/>
        <v>0</v>
      </c>
      <c r="S59" s="50">
        <f t="shared" si="8"/>
        <v>0.84359087462118065</v>
      </c>
      <c r="T59" s="50">
        <f t="shared" si="28"/>
        <v>-0.84359087462118065</v>
      </c>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2:53" x14ac:dyDescent="0.25">
      <c r="B60" s="47">
        <f t="shared" si="9"/>
        <v>1</v>
      </c>
      <c r="C60" s="47">
        <f t="shared" si="25"/>
        <v>2</v>
      </c>
      <c r="D60" s="47" t="str">
        <f t="shared" si="65"/>
        <v>Duke</v>
      </c>
      <c r="E60" s="48">
        <v>2013</v>
      </c>
      <c r="F60" s="207">
        <v>2858.27</v>
      </c>
      <c r="G60" s="50">
        <f t="shared" si="2"/>
        <v>0.21003005410256065</v>
      </c>
      <c r="H60" s="47"/>
      <c r="I60" s="47"/>
      <c r="J60" s="207">
        <v>40244.661599999999</v>
      </c>
      <c r="K60" s="50">
        <f t="shared" ref="K60" si="76">J60/$J$478</f>
        <v>3.2373857067288243E-2</v>
      </c>
      <c r="L60" s="47"/>
      <c r="M60" s="207">
        <v>5258826</v>
      </c>
      <c r="N60" s="207">
        <v>103042.95211776702</v>
      </c>
      <c r="O60" s="49">
        <f t="shared" si="4"/>
        <v>62798.290517767025</v>
      </c>
      <c r="P60" s="50">
        <f t="shared" si="5"/>
        <v>0.60943799869005433</v>
      </c>
      <c r="Q60" s="50">
        <f t="shared" si="6"/>
        <v>0.39056200130994567</v>
      </c>
      <c r="R60" s="50">
        <f t="shared" si="7"/>
        <v>0</v>
      </c>
      <c r="S60" s="50">
        <f t="shared" si="8"/>
        <v>0.39056200130994567</v>
      </c>
      <c r="T60" s="50">
        <f t="shared" si="28"/>
        <v>-0.39056200130994567</v>
      </c>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2:53" x14ac:dyDescent="0.25">
      <c r="B61" s="47">
        <f t="shared" si="9"/>
        <v>1</v>
      </c>
      <c r="C61" s="47">
        <f t="shared" si="25"/>
        <v>2</v>
      </c>
      <c r="D61" s="47" t="str">
        <f>D58</f>
        <v>Duke</v>
      </c>
      <c r="E61" s="48">
        <v>2014</v>
      </c>
      <c r="F61" s="207">
        <v>2858.72</v>
      </c>
      <c r="G61" s="50">
        <f t="shared" si="2"/>
        <v>0.20002026803578854</v>
      </c>
      <c r="H61" s="47"/>
      <c r="I61" s="47"/>
      <c r="J61" s="207">
        <v>39410.038800000002</v>
      </c>
      <c r="K61" s="50">
        <f t="shared" ref="K61" si="77">J61/$J$479</f>
        <v>3.1586577200788411E-2</v>
      </c>
      <c r="L61" s="47"/>
      <c r="M61" s="207">
        <v>5008985</v>
      </c>
      <c r="N61" s="207">
        <v>96298.16556160264</v>
      </c>
      <c r="O61" s="49">
        <f t="shared" si="4"/>
        <v>56888.126761602638</v>
      </c>
      <c r="P61" s="50">
        <f t="shared" si="5"/>
        <v>0.5907498489699774</v>
      </c>
      <c r="Q61" s="50">
        <f t="shared" si="6"/>
        <v>0.4092501510300226</v>
      </c>
      <c r="R61" s="50">
        <f t="shared" si="7"/>
        <v>0</v>
      </c>
      <c r="S61" s="50">
        <f t="shared" si="8"/>
        <v>0.4092501510300226</v>
      </c>
      <c r="T61" s="50">
        <f t="shared" si="28"/>
        <v>-0.4092501510300226</v>
      </c>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2:53" x14ac:dyDescent="0.25">
      <c r="B62" s="47">
        <f t="shared" si="9"/>
        <v>1</v>
      </c>
      <c r="C62" s="47">
        <f t="shared" si="25"/>
        <v>2</v>
      </c>
      <c r="D62" s="47" t="str">
        <f>D59</f>
        <v>Duke</v>
      </c>
      <c r="E62" s="48">
        <v>2015</v>
      </c>
      <c r="F62" s="207">
        <v>2858.72</v>
      </c>
      <c r="G62" s="50">
        <f t="shared" si="2"/>
        <v>0.20015232413625489</v>
      </c>
      <c r="H62" s="47"/>
      <c r="I62" s="47"/>
      <c r="J62" s="207">
        <v>43823.642399999997</v>
      </c>
      <c r="K62" s="50">
        <f t="shared" ref="K62" si="78">J62/$J$480</f>
        <v>3.3251196356920511E-2</v>
      </c>
      <c r="L62" s="47"/>
      <c r="M62" s="207">
        <v>5012292</v>
      </c>
      <c r="N62" s="207">
        <v>55069.330005615098</v>
      </c>
      <c r="O62" s="49">
        <f t="shared" si="4"/>
        <v>11245.687605615101</v>
      </c>
      <c r="P62" s="50">
        <f t="shared" si="5"/>
        <v>0.20420963183079299</v>
      </c>
      <c r="Q62" s="50">
        <f t="shared" si="6"/>
        <v>0.79579036816920701</v>
      </c>
      <c r="R62" s="50">
        <f t="shared" si="7"/>
        <v>0</v>
      </c>
      <c r="S62" s="50">
        <f t="shared" si="8"/>
        <v>0.79579036816920701</v>
      </c>
      <c r="T62" s="50">
        <f t="shared" si="28"/>
        <v>-0.79579036816920701</v>
      </c>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2:53" x14ac:dyDescent="0.25">
      <c r="B63" s="47">
        <f t="shared" si="9"/>
        <v>1</v>
      </c>
      <c r="C63" s="47">
        <f t="shared" si="25"/>
        <v>2</v>
      </c>
      <c r="D63" s="47" t="str">
        <f>D60</f>
        <v>Duke</v>
      </c>
      <c r="E63" s="48">
        <v>2016</v>
      </c>
      <c r="F63" s="207">
        <v>2833.5299999999997</v>
      </c>
      <c r="G63" s="50">
        <f t="shared" si="2"/>
        <v>0.19995437222431639</v>
      </c>
      <c r="H63" s="47"/>
      <c r="I63" s="47"/>
      <c r="J63" s="207">
        <v>46135.789199999999</v>
      </c>
      <c r="K63" s="50">
        <f t="shared" ref="K63" si="79">J63/$J$481</f>
        <v>3.4665462030646542E-2</v>
      </c>
      <c r="L63" s="47"/>
      <c r="M63" s="207">
        <v>4963212</v>
      </c>
      <c r="N63" s="207">
        <v>40177.717163936155</v>
      </c>
      <c r="O63" s="49">
        <f t="shared" si="4"/>
        <v>-5958.0720360638443</v>
      </c>
      <c r="P63" s="50">
        <f t="shared" si="5"/>
        <v>-0.14829294585735842</v>
      </c>
      <c r="Q63" s="50">
        <f t="shared" si="6"/>
        <v>1.1482929458573583</v>
      </c>
      <c r="R63" s="50">
        <f t="shared" si="7"/>
        <v>0</v>
      </c>
      <c r="S63" s="50">
        <f t="shared" si="8"/>
        <v>1.1482929458573583</v>
      </c>
      <c r="T63" s="50">
        <f t="shared" si="28"/>
        <v>-1.1482929458573583</v>
      </c>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2:53" x14ac:dyDescent="0.25">
      <c r="B64" s="47">
        <f t="shared" si="9"/>
        <v>1</v>
      </c>
      <c r="C64" s="47">
        <f t="shared" si="25"/>
        <v>2</v>
      </c>
      <c r="D64" s="47" t="str">
        <f>D60</f>
        <v>Duke</v>
      </c>
      <c r="E64" s="48">
        <v>2017</v>
      </c>
      <c r="F64" s="207">
        <v>2833.5299999999997</v>
      </c>
      <c r="G64" s="50">
        <f t="shared" si="2"/>
        <v>0.19582644360205331</v>
      </c>
      <c r="H64" s="47"/>
      <c r="I64" s="47"/>
      <c r="J64" s="207">
        <v>43720.296000000002</v>
      </c>
      <c r="K64" s="50">
        <f t="shared" ref="K64" si="80">J64/$J$482</f>
        <v>3.3579950577151983E-2</v>
      </c>
      <c r="L64" s="47"/>
      <c r="M64" s="207">
        <v>4860749.7</v>
      </c>
      <c r="N64" s="207">
        <v>43166.359387991142</v>
      </c>
      <c r="O64" s="49">
        <f t="shared" si="4"/>
        <v>-553.93661200885981</v>
      </c>
      <c r="P64" s="50">
        <f t="shared" si="5"/>
        <v>-1.2832599734203313E-2</v>
      </c>
      <c r="Q64" s="50">
        <f t="shared" si="6"/>
        <v>1.0128325997342034</v>
      </c>
      <c r="R64" s="50">
        <f t="shared" si="7"/>
        <v>0</v>
      </c>
      <c r="S64" s="50">
        <f t="shared" si="8"/>
        <v>1.0128325997342034</v>
      </c>
      <c r="T64" s="50">
        <f t="shared" si="28"/>
        <v>-1.0128325997342034</v>
      </c>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2:53" x14ac:dyDescent="0.25">
      <c r="B65" s="47">
        <f t="shared" si="9"/>
        <v>1</v>
      </c>
      <c r="C65" s="47">
        <f t="shared" ref="C65:C69" si="81">IF(D65=D64,C64,C64+1)</f>
        <v>2</v>
      </c>
      <c r="D65" s="47" t="str">
        <f t="shared" ref="D65:D69" si="82">D61</f>
        <v>Duke</v>
      </c>
      <c r="E65" s="48">
        <v>2018</v>
      </c>
      <c r="F65" s="207">
        <v>2857.87</v>
      </c>
      <c r="G65" s="50">
        <f t="shared" ref="G65" si="83">M65/(F65*8760)</f>
        <v>0.21529832872145913</v>
      </c>
      <c r="H65" s="47"/>
      <c r="I65" s="47"/>
      <c r="J65" s="207">
        <v>43982.417999999998</v>
      </c>
      <c r="K65" s="50">
        <f t="shared" ref="K65" si="84">J65/$J$483</f>
        <v>3.1346525142576132E-2</v>
      </c>
      <c r="L65" s="47"/>
      <c r="M65" s="208">
        <v>5389981</v>
      </c>
      <c r="N65" s="207">
        <v>89068.146224005031</v>
      </c>
      <c r="O65" s="49">
        <f t="shared" ref="O65" si="85">N65-J65</f>
        <v>45085.728224005034</v>
      </c>
      <c r="P65" s="50">
        <f t="shared" ref="P65" si="86">O65/N65</f>
        <v>0.50619362965762316</v>
      </c>
      <c r="Q65" s="50">
        <f t="shared" ref="Q65" si="87">1-P65</f>
        <v>0.49380637034237684</v>
      </c>
      <c r="R65" s="50">
        <f t="shared" ref="R65" si="88">Q65*L65</f>
        <v>0</v>
      </c>
      <c r="S65" s="50">
        <f t="shared" ref="S65" si="89">Q65-R65</f>
        <v>0.49380637034237684</v>
      </c>
      <c r="T65" s="50">
        <f t="shared" ref="T65" si="90">R65-S65</f>
        <v>-0.49380637034237684</v>
      </c>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row>
    <row r="66" spans="2:53" x14ac:dyDescent="0.25">
      <c r="B66" s="47">
        <f t="shared" si="9"/>
        <v>1</v>
      </c>
      <c r="C66" s="47">
        <f t="shared" si="81"/>
        <v>2</v>
      </c>
      <c r="D66" s="47" t="str">
        <f t="shared" si="82"/>
        <v>Duke</v>
      </c>
      <c r="E66" s="48">
        <v>2019</v>
      </c>
      <c r="F66" s="207">
        <v>2872.63</v>
      </c>
      <c r="G66" s="50">
        <f t="shared" si="2"/>
        <v>0.21935803597603754</v>
      </c>
      <c r="H66" s="47"/>
      <c r="I66" s="47"/>
      <c r="J66" s="207">
        <v>43388.597999999998</v>
      </c>
      <c r="K66" s="50">
        <f t="shared" ref="K66" si="91">J66/$J$484</f>
        <v>3.1509948029908842E-2</v>
      </c>
      <c r="L66" s="47"/>
      <c r="M66" s="207">
        <v>5519978</v>
      </c>
      <c r="N66" s="207">
        <v>131517.15554884737</v>
      </c>
      <c r="O66" s="49">
        <f t="shared" ref="O66:O70" si="92">N66-J66</f>
        <v>88128.55754884737</v>
      </c>
      <c r="P66" s="50">
        <f t="shared" ref="P66:P70" si="93">O66/N66</f>
        <v>0.670091724391919</v>
      </c>
      <c r="Q66" s="50">
        <f t="shared" ref="Q66:Q70" si="94">1-P66</f>
        <v>0.329908275608081</v>
      </c>
      <c r="R66" s="50">
        <f t="shared" ref="R66:R70" si="95">Q66*L66</f>
        <v>0</v>
      </c>
      <c r="S66" s="50">
        <f t="shared" ref="S66:S70" si="96">Q66-R66</f>
        <v>0.329908275608081</v>
      </c>
      <c r="T66" s="50">
        <f t="shared" ref="T66:T70" si="97">R66-S66</f>
        <v>-0.329908275608081</v>
      </c>
      <c r="U66" s="298"/>
      <c r="V66" s="298"/>
      <c r="W66" s="298"/>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2:53" x14ac:dyDescent="0.25">
      <c r="B67" s="47">
        <f t="shared" si="9"/>
        <v>1</v>
      </c>
      <c r="C67" s="47">
        <f t="shared" si="81"/>
        <v>2</v>
      </c>
      <c r="D67" s="47" t="str">
        <f t="shared" si="82"/>
        <v>Duke</v>
      </c>
      <c r="E67" s="48">
        <v>2020</v>
      </c>
      <c r="F67" s="207">
        <v>3240.3999999999996</v>
      </c>
      <c r="G67" s="50">
        <f t="shared" si="2"/>
        <v>0.20073692562336576</v>
      </c>
      <c r="H67" s="47"/>
      <c r="I67" s="47"/>
      <c r="J67" s="207">
        <v>38292.621599999999</v>
      </c>
      <c r="K67" s="50">
        <f t="shared" ref="K67" si="98">J67/$J$485</f>
        <v>2.7648822214396122E-2</v>
      </c>
      <c r="L67" s="47"/>
      <c r="M67" s="207">
        <v>5698099.0999999996</v>
      </c>
      <c r="N67" s="207">
        <v>85057.387034971078</v>
      </c>
      <c r="O67" s="49">
        <f t="shared" si="92"/>
        <v>46764.765434971079</v>
      </c>
      <c r="P67" s="50">
        <f t="shared" si="93"/>
        <v>0.54980251645567124</v>
      </c>
      <c r="Q67" s="50">
        <f t="shared" si="94"/>
        <v>0.45019748354432876</v>
      </c>
      <c r="R67" s="50">
        <f t="shared" si="95"/>
        <v>0</v>
      </c>
      <c r="S67" s="50">
        <f t="shared" si="96"/>
        <v>0.45019748354432876</v>
      </c>
      <c r="T67" s="50">
        <f t="shared" si="97"/>
        <v>-0.45019748354432876</v>
      </c>
      <c r="U67" s="298"/>
      <c r="V67" s="298"/>
      <c r="W67" s="298"/>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2:53" x14ac:dyDescent="0.25">
      <c r="B68" s="47">
        <f t="shared" si="9"/>
        <v>1</v>
      </c>
      <c r="C68" s="47">
        <f t="shared" si="81"/>
        <v>2</v>
      </c>
      <c r="D68" s="47" t="str">
        <f t="shared" si="82"/>
        <v>Duke</v>
      </c>
      <c r="E68" s="48">
        <v>2021</v>
      </c>
      <c r="F68" s="207">
        <v>3249</v>
      </c>
      <c r="G68" s="50">
        <f t="shared" si="2"/>
        <v>0.16626461109916504</v>
      </c>
      <c r="H68" s="47"/>
      <c r="I68" s="47"/>
      <c r="J68" s="207">
        <v>42491.917199999996</v>
      </c>
      <c r="K68" s="50">
        <f t="shared" ref="K68" si="99">J68/$J$486</f>
        <v>2.9325309364773813E-2</v>
      </c>
      <c r="L68" s="47"/>
      <c r="M68" s="207">
        <v>4732097</v>
      </c>
      <c r="N68" s="207">
        <v>163958.06044972889</v>
      </c>
      <c r="O68" s="49">
        <f t="shared" si="92"/>
        <v>121466.14324972889</v>
      </c>
      <c r="P68" s="50">
        <f t="shared" si="93"/>
        <v>0.74083666833184803</v>
      </c>
      <c r="Q68" s="50">
        <f t="shared" si="94"/>
        <v>0.25916333166815197</v>
      </c>
      <c r="R68" s="50">
        <f t="shared" si="95"/>
        <v>0</v>
      </c>
      <c r="S68" s="50">
        <f t="shared" si="96"/>
        <v>0.25916333166815197</v>
      </c>
      <c r="T68" s="50">
        <f t="shared" si="97"/>
        <v>-0.25916333166815197</v>
      </c>
      <c r="U68" s="298"/>
      <c r="V68" s="298"/>
      <c r="W68" s="298"/>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2:53" x14ac:dyDescent="0.25">
      <c r="B69" s="47">
        <f t="shared" si="9"/>
        <v>1</v>
      </c>
      <c r="C69" s="47">
        <f t="shared" si="81"/>
        <v>2</v>
      </c>
      <c r="D69" s="47" t="str">
        <f t="shared" si="82"/>
        <v>Duke</v>
      </c>
      <c r="E69" s="48">
        <v>2022</v>
      </c>
      <c r="F69" s="207">
        <v>3248</v>
      </c>
      <c r="G69" s="50">
        <f t="shared" si="2"/>
        <v>0.15784258525091663</v>
      </c>
      <c r="H69" s="47"/>
      <c r="I69" s="47"/>
      <c r="J69" s="207">
        <v>44750.385599999994</v>
      </c>
      <c r="K69" s="50">
        <f t="shared" ref="K69" si="100">J69/$J$487</f>
        <v>3.0439440080066767E-2</v>
      </c>
      <c r="L69" s="47"/>
      <c r="M69" s="207">
        <v>4491013</v>
      </c>
      <c r="N69" s="207">
        <v>371187.00925119634</v>
      </c>
      <c r="O69" s="49">
        <f t="shared" si="92"/>
        <v>326436.62365119637</v>
      </c>
      <c r="P69" s="50">
        <f t="shared" si="93"/>
        <v>0.87943978510919363</v>
      </c>
      <c r="Q69" s="50">
        <f t="shared" si="94"/>
        <v>0.12056021489080637</v>
      </c>
      <c r="R69" s="50">
        <f t="shared" si="95"/>
        <v>0</v>
      </c>
      <c r="S69" s="50">
        <f t="shared" si="96"/>
        <v>0.12056021489080637</v>
      </c>
      <c r="T69" s="50">
        <f t="shared" si="97"/>
        <v>-0.12056021489080637</v>
      </c>
      <c r="U69" s="298"/>
      <c r="V69" s="298"/>
      <c r="W69" s="298"/>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2:53" x14ac:dyDescent="0.25">
      <c r="B70" s="47">
        <f t="shared" si="9"/>
        <v>1</v>
      </c>
      <c r="C70" s="47">
        <f>IF(D70=D64,C64,C64+1)</f>
        <v>2</v>
      </c>
      <c r="D70" s="47" t="str">
        <f>D61</f>
        <v>Duke</v>
      </c>
      <c r="E70" s="48">
        <v>2023</v>
      </c>
      <c r="F70" s="207">
        <v>3367</v>
      </c>
      <c r="G70" s="50">
        <f t="shared" si="2"/>
        <v>0.15414946031384388</v>
      </c>
      <c r="H70" s="47"/>
      <c r="I70" s="47"/>
      <c r="J70" s="207">
        <v>44716.692000000003</v>
      </c>
      <c r="K70" s="50">
        <f t="shared" ref="K70" si="101">J70/$J$488</f>
        <v>2.7994731333662714E-2</v>
      </c>
      <c r="L70" s="47"/>
      <c r="M70" s="207">
        <v>4546626</v>
      </c>
      <c r="N70" s="207">
        <v>130219.62331792405</v>
      </c>
      <c r="O70" s="49">
        <f t="shared" si="92"/>
        <v>85502.931317924056</v>
      </c>
      <c r="P70" s="50">
        <f t="shared" si="93"/>
        <v>0.65660558016800086</v>
      </c>
      <c r="Q70" s="50">
        <f t="shared" si="94"/>
        <v>0.34339441983199914</v>
      </c>
      <c r="R70" s="50">
        <f t="shared" si="95"/>
        <v>0</v>
      </c>
      <c r="S70" s="50">
        <f t="shared" si="96"/>
        <v>0.34339441983199914</v>
      </c>
      <c r="T70" s="50">
        <f t="shared" si="97"/>
        <v>-0.34339441983199914</v>
      </c>
      <c r="U70" s="298"/>
      <c r="V70" s="298"/>
      <c r="W70" s="298"/>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2:53" x14ac:dyDescent="0.25">
      <c r="B71" s="44">
        <f t="shared" si="9"/>
        <v>1</v>
      </c>
      <c r="C71" s="44">
        <f t="shared" si="25"/>
        <v>3</v>
      </c>
      <c r="D71" s="44" t="str">
        <f>'OPG hydro peers'!D7</f>
        <v>VA Electric</v>
      </c>
      <c r="E71" s="45">
        <v>2002</v>
      </c>
      <c r="F71" s="206">
        <v>1718</v>
      </c>
      <c r="G71" s="51">
        <f t="shared" si="2"/>
        <v>0.18245623827217589</v>
      </c>
      <c r="H71" s="46"/>
      <c r="I71" s="46"/>
      <c r="J71" s="206">
        <v>7201.6620000000003</v>
      </c>
      <c r="K71" s="51">
        <f t="shared" ref="K71" si="102">J71/$J$467</f>
        <v>9.3850345749002858E-3</v>
      </c>
      <c r="L71" s="51"/>
      <c r="M71" s="206">
        <v>2745908</v>
      </c>
      <c r="N71" s="206">
        <v>10113.742162086493</v>
      </c>
      <c r="O71" s="46">
        <f t="shared" si="4"/>
        <v>2912.0801620864931</v>
      </c>
      <c r="P71" s="51">
        <f t="shared" si="5"/>
        <v>0.28793300396791238</v>
      </c>
      <c r="Q71" s="51">
        <f t="shared" si="6"/>
        <v>0.71206699603208756</v>
      </c>
      <c r="R71" s="51">
        <f t="shared" si="7"/>
        <v>0</v>
      </c>
      <c r="S71" s="51">
        <f t="shared" si="8"/>
        <v>0.71206699603208756</v>
      </c>
      <c r="T71" s="51">
        <f t="shared" si="28"/>
        <v>-0.71206699603208756</v>
      </c>
      <c r="U71" s="298"/>
      <c r="V71" s="298"/>
      <c r="W71" s="298"/>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2:53" x14ac:dyDescent="0.25">
      <c r="B72" s="44">
        <f t="shared" si="9"/>
        <v>1</v>
      </c>
      <c r="C72" s="44">
        <f t="shared" si="25"/>
        <v>3</v>
      </c>
      <c r="D72" s="44" t="str">
        <f t="shared" ref="D72:D82" si="103">D71</f>
        <v>VA Electric</v>
      </c>
      <c r="E72" s="45">
        <v>2003</v>
      </c>
      <c r="F72" s="206">
        <v>2379</v>
      </c>
      <c r="G72" s="51">
        <f t="shared" si="2"/>
        <v>0.16910116295362196</v>
      </c>
      <c r="H72" s="46"/>
      <c r="I72" s="46"/>
      <c r="J72" s="206">
        <v>7223.2524000000003</v>
      </c>
      <c r="K72" s="51">
        <f t="shared" ref="K72" si="104">J72/$J$468</f>
        <v>8.5170716282201245E-3</v>
      </c>
      <c r="L72" s="51"/>
      <c r="M72" s="206">
        <v>3524075</v>
      </c>
      <c r="N72" s="206">
        <v>58971.955838132271</v>
      </c>
      <c r="O72" s="46">
        <f t="shared" si="4"/>
        <v>51748.703438132274</v>
      </c>
      <c r="P72" s="51">
        <f t="shared" si="5"/>
        <v>0.87751377248150686</v>
      </c>
      <c r="Q72" s="51">
        <f t="shared" si="6"/>
        <v>0.12248622751849314</v>
      </c>
      <c r="R72" s="51">
        <f t="shared" si="7"/>
        <v>0</v>
      </c>
      <c r="S72" s="51">
        <f t="shared" si="8"/>
        <v>0.12248622751849314</v>
      </c>
      <c r="T72" s="51">
        <f t="shared" si="28"/>
        <v>-0.12248622751849314</v>
      </c>
      <c r="U72" s="298"/>
      <c r="V72" s="298"/>
      <c r="W72" s="298"/>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2:53" x14ac:dyDescent="0.25">
      <c r="B73" s="44">
        <f t="shared" si="9"/>
        <v>1</v>
      </c>
      <c r="C73" s="44">
        <f t="shared" si="25"/>
        <v>3</v>
      </c>
      <c r="D73" s="44" t="str">
        <f t="shared" si="103"/>
        <v>VA Electric</v>
      </c>
      <c r="E73" s="45">
        <v>2004</v>
      </c>
      <c r="F73" s="206">
        <v>2379</v>
      </c>
      <c r="G73" s="51">
        <f t="shared" si="2"/>
        <v>0.14741137732941012</v>
      </c>
      <c r="H73" s="46"/>
      <c r="I73" s="46"/>
      <c r="J73" s="206">
        <v>7707.6275999999998</v>
      </c>
      <c r="K73" s="51">
        <f t="shared" ref="K73" si="105">J73/$J$469</f>
        <v>8.7228145419574101E-3</v>
      </c>
      <c r="L73" s="51"/>
      <c r="M73" s="206">
        <v>3072059</v>
      </c>
      <c r="N73" s="206">
        <v>40511.460496864362</v>
      </c>
      <c r="O73" s="46">
        <f t="shared" si="4"/>
        <v>32803.832896864362</v>
      </c>
      <c r="P73" s="51">
        <f t="shared" si="5"/>
        <v>0.80974204569601782</v>
      </c>
      <c r="Q73" s="51">
        <f t="shared" si="6"/>
        <v>0.19025795430398218</v>
      </c>
      <c r="R73" s="51">
        <f t="shared" si="7"/>
        <v>0</v>
      </c>
      <c r="S73" s="51">
        <f t="shared" si="8"/>
        <v>0.19025795430398218</v>
      </c>
      <c r="T73" s="51">
        <f t="shared" si="28"/>
        <v>-0.19025795430398218</v>
      </c>
      <c r="U73" s="298"/>
      <c r="V73" s="298"/>
      <c r="W73" s="298"/>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2:53" x14ac:dyDescent="0.25">
      <c r="B74" s="44">
        <f t="shared" si="9"/>
        <v>1</v>
      </c>
      <c r="C74" s="44">
        <f t="shared" si="25"/>
        <v>3</v>
      </c>
      <c r="D74" s="44" t="str">
        <f t="shared" si="103"/>
        <v>VA Electric</v>
      </c>
      <c r="E74" s="45">
        <v>2005</v>
      </c>
      <c r="F74" s="206">
        <v>2379</v>
      </c>
      <c r="G74" s="51">
        <f t="shared" si="2"/>
        <v>0.12423647939255396</v>
      </c>
      <c r="H74" s="46"/>
      <c r="I74" s="46"/>
      <c r="J74" s="206">
        <v>9384.8963999999996</v>
      </c>
      <c r="K74" s="51">
        <f t="shared" ref="K74" si="106">J74/$J$470</f>
        <v>1.0102039013144562E-2</v>
      </c>
      <c r="L74" s="51"/>
      <c r="M74" s="206">
        <v>2589093.2000000002</v>
      </c>
      <c r="N74" s="206">
        <v>42373.296484732899</v>
      </c>
      <c r="O74" s="46">
        <f t="shared" si="4"/>
        <v>32988.400084732901</v>
      </c>
      <c r="P74" s="51">
        <f t="shared" si="5"/>
        <v>0.77851861482192264</v>
      </c>
      <c r="Q74" s="51">
        <f t="shared" si="6"/>
        <v>0.22148138517807736</v>
      </c>
      <c r="R74" s="51">
        <f t="shared" si="7"/>
        <v>0</v>
      </c>
      <c r="S74" s="51">
        <f t="shared" si="8"/>
        <v>0.22148138517807736</v>
      </c>
      <c r="T74" s="51">
        <f t="shared" si="28"/>
        <v>-0.22148138517807736</v>
      </c>
      <c r="U74" s="298"/>
      <c r="V74" s="298"/>
      <c r="W74" s="298"/>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2:53" x14ac:dyDescent="0.25">
      <c r="B75" s="44">
        <f t="shared" si="9"/>
        <v>1</v>
      </c>
      <c r="C75" s="44">
        <f t="shared" si="25"/>
        <v>3</v>
      </c>
      <c r="D75" s="44" t="str">
        <f t="shared" si="103"/>
        <v>VA Electric</v>
      </c>
      <c r="E75" s="45">
        <v>2006</v>
      </c>
      <c r="F75" s="206">
        <v>2379</v>
      </c>
      <c r="G75" s="51">
        <f t="shared" si="2"/>
        <v>0.14059361690284664</v>
      </c>
      <c r="H75" s="46"/>
      <c r="I75" s="46"/>
      <c r="J75" s="206">
        <v>10714.976400000001</v>
      </c>
      <c r="K75" s="51">
        <f t="shared" ref="K75" si="107">J75/$J$471</f>
        <v>1.0885049922070379E-2</v>
      </c>
      <c r="L75" s="51"/>
      <c r="M75" s="206">
        <v>2929976.6</v>
      </c>
      <c r="N75" s="206">
        <v>31230.892745736317</v>
      </c>
      <c r="O75" s="46">
        <f t="shared" si="4"/>
        <v>20515.916345736317</v>
      </c>
      <c r="P75" s="51">
        <f t="shared" si="5"/>
        <v>0.65691097954723621</v>
      </c>
      <c r="Q75" s="51">
        <f t="shared" si="6"/>
        <v>0.34308902045276379</v>
      </c>
      <c r="R75" s="51">
        <f t="shared" si="7"/>
        <v>0</v>
      </c>
      <c r="S75" s="51">
        <f t="shared" si="8"/>
        <v>0.34308902045276379</v>
      </c>
      <c r="T75" s="51">
        <f t="shared" si="28"/>
        <v>-0.34308902045276379</v>
      </c>
      <c r="U75" s="298"/>
      <c r="V75" s="298"/>
      <c r="W75" s="298"/>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2:53" x14ac:dyDescent="0.25">
      <c r="B76" s="44">
        <f t="shared" si="9"/>
        <v>1</v>
      </c>
      <c r="C76" s="44">
        <f t="shared" si="25"/>
        <v>3</v>
      </c>
      <c r="D76" s="44" t="str">
        <f t="shared" si="103"/>
        <v>VA Electric</v>
      </c>
      <c r="E76" s="45">
        <v>2007</v>
      </c>
      <c r="F76" s="206">
        <v>1694</v>
      </c>
      <c r="G76" s="51">
        <f t="shared" si="2"/>
        <v>0.18650304863256295</v>
      </c>
      <c r="H76" s="46"/>
      <c r="I76" s="46"/>
      <c r="J76" s="206">
        <v>11498.254800000001</v>
      </c>
      <c r="K76" s="51">
        <f t="shared" ref="K76" si="108">J76/$J$472</f>
        <v>1.0787091395732695E-2</v>
      </c>
      <c r="L76" s="51"/>
      <c r="M76" s="206">
        <v>2767600.8</v>
      </c>
      <c r="N76" s="206">
        <v>32892.761358000476</v>
      </c>
      <c r="O76" s="46">
        <f t="shared" si="4"/>
        <v>21394.506558000474</v>
      </c>
      <c r="P76" s="51">
        <f t="shared" si="5"/>
        <v>0.65043206087641858</v>
      </c>
      <c r="Q76" s="51">
        <f t="shared" si="6"/>
        <v>0.34956793912358142</v>
      </c>
      <c r="R76" s="51">
        <f t="shared" si="7"/>
        <v>0</v>
      </c>
      <c r="S76" s="51">
        <f t="shared" si="8"/>
        <v>0.34956793912358142</v>
      </c>
      <c r="T76" s="51">
        <f t="shared" si="28"/>
        <v>-0.34956793912358142</v>
      </c>
      <c r="U76" s="298"/>
      <c r="V76" s="298"/>
      <c r="W76" s="298"/>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2:53" x14ac:dyDescent="0.25">
      <c r="B77" s="44">
        <f t="shared" si="9"/>
        <v>1</v>
      </c>
      <c r="C77" s="44">
        <f t="shared" si="25"/>
        <v>3</v>
      </c>
      <c r="D77" s="44" t="str">
        <f t="shared" si="103"/>
        <v>VA Electric</v>
      </c>
      <c r="E77" s="45">
        <v>2008</v>
      </c>
      <c r="F77" s="206">
        <v>1950</v>
      </c>
      <c r="G77" s="51">
        <f t="shared" si="2"/>
        <v>0.11967088162978574</v>
      </c>
      <c r="H77" s="46"/>
      <c r="I77" s="46"/>
      <c r="J77" s="206">
        <v>12290.0268</v>
      </c>
      <c r="K77" s="51">
        <f t="shared" ref="K77" si="109">J77/$J$473</f>
        <v>1.0612487334481578E-2</v>
      </c>
      <c r="L77" s="51"/>
      <c r="M77" s="206">
        <v>2044218</v>
      </c>
      <c r="N77" s="206">
        <v>30065.955524110621</v>
      </c>
      <c r="O77" s="46">
        <f t="shared" si="4"/>
        <v>17775.928724110621</v>
      </c>
      <c r="P77" s="51">
        <f t="shared" si="5"/>
        <v>0.59123112551189905</v>
      </c>
      <c r="Q77" s="51">
        <f t="shared" si="6"/>
        <v>0.40876887448810095</v>
      </c>
      <c r="R77" s="51">
        <f t="shared" si="7"/>
        <v>0</v>
      </c>
      <c r="S77" s="51">
        <f t="shared" si="8"/>
        <v>0.40876887448810095</v>
      </c>
      <c r="T77" s="51">
        <f t="shared" si="28"/>
        <v>-0.40876887448810095</v>
      </c>
      <c r="U77" s="298"/>
      <c r="V77" s="298"/>
      <c r="W77" s="298"/>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2:53" x14ac:dyDescent="0.25">
      <c r="B78" s="44">
        <f t="shared" si="9"/>
        <v>1</v>
      </c>
      <c r="C78" s="44">
        <f t="shared" si="25"/>
        <v>3</v>
      </c>
      <c r="D78" s="44" t="str">
        <f t="shared" si="103"/>
        <v>VA Electric</v>
      </c>
      <c r="E78" s="45">
        <v>2009</v>
      </c>
      <c r="F78" s="206">
        <v>2080</v>
      </c>
      <c r="G78" s="51">
        <f t="shared" si="2"/>
        <v>0.15440930145767476</v>
      </c>
      <c r="H78" s="46"/>
      <c r="I78" s="46"/>
      <c r="J78" s="206">
        <v>11833.383599999999</v>
      </c>
      <c r="K78" s="51">
        <f t="shared" ref="K78" si="110">J78/$J$474</f>
        <v>1.0028417173377636E-2</v>
      </c>
      <c r="L78" s="51"/>
      <c r="M78" s="206">
        <v>2813461</v>
      </c>
      <c r="N78" s="206">
        <v>31753.508631463188</v>
      </c>
      <c r="O78" s="46">
        <f t="shared" si="4"/>
        <v>19920.125031463191</v>
      </c>
      <c r="P78" s="51">
        <f t="shared" si="5"/>
        <v>0.62733618708595862</v>
      </c>
      <c r="Q78" s="51">
        <f t="shared" si="6"/>
        <v>0.37266381291404138</v>
      </c>
      <c r="R78" s="51">
        <f t="shared" si="7"/>
        <v>0</v>
      </c>
      <c r="S78" s="51">
        <f t="shared" si="8"/>
        <v>0.37266381291404138</v>
      </c>
      <c r="T78" s="51">
        <f t="shared" si="28"/>
        <v>-0.37266381291404138</v>
      </c>
      <c r="U78" s="298"/>
      <c r="V78" s="298"/>
      <c r="W78" s="298"/>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2:53" x14ac:dyDescent="0.25">
      <c r="B79" s="44">
        <f t="shared" si="9"/>
        <v>1</v>
      </c>
      <c r="C79" s="44">
        <f t="shared" si="25"/>
        <v>3</v>
      </c>
      <c r="D79" s="44" t="str">
        <f t="shared" si="103"/>
        <v>VA Electric</v>
      </c>
      <c r="E79" s="45">
        <v>2010</v>
      </c>
      <c r="F79" s="206">
        <v>2080</v>
      </c>
      <c r="G79" s="51">
        <f t="shared" si="2"/>
        <v>0.17907203525641024</v>
      </c>
      <c r="H79" s="46"/>
      <c r="I79" s="46"/>
      <c r="J79" s="206">
        <v>10270.866</v>
      </c>
      <c r="K79" s="51">
        <f t="shared" ref="K79" si="111">J79/$J$475</f>
        <v>8.393375683955321E-3</v>
      </c>
      <c r="L79" s="51"/>
      <c r="M79" s="206">
        <v>3262835.7399999998</v>
      </c>
      <c r="N79" s="206">
        <v>41422.946103651753</v>
      </c>
      <c r="O79" s="46">
        <f t="shared" si="4"/>
        <v>31152.080103651751</v>
      </c>
      <c r="P79" s="51">
        <f t="shared" si="5"/>
        <v>0.75204887710547108</v>
      </c>
      <c r="Q79" s="51">
        <f t="shared" si="6"/>
        <v>0.24795112289452892</v>
      </c>
      <c r="R79" s="51">
        <f t="shared" si="7"/>
        <v>0</v>
      </c>
      <c r="S79" s="51">
        <f t="shared" si="8"/>
        <v>0.24795112289452892</v>
      </c>
      <c r="T79" s="51">
        <f t="shared" si="28"/>
        <v>-0.24795112289452892</v>
      </c>
      <c r="U79" s="298"/>
      <c r="V79" s="298"/>
      <c r="W79" s="298"/>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2:53" x14ac:dyDescent="0.25">
      <c r="B80" s="44">
        <f t="shared" si="9"/>
        <v>1</v>
      </c>
      <c r="C80" s="44">
        <f t="shared" si="25"/>
        <v>3</v>
      </c>
      <c r="D80" s="44" t="str">
        <f t="shared" si="103"/>
        <v>VA Electric</v>
      </c>
      <c r="E80" s="45">
        <v>2011</v>
      </c>
      <c r="F80" s="206">
        <v>2080</v>
      </c>
      <c r="G80" s="51">
        <f t="shared" si="2"/>
        <v>0.16115412001668425</v>
      </c>
      <c r="H80" s="46"/>
      <c r="I80" s="46"/>
      <c r="J80" s="206">
        <v>11057.346</v>
      </c>
      <c r="K80" s="51">
        <f t="shared" ref="K80" si="112">J80/$J$476</f>
        <v>9.161231104834397E-3</v>
      </c>
      <c r="L80" s="51"/>
      <c r="M80" s="206">
        <v>2936356.99</v>
      </c>
      <c r="N80" s="206">
        <v>20815.584094076719</v>
      </c>
      <c r="O80" s="46">
        <f t="shared" si="4"/>
        <v>9758.2380940767198</v>
      </c>
      <c r="P80" s="51">
        <f t="shared" si="5"/>
        <v>0.46879482458786842</v>
      </c>
      <c r="Q80" s="51">
        <f t="shared" si="6"/>
        <v>0.53120517541213164</v>
      </c>
      <c r="R80" s="51">
        <f t="shared" si="7"/>
        <v>0</v>
      </c>
      <c r="S80" s="51">
        <f t="shared" si="8"/>
        <v>0.53120517541213164</v>
      </c>
      <c r="T80" s="51">
        <f t="shared" si="28"/>
        <v>-0.53120517541213164</v>
      </c>
      <c r="U80" s="298"/>
      <c r="V80" s="298"/>
      <c r="W80" s="298"/>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2:53" x14ac:dyDescent="0.25">
      <c r="B81" s="44">
        <f t="shared" si="9"/>
        <v>1</v>
      </c>
      <c r="C81" s="44">
        <f t="shared" si="25"/>
        <v>3</v>
      </c>
      <c r="D81" s="44" t="str">
        <f t="shared" si="103"/>
        <v>VA Electric</v>
      </c>
      <c r="E81" s="45">
        <v>2012</v>
      </c>
      <c r="F81" s="206">
        <v>2122</v>
      </c>
      <c r="G81" s="51">
        <f t="shared" si="2"/>
        <v>0.24182379582886826</v>
      </c>
      <c r="H81" s="46"/>
      <c r="I81" s="46"/>
      <c r="J81" s="206">
        <v>10261.131599999999</v>
      </c>
      <c r="K81" s="51">
        <f t="shared" ref="K81" si="113">J81/$J$477</f>
        <v>8.2412945412338161E-3</v>
      </c>
      <c r="L81" s="51"/>
      <c r="M81" s="206">
        <v>4495194.83</v>
      </c>
      <c r="N81" s="206">
        <v>13437.213832345307</v>
      </c>
      <c r="O81" s="46">
        <f t="shared" si="4"/>
        <v>3176.0822323453085</v>
      </c>
      <c r="P81" s="51">
        <f t="shared" si="5"/>
        <v>0.23636464165659266</v>
      </c>
      <c r="Q81" s="51">
        <f t="shared" si="6"/>
        <v>0.76363535834340734</v>
      </c>
      <c r="R81" s="51">
        <f t="shared" si="7"/>
        <v>0</v>
      </c>
      <c r="S81" s="51">
        <f t="shared" si="8"/>
        <v>0.76363535834340734</v>
      </c>
      <c r="T81" s="51">
        <f t="shared" si="28"/>
        <v>-0.76363535834340734</v>
      </c>
      <c r="U81" s="298"/>
      <c r="V81" s="298"/>
      <c r="W81" s="298"/>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2:53" x14ac:dyDescent="0.25">
      <c r="B82" s="44">
        <f t="shared" si="9"/>
        <v>1</v>
      </c>
      <c r="C82" s="44">
        <f t="shared" si="25"/>
        <v>3</v>
      </c>
      <c r="D82" s="44" t="str">
        <f t="shared" si="103"/>
        <v>VA Electric</v>
      </c>
      <c r="E82" s="45">
        <v>2013</v>
      </c>
      <c r="F82" s="206">
        <v>2122</v>
      </c>
      <c r="G82" s="51">
        <f t="shared" si="2"/>
        <v>0.15774044097710871</v>
      </c>
      <c r="H82" s="44"/>
      <c r="I82" s="44"/>
      <c r="J82" s="206">
        <v>9802.5876000000007</v>
      </c>
      <c r="K82" s="51">
        <f t="shared" ref="K82" si="114">J82/$J$478</f>
        <v>7.8854575298993729E-3</v>
      </c>
      <c r="L82" s="44"/>
      <c r="M82" s="206">
        <v>2932192.89</v>
      </c>
      <c r="N82" s="206">
        <v>28867.20292609253</v>
      </c>
      <c r="O82" s="46">
        <f t="shared" si="4"/>
        <v>19064.615326092528</v>
      </c>
      <c r="P82" s="51">
        <f t="shared" si="5"/>
        <v>0.66042475174691673</v>
      </c>
      <c r="Q82" s="51">
        <f t="shared" si="6"/>
        <v>0.33957524825308327</v>
      </c>
      <c r="R82" s="51">
        <f t="shared" si="7"/>
        <v>0</v>
      </c>
      <c r="S82" s="51">
        <f t="shared" si="8"/>
        <v>0.33957524825308327</v>
      </c>
      <c r="T82" s="51">
        <f t="shared" si="28"/>
        <v>-0.33957524825308327</v>
      </c>
      <c r="U82" s="298"/>
      <c r="V82" s="298"/>
      <c r="W82" s="298"/>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2:53" x14ac:dyDescent="0.25">
      <c r="B83" s="44">
        <f t="shared" si="9"/>
        <v>1</v>
      </c>
      <c r="C83" s="44">
        <f t="shared" si="25"/>
        <v>3</v>
      </c>
      <c r="D83" s="44" t="str">
        <f>D80</f>
        <v>VA Electric</v>
      </c>
      <c r="E83" s="45">
        <v>2014</v>
      </c>
      <c r="F83" s="206">
        <v>2122</v>
      </c>
      <c r="G83" s="51">
        <f t="shared" si="2"/>
        <v>0.16653830979217502</v>
      </c>
      <c r="H83" s="44"/>
      <c r="I83" s="44"/>
      <c r="J83" s="206">
        <v>12740.473199999999</v>
      </c>
      <c r="K83" s="51">
        <f t="shared" ref="K83" si="115">J83/$J$479</f>
        <v>1.021130535670459E-2</v>
      </c>
      <c r="L83" s="44"/>
      <c r="M83" s="206">
        <v>3095734.01</v>
      </c>
      <c r="N83" s="206">
        <v>49416.798609104873</v>
      </c>
      <c r="O83" s="46">
        <f t="shared" si="4"/>
        <v>36676.325409104873</v>
      </c>
      <c r="P83" s="51">
        <f t="shared" si="5"/>
        <v>0.74218335548647596</v>
      </c>
      <c r="Q83" s="51">
        <f t="shared" si="6"/>
        <v>0.25781664451352404</v>
      </c>
      <c r="R83" s="51">
        <f t="shared" si="7"/>
        <v>0</v>
      </c>
      <c r="S83" s="51">
        <f t="shared" si="8"/>
        <v>0.25781664451352404</v>
      </c>
      <c r="T83" s="51">
        <f t="shared" si="28"/>
        <v>-0.25781664451352404</v>
      </c>
      <c r="U83" s="298"/>
      <c r="V83" s="298"/>
      <c r="W83" s="298"/>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2:53" x14ac:dyDescent="0.25">
      <c r="B84" s="44">
        <f t="shared" si="9"/>
        <v>1</v>
      </c>
      <c r="C84" s="44">
        <f t="shared" si="25"/>
        <v>3</v>
      </c>
      <c r="D84" s="44" t="str">
        <f>D81</f>
        <v>VA Electric</v>
      </c>
      <c r="E84" s="45">
        <v>2015</v>
      </c>
      <c r="F84" s="206">
        <v>2122</v>
      </c>
      <c r="G84" s="51">
        <f t="shared" si="2"/>
        <v>0.15005442924526272</v>
      </c>
      <c r="H84" s="44"/>
      <c r="I84" s="44"/>
      <c r="J84" s="206">
        <v>12003.8256</v>
      </c>
      <c r="K84" s="51">
        <f t="shared" ref="K84" si="116">J84/$J$480</f>
        <v>9.1079047792665731E-3</v>
      </c>
      <c r="L84" s="44"/>
      <c r="M84" s="206">
        <v>2789319.77</v>
      </c>
      <c r="N84" s="206">
        <v>27173.378858247514</v>
      </c>
      <c r="O84" s="46">
        <f t="shared" si="4"/>
        <v>15169.553258247513</v>
      </c>
      <c r="P84" s="51">
        <f t="shared" si="5"/>
        <v>0.55825053400171232</v>
      </c>
      <c r="Q84" s="51">
        <f t="shared" si="6"/>
        <v>0.44174946599828768</v>
      </c>
      <c r="R84" s="51">
        <f t="shared" si="7"/>
        <v>0</v>
      </c>
      <c r="S84" s="51">
        <f t="shared" si="8"/>
        <v>0.44174946599828768</v>
      </c>
      <c r="T84" s="51">
        <f t="shared" si="28"/>
        <v>-0.44174946599828768</v>
      </c>
      <c r="U84" s="298"/>
      <c r="V84" s="298"/>
      <c r="W84" s="298"/>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2:53" x14ac:dyDescent="0.25">
      <c r="B85" s="44">
        <f t="shared" si="9"/>
        <v>1</v>
      </c>
      <c r="C85" s="44">
        <f t="shared" si="25"/>
        <v>3</v>
      </c>
      <c r="D85" s="44" t="str">
        <f>D82</f>
        <v>VA Electric</v>
      </c>
      <c r="E85" s="45">
        <v>2016</v>
      </c>
      <c r="F85" s="206">
        <v>2122</v>
      </c>
      <c r="G85" s="51">
        <f t="shared" ref="G85:G168" si="117">M85/(F85*8760)</f>
        <v>0.14638367891925858</v>
      </c>
      <c r="H85" s="44"/>
      <c r="I85" s="44"/>
      <c r="J85" s="206">
        <v>15059.003999999999</v>
      </c>
      <c r="K85" s="51">
        <f t="shared" ref="K85" si="118">J85/$J$481</f>
        <v>1.1315019000072818E-2</v>
      </c>
      <c r="L85" s="44"/>
      <c r="M85" s="206">
        <v>2721085.22</v>
      </c>
      <c r="N85" s="206">
        <v>28638.824259042387</v>
      </c>
      <c r="O85" s="46">
        <f t="shared" ref="O85:O168" si="119">N85-J85</f>
        <v>13579.820259042388</v>
      </c>
      <c r="P85" s="51">
        <f t="shared" ref="P85:P168" si="120">O85/N85</f>
        <v>0.47417520133546376</v>
      </c>
      <c r="Q85" s="51">
        <f t="shared" ref="Q85:Q168" si="121">1-P85</f>
        <v>0.52582479866453624</v>
      </c>
      <c r="R85" s="51">
        <f t="shared" ref="R85:R168" si="122">Q85*L85</f>
        <v>0</v>
      </c>
      <c r="S85" s="51">
        <f t="shared" ref="S85:S168" si="123">Q85-R85</f>
        <v>0.52582479866453624</v>
      </c>
      <c r="T85" s="51">
        <f t="shared" si="28"/>
        <v>-0.52582479866453624</v>
      </c>
      <c r="U85" s="298"/>
      <c r="V85" s="298"/>
      <c r="W85" s="298"/>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2:53" x14ac:dyDescent="0.25">
      <c r="B86" s="44">
        <f t="shared" ref="B86:B169" si="124">B85</f>
        <v>1</v>
      </c>
      <c r="C86" s="44">
        <f t="shared" si="25"/>
        <v>3</v>
      </c>
      <c r="D86" s="44" t="str">
        <f>D82</f>
        <v>VA Electric</v>
      </c>
      <c r="E86" s="45">
        <v>2017</v>
      </c>
      <c r="F86" s="206">
        <v>2122</v>
      </c>
      <c r="G86" s="51">
        <f t="shared" si="117"/>
        <v>0.14656370696852716</v>
      </c>
      <c r="H86" s="44"/>
      <c r="I86" s="44"/>
      <c r="J86" s="206">
        <v>15551.440799999998</v>
      </c>
      <c r="K86" s="51">
        <f t="shared" ref="K86" si="125">J86/$J$482</f>
        <v>1.1944489430435348E-2</v>
      </c>
      <c r="L86" s="44"/>
      <c r="M86" s="206">
        <v>2724431.7110000001</v>
      </c>
      <c r="N86" s="206">
        <v>18128.862946434754</v>
      </c>
      <c r="O86" s="46">
        <f t="shared" si="119"/>
        <v>2577.4221464347556</v>
      </c>
      <c r="P86" s="51">
        <f t="shared" si="120"/>
        <v>0.14217230027334035</v>
      </c>
      <c r="Q86" s="51">
        <f t="shared" si="121"/>
        <v>0.85782769972665962</v>
      </c>
      <c r="R86" s="51">
        <f t="shared" si="122"/>
        <v>0</v>
      </c>
      <c r="S86" s="51">
        <f t="shared" si="123"/>
        <v>0.85782769972665962</v>
      </c>
      <c r="T86" s="51">
        <f t="shared" si="28"/>
        <v>-0.85782769972665962</v>
      </c>
      <c r="U86" s="298"/>
      <c r="V86" s="298"/>
      <c r="W86" s="298"/>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2:53" x14ac:dyDescent="0.25">
      <c r="B87" s="44">
        <f t="shared" si="124"/>
        <v>1</v>
      </c>
      <c r="C87" s="44">
        <f t="shared" si="25"/>
        <v>3</v>
      </c>
      <c r="D87" s="44" t="str">
        <f t="shared" ref="D87:D91" si="126">D83</f>
        <v>VA Electric</v>
      </c>
      <c r="E87" s="45">
        <v>2018</v>
      </c>
      <c r="F87" s="206">
        <v>2122</v>
      </c>
      <c r="G87" s="51">
        <f t="shared" ref="G87:G92" si="127">M87/(F87*8760)</f>
        <v>0.17755190228267465</v>
      </c>
      <c r="H87" s="44"/>
      <c r="I87" s="44"/>
      <c r="J87" s="206">
        <v>16139.1576</v>
      </c>
      <c r="K87" s="51">
        <f t="shared" ref="K87" si="128">J87/$J$483</f>
        <v>1.1502471498688379E-2</v>
      </c>
      <c r="L87" s="44"/>
      <c r="M87" s="206">
        <v>3300462.5970000001</v>
      </c>
      <c r="N87" s="206">
        <v>37781.555275814062</v>
      </c>
      <c r="O87" s="46">
        <f t="shared" ref="O87:O88" si="129">N87-J87</f>
        <v>21642.397675814063</v>
      </c>
      <c r="P87" s="51">
        <f t="shared" ref="P87:P88" si="130">O87/N87</f>
        <v>0.57282971857086273</v>
      </c>
      <c r="Q87" s="51">
        <f t="shared" ref="Q87:Q88" si="131">1-P87</f>
        <v>0.42717028142913727</v>
      </c>
      <c r="R87" s="51">
        <f t="shared" ref="R87:R88" si="132">Q87*L87</f>
        <v>0</v>
      </c>
      <c r="S87" s="51">
        <f t="shared" ref="S87:S88" si="133">Q87-R87</f>
        <v>0.42717028142913727</v>
      </c>
      <c r="T87" s="51">
        <f t="shared" ref="T87:T88" si="134">R87-S87</f>
        <v>-0.42717028142913727</v>
      </c>
      <c r="U87" s="298"/>
      <c r="V87" s="298"/>
      <c r="W87" s="298"/>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2:53" x14ac:dyDescent="0.25">
      <c r="B88" s="44">
        <f t="shared" si="124"/>
        <v>1</v>
      </c>
      <c r="C88" s="44">
        <f t="shared" si="25"/>
        <v>3</v>
      </c>
      <c r="D88" s="44" t="str">
        <f t="shared" si="126"/>
        <v>VA Electric</v>
      </c>
      <c r="E88" s="45">
        <v>2019</v>
      </c>
      <c r="F88" s="206">
        <v>2032.2</v>
      </c>
      <c r="G88" s="51">
        <f t="shared" si="127"/>
        <v>0.1463462193052584</v>
      </c>
      <c r="H88" s="44"/>
      <c r="I88" s="44"/>
      <c r="J88" s="206">
        <v>16139.1576</v>
      </c>
      <c r="K88" s="51">
        <f t="shared" ref="K88" si="135">J88/$J$484</f>
        <v>1.1720683328429012E-2</v>
      </c>
      <c r="L88" s="44"/>
      <c r="M88" s="206">
        <v>2605265.9330000002</v>
      </c>
      <c r="N88" s="206">
        <v>22403.251966892403</v>
      </c>
      <c r="O88" s="46">
        <f t="shared" si="129"/>
        <v>6264.0943668924028</v>
      </c>
      <c r="P88" s="51">
        <f t="shared" si="130"/>
        <v>0.27960647749485212</v>
      </c>
      <c r="Q88" s="51">
        <f t="shared" si="131"/>
        <v>0.72039352250514788</v>
      </c>
      <c r="R88" s="51">
        <f t="shared" si="132"/>
        <v>0</v>
      </c>
      <c r="S88" s="51">
        <f t="shared" si="133"/>
        <v>0.72039352250514788</v>
      </c>
      <c r="T88" s="51">
        <f t="shared" si="134"/>
        <v>-0.72039352250514788</v>
      </c>
      <c r="U88" s="298"/>
      <c r="V88" s="298"/>
      <c r="W88" s="298"/>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2:53" x14ac:dyDescent="0.25">
      <c r="B89" s="44">
        <f t="shared" si="124"/>
        <v>1</v>
      </c>
      <c r="C89" s="44">
        <f t="shared" si="25"/>
        <v>3</v>
      </c>
      <c r="D89" s="44" t="str">
        <f t="shared" si="126"/>
        <v>VA Electric</v>
      </c>
      <c r="E89" s="45">
        <v>2020</v>
      </c>
      <c r="F89" s="206">
        <v>2032.2</v>
      </c>
      <c r="G89" s="51">
        <f t="shared" si="117"/>
        <v>0.15631916346591565</v>
      </c>
      <c r="H89" s="44"/>
      <c r="I89" s="44"/>
      <c r="J89" s="206">
        <v>15831.034799999999</v>
      </c>
      <c r="K89" s="51">
        <f t="shared" ref="K89" si="136">J89/$J$485</f>
        <v>1.1430647690497066E-2</v>
      </c>
      <c r="L89" s="44"/>
      <c r="M89" s="206">
        <v>2782805.003</v>
      </c>
      <c r="N89" s="206">
        <v>19555.298827675037</v>
      </c>
      <c r="O89" s="46">
        <f t="shared" ref="O89:O92" si="137">N89-J89</f>
        <v>3724.2640276750371</v>
      </c>
      <c r="P89" s="51">
        <f t="shared" ref="P89:P92" si="138">O89/N89</f>
        <v>0.19044781982080411</v>
      </c>
      <c r="Q89" s="51">
        <f t="shared" ref="Q89:Q92" si="139">1-P89</f>
        <v>0.80955218017919583</v>
      </c>
      <c r="R89" s="51">
        <f t="shared" ref="R89:R92" si="140">Q89*L89</f>
        <v>0</v>
      </c>
      <c r="S89" s="51">
        <f t="shared" ref="S89:S92" si="141">Q89-R89</f>
        <v>0.80955218017919583</v>
      </c>
      <c r="T89" s="51">
        <f t="shared" ref="T89:T92" si="142">R89-S89</f>
        <v>-0.80955218017919583</v>
      </c>
      <c r="U89" s="298"/>
      <c r="V89" s="298"/>
      <c r="W89" s="298"/>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2:53" x14ac:dyDescent="0.25">
      <c r="B90" s="44">
        <f t="shared" si="124"/>
        <v>1</v>
      </c>
      <c r="C90" s="44">
        <f t="shared" si="25"/>
        <v>3</v>
      </c>
      <c r="D90" s="44" t="str">
        <f t="shared" si="126"/>
        <v>VA Electric</v>
      </c>
      <c r="E90" s="45">
        <v>2021</v>
      </c>
      <c r="F90" s="206">
        <v>2032.2</v>
      </c>
      <c r="G90" s="51">
        <f t="shared" si="117"/>
        <v>0.14242845018265288</v>
      </c>
      <c r="H90" s="44"/>
      <c r="I90" s="44"/>
      <c r="J90" s="206">
        <v>21431.804399999997</v>
      </c>
      <c r="K90" s="51">
        <f t="shared" ref="K90" si="143">J90/$J$486</f>
        <v>1.4790914030005702E-2</v>
      </c>
      <c r="L90" s="44"/>
      <c r="M90" s="206">
        <v>2535521.5249999999</v>
      </c>
      <c r="N90" s="206">
        <v>26388.213602345495</v>
      </c>
      <c r="O90" s="46">
        <f t="shared" si="137"/>
        <v>4956.4092023454978</v>
      </c>
      <c r="P90" s="51">
        <f t="shared" si="138"/>
        <v>0.1878266288516382</v>
      </c>
      <c r="Q90" s="51">
        <f t="shared" si="139"/>
        <v>0.81217337114836186</v>
      </c>
      <c r="R90" s="51">
        <f t="shared" si="140"/>
        <v>0</v>
      </c>
      <c r="S90" s="51">
        <f t="shared" si="141"/>
        <v>0.81217337114836186</v>
      </c>
      <c r="T90" s="51">
        <f t="shared" si="142"/>
        <v>-0.81217337114836186</v>
      </c>
      <c r="U90" s="298"/>
      <c r="V90" s="298"/>
      <c r="W90" s="298"/>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2:53" x14ac:dyDescent="0.25">
      <c r="B91" s="44">
        <f t="shared" si="124"/>
        <v>1</v>
      </c>
      <c r="C91" s="44">
        <f t="shared" si="25"/>
        <v>3</v>
      </c>
      <c r="D91" s="44" t="str">
        <f t="shared" si="126"/>
        <v>VA Electric</v>
      </c>
      <c r="E91" s="45">
        <v>2022</v>
      </c>
      <c r="F91" s="206">
        <v>2032.2</v>
      </c>
      <c r="G91" s="51">
        <f t="shared" si="117"/>
        <v>0.17613216321111386</v>
      </c>
      <c r="H91" s="44"/>
      <c r="I91" s="44"/>
      <c r="J91" s="206">
        <v>20075.060399999998</v>
      </c>
      <c r="K91" s="51">
        <f t="shared" ref="K91" si="144">J91/$J$487</f>
        <v>1.3655158273083601E-2</v>
      </c>
      <c r="L91" s="44"/>
      <c r="M91" s="206">
        <v>3135517.4509999999</v>
      </c>
      <c r="N91" s="206">
        <v>40098.678451441498</v>
      </c>
      <c r="O91" s="46">
        <f t="shared" si="137"/>
        <v>20023.618051441499</v>
      </c>
      <c r="P91" s="51">
        <f t="shared" si="138"/>
        <v>0.49935855306776761</v>
      </c>
      <c r="Q91" s="51">
        <f t="shared" si="139"/>
        <v>0.50064144693223245</v>
      </c>
      <c r="R91" s="51">
        <f t="shared" si="140"/>
        <v>0</v>
      </c>
      <c r="S91" s="51">
        <f t="shared" si="141"/>
        <v>0.50064144693223245</v>
      </c>
      <c r="T91" s="51">
        <f t="shared" si="142"/>
        <v>-0.50064144693223245</v>
      </c>
      <c r="U91" s="298"/>
      <c r="V91" s="298"/>
      <c r="W91" s="298"/>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2:53" x14ac:dyDescent="0.25">
      <c r="B92" s="44">
        <f t="shared" si="124"/>
        <v>1</v>
      </c>
      <c r="C92" s="44">
        <f>IF(D92=D86,C86,C86+1)</f>
        <v>3</v>
      </c>
      <c r="D92" s="44" t="str">
        <f>D83</f>
        <v>VA Electric</v>
      </c>
      <c r="E92" s="45">
        <v>2023</v>
      </c>
      <c r="F92" s="206">
        <v>2032.2</v>
      </c>
      <c r="G92" s="51">
        <f t="shared" si="127"/>
        <v>0.15873950352520763</v>
      </c>
      <c r="H92" s="44"/>
      <c r="I92" s="44"/>
      <c r="J92" s="206">
        <v>24588.958799999997</v>
      </c>
      <c r="K92" s="51">
        <f t="shared" ref="K92" si="145">J92/$J$488</f>
        <v>1.5393833143572011E-2</v>
      </c>
      <c r="L92" s="44"/>
      <c r="M92" s="206">
        <v>2825892.071</v>
      </c>
      <c r="N92" s="206">
        <v>21983.248707451417</v>
      </c>
      <c r="O92" s="46">
        <f t="shared" si="137"/>
        <v>-2605.7100925485793</v>
      </c>
      <c r="P92" s="51">
        <f t="shared" si="138"/>
        <v>-0.11853162047269887</v>
      </c>
      <c r="Q92" s="51">
        <f t="shared" si="139"/>
        <v>1.1185316204726989</v>
      </c>
      <c r="R92" s="51">
        <f t="shared" si="140"/>
        <v>0</v>
      </c>
      <c r="S92" s="51">
        <f t="shared" si="141"/>
        <v>1.1185316204726989</v>
      </c>
      <c r="T92" s="51">
        <f t="shared" si="142"/>
        <v>-1.1185316204726989</v>
      </c>
      <c r="U92" s="298"/>
      <c r="V92" s="298"/>
      <c r="W92" s="298"/>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2:53" x14ac:dyDescent="0.25">
      <c r="B93" s="47">
        <f t="shared" si="124"/>
        <v>1</v>
      </c>
      <c r="C93" s="47">
        <f t="shared" si="25"/>
        <v>4</v>
      </c>
      <c r="D93" s="47" t="str">
        <f>'OPG hydro peers'!D8</f>
        <v>ID Power</v>
      </c>
      <c r="E93" s="48">
        <v>2002</v>
      </c>
      <c r="F93" s="207">
        <v>1695.38</v>
      </c>
      <c r="G93" s="50">
        <f t="shared" si="117"/>
        <v>0.40214344801997753</v>
      </c>
      <c r="H93" s="49"/>
      <c r="I93" s="49"/>
      <c r="J93" s="207">
        <v>19055.4768</v>
      </c>
      <c r="K93" s="50">
        <f t="shared" ref="K93" si="146">J93/$J$467</f>
        <v>2.4832643993735092E-2</v>
      </c>
      <c r="L93" s="50"/>
      <c r="M93" s="207">
        <v>5972445</v>
      </c>
      <c r="N93" s="207">
        <v>160964.50696602545</v>
      </c>
      <c r="O93" s="49">
        <f t="shared" si="119"/>
        <v>141909.03016602545</v>
      </c>
      <c r="P93" s="50">
        <f t="shared" si="120"/>
        <v>0.88161690325916375</v>
      </c>
      <c r="Q93" s="50">
        <f t="shared" si="121"/>
        <v>0.11838309674083625</v>
      </c>
      <c r="R93" s="50">
        <f t="shared" si="122"/>
        <v>0</v>
      </c>
      <c r="S93" s="50">
        <f t="shared" si="123"/>
        <v>0.11838309674083625</v>
      </c>
      <c r="T93" s="50">
        <f t="shared" si="28"/>
        <v>-0.11838309674083625</v>
      </c>
      <c r="U93" s="298"/>
      <c r="V93" s="298"/>
      <c r="W93" s="298"/>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2:53" x14ac:dyDescent="0.25">
      <c r="B94" s="47">
        <f t="shared" si="124"/>
        <v>1</v>
      </c>
      <c r="C94" s="47">
        <f t="shared" si="25"/>
        <v>4</v>
      </c>
      <c r="D94" s="47" t="str">
        <f t="shared" ref="D94:D104" si="147">D93</f>
        <v>ID Power</v>
      </c>
      <c r="E94" s="48">
        <v>2003</v>
      </c>
      <c r="F94" s="207">
        <v>1695.38</v>
      </c>
      <c r="G94" s="50">
        <f t="shared" si="117"/>
        <v>0.40998358364291759</v>
      </c>
      <c r="H94" s="49"/>
      <c r="I94" s="49"/>
      <c r="J94" s="207">
        <v>20078.089200000002</v>
      </c>
      <c r="K94" s="50">
        <f t="shared" ref="K94" si="148">J94/$J$468</f>
        <v>2.3674449459109709E-2</v>
      </c>
      <c r="L94" s="50"/>
      <c r="M94" s="207">
        <v>6088883</v>
      </c>
      <c r="N94" s="207">
        <v>277588.90147020435</v>
      </c>
      <c r="O94" s="49">
        <f t="shared" si="119"/>
        <v>257510.81227020436</v>
      </c>
      <c r="P94" s="50">
        <f t="shared" si="120"/>
        <v>0.92766969755037154</v>
      </c>
      <c r="Q94" s="50">
        <f t="shared" si="121"/>
        <v>7.2330302449628459E-2</v>
      </c>
      <c r="R94" s="50">
        <f t="shared" si="122"/>
        <v>0</v>
      </c>
      <c r="S94" s="50">
        <f t="shared" si="123"/>
        <v>7.2330302449628459E-2</v>
      </c>
      <c r="T94" s="50">
        <f t="shared" si="28"/>
        <v>-7.2330302449628459E-2</v>
      </c>
      <c r="U94" s="298"/>
      <c r="V94" s="298"/>
      <c r="W94" s="298"/>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2:53" x14ac:dyDescent="0.25">
      <c r="B95" s="47">
        <f t="shared" si="124"/>
        <v>1</v>
      </c>
      <c r="C95" s="47">
        <f t="shared" si="25"/>
        <v>4</v>
      </c>
      <c r="D95" s="47" t="str">
        <f t="shared" si="147"/>
        <v>ID Power</v>
      </c>
      <c r="E95" s="48">
        <v>2004</v>
      </c>
      <c r="F95" s="207">
        <v>1695.38</v>
      </c>
      <c r="G95" s="50">
        <f t="shared" si="117"/>
        <v>0.4021234500787555</v>
      </c>
      <c r="H95" s="49"/>
      <c r="I95" s="49"/>
      <c r="J95" s="207">
        <v>23484.8112</v>
      </c>
      <c r="K95" s="50">
        <f t="shared" ref="K95" si="149">J95/$J$469</f>
        <v>2.6578042334386296E-2</v>
      </c>
      <c r="L95" s="50"/>
      <c r="M95" s="207">
        <v>5972148</v>
      </c>
      <c r="N95" s="207">
        <v>298110.50513034739</v>
      </c>
      <c r="O95" s="49">
        <f t="shared" si="119"/>
        <v>274625.69393034739</v>
      </c>
      <c r="P95" s="50">
        <f t="shared" si="120"/>
        <v>0.92122112171212689</v>
      </c>
      <c r="Q95" s="50">
        <f t="shared" si="121"/>
        <v>7.8778878287873111E-2</v>
      </c>
      <c r="R95" s="50">
        <f t="shared" si="122"/>
        <v>0</v>
      </c>
      <c r="S95" s="50">
        <f t="shared" si="123"/>
        <v>7.8778878287873111E-2</v>
      </c>
      <c r="T95" s="50">
        <f t="shared" si="28"/>
        <v>-7.8778878287873111E-2</v>
      </c>
      <c r="U95" s="298"/>
      <c r="V95" s="298"/>
      <c r="W95" s="298"/>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2:53" x14ac:dyDescent="0.25">
      <c r="B96" s="47">
        <f t="shared" si="124"/>
        <v>1</v>
      </c>
      <c r="C96" s="47">
        <f t="shared" si="25"/>
        <v>4</v>
      </c>
      <c r="D96" s="47" t="str">
        <f t="shared" si="147"/>
        <v>ID Power</v>
      </c>
      <c r="E96" s="48">
        <v>2005</v>
      </c>
      <c r="F96" s="207">
        <v>1695.38</v>
      </c>
      <c r="G96" s="50">
        <f t="shared" si="117"/>
        <v>0.41375019923874773</v>
      </c>
      <c r="H96" s="49"/>
      <c r="I96" s="49"/>
      <c r="J96" s="207">
        <v>24411.049200000001</v>
      </c>
      <c r="K96" s="50">
        <f t="shared" ref="K96" si="150">J96/$J$470</f>
        <v>2.6276408482270659E-2</v>
      </c>
      <c r="L96" s="50"/>
      <c r="M96" s="207">
        <v>6144823</v>
      </c>
      <c r="N96" s="207">
        <v>421024.35377626214</v>
      </c>
      <c r="O96" s="49">
        <f t="shared" si="119"/>
        <v>396613.30457626213</v>
      </c>
      <c r="P96" s="50">
        <f t="shared" si="120"/>
        <v>0.94201986421675654</v>
      </c>
      <c r="Q96" s="50">
        <f t="shared" si="121"/>
        <v>5.7980135783243458E-2</v>
      </c>
      <c r="R96" s="50">
        <f t="shared" si="122"/>
        <v>0</v>
      </c>
      <c r="S96" s="50">
        <f t="shared" si="123"/>
        <v>5.7980135783243458E-2</v>
      </c>
      <c r="T96" s="50">
        <f t="shared" si="28"/>
        <v>-5.7980135783243458E-2</v>
      </c>
      <c r="U96" s="298"/>
      <c r="V96" s="298"/>
      <c r="W96" s="298"/>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2:53" x14ac:dyDescent="0.25">
      <c r="B97" s="47">
        <f t="shared" si="124"/>
        <v>1</v>
      </c>
      <c r="C97" s="47">
        <f t="shared" si="25"/>
        <v>4</v>
      </c>
      <c r="D97" s="47" t="str">
        <f t="shared" si="147"/>
        <v>ID Power</v>
      </c>
      <c r="E97" s="48">
        <v>2006</v>
      </c>
      <c r="F97" s="207">
        <v>1695.38</v>
      </c>
      <c r="G97" s="50">
        <f t="shared" si="117"/>
        <v>0.61545313772680421</v>
      </c>
      <c r="H97" s="49"/>
      <c r="I97" s="49"/>
      <c r="J97" s="207">
        <v>26491.121999999999</v>
      </c>
      <c r="K97" s="50">
        <f t="shared" ref="K97" si="151">J97/$J$471</f>
        <v>2.6911602480212356E-2</v>
      </c>
      <c r="L97" s="50"/>
      <c r="M97" s="207">
        <v>9140420</v>
      </c>
      <c r="N97" s="207">
        <v>495855.66314495687</v>
      </c>
      <c r="O97" s="49">
        <f t="shared" si="119"/>
        <v>469364.54114495689</v>
      </c>
      <c r="P97" s="50">
        <f t="shared" si="120"/>
        <v>0.94657493305212959</v>
      </c>
      <c r="Q97" s="50">
        <f t="shared" si="121"/>
        <v>5.3425066947870414E-2</v>
      </c>
      <c r="R97" s="50">
        <f t="shared" si="122"/>
        <v>0</v>
      </c>
      <c r="S97" s="50">
        <f t="shared" si="123"/>
        <v>5.3425066947870414E-2</v>
      </c>
      <c r="T97" s="50">
        <f t="shared" si="28"/>
        <v>-5.3425066947870414E-2</v>
      </c>
      <c r="U97" s="298"/>
      <c r="V97" s="298"/>
      <c r="W97" s="298"/>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2:53" x14ac:dyDescent="0.25">
      <c r="B98" s="47">
        <f t="shared" si="124"/>
        <v>1</v>
      </c>
      <c r="C98" s="47">
        <f t="shared" si="25"/>
        <v>4</v>
      </c>
      <c r="D98" s="47" t="str">
        <f t="shared" si="147"/>
        <v>ID Power</v>
      </c>
      <c r="E98" s="48">
        <v>2007</v>
      </c>
      <c r="F98" s="207">
        <v>1695.38</v>
      </c>
      <c r="G98" s="50">
        <f t="shared" si="117"/>
        <v>0.4115001278521575</v>
      </c>
      <c r="H98" s="49"/>
      <c r="I98" s="49"/>
      <c r="J98" s="207">
        <v>27803.518799999998</v>
      </c>
      <c r="K98" s="50">
        <f t="shared" ref="K98" si="152">J98/$J$472</f>
        <v>2.6083880000517316E-2</v>
      </c>
      <c r="L98" s="50"/>
      <c r="M98" s="207">
        <v>6111406</v>
      </c>
      <c r="N98" s="207">
        <v>385090.61453950102</v>
      </c>
      <c r="O98" s="49">
        <f t="shared" si="119"/>
        <v>357287.095739501</v>
      </c>
      <c r="P98" s="50">
        <f t="shared" si="120"/>
        <v>0.92780006120572944</v>
      </c>
      <c r="Q98" s="50">
        <f t="shared" si="121"/>
        <v>7.2199938794270557E-2</v>
      </c>
      <c r="R98" s="50">
        <f t="shared" si="122"/>
        <v>0</v>
      </c>
      <c r="S98" s="50">
        <f t="shared" si="123"/>
        <v>7.2199938794270557E-2</v>
      </c>
      <c r="T98" s="50">
        <f t="shared" si="28"/>
        <v>-7.2199938794270557E-2</v>
      </c>
      <c r="U98" s="298"/>
      <c r="V98" s="298"/>
      <c r="W98" s="298"/>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2:53" x14ac:dyDescent="0.25">
      <c r="B99" s="47">
        <f t="shared" si="124"/>
        <v>1</v>
      </c>
      <c r="C99" s="47">
        <f t="shared" si="25"/>
        <v>4</v>
      </c>
      <c r="D99" s="47" t="str">
        <f t="shared" si="147"/>
        <v>ID Power</v>
      </c>
      <c r="E99" s="48">
        <v>2008</v>
      </c>
      <c r="F99" s="207">
        <v>1695.38</v>
      </c>
      <c r="G99" s="50">
        <f t="shared" si="117"/>
        <v>0.46053817705285666</v>
      </c>
      <c r="H99" s="49"/>
      <c r="I99" s="49"/>
      <c r="J99" s="207">
        <v>29496.9696</v>
      </c>
      <c r="K99" s="50">
        <f t="shared" ref="K99" si="153">J99/$J$473</f>
        <v>2.5470751315659308E-2</v>
      </c>
      <c r="L99" s="50"/>
      <c r="M99" s="207">
        <v>6839696</v>
      </c>
      <c r="N99" s="207">
        <v>505836.59144263074</v>
      </c>
      <c r="O99" s="49">
        <f t="shared" si="119"/>
        <v>476339.62184263073</v>
      </c>
      <c r="P99" s="50">
        <f t="shared" si="120"/>
        <v>0.94168676189305411</v>
      </c>
      <c r="Q99" s="50">
        <f t="shared" si="121"/>
        <v>5.8313238106945886E-2</v>
      </c>
      <c r="R99" s="50">
        <f t="shared" si="122"/>
        <v>0</v>
      </c>
      <c r="S99" s="50">
        <f t="shared" si="123"/>
        <v>5.8313238106945886E-2</v>
      </c>
      <c r="T99" s="50">
        <f t="shared" si="28"/>
        <v>-5.8313238106945886E-2</v>
      </c>
      <c r="U99" s="298"/>
      <c r="V99" s="298"/>
      <c r="W99" s="298"/>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2:53" x14ac:dyDescent="0.25">
      <c r="B100" s="47">
        <f t="shared" si="124"/>
        <v>1</v>
      </c>
      <c r="C100" s="47">
        <f t="shared" si="25"/>
        <v>4</v>
      </c>
      <c r="D100" s="47" t="str">
        <f t="shared" si="147"/>
        <v>ID Power</v>
      </c>
      <c r="E100" s="48">
        <v>2009</v>
      </c>
      <c r="F100" s="207">
        <v>1695.38</v>
      </c>
      <c r="G100" s="50">
        <f t="shared" si="117"/>
        <v>0.54055593253133638</v>
      </c>
      <c r="H100" s="49"/>
      <c r="I100" s="49"/>
      <c r="J100" s="207">
        <v>29112.899999999998</v>
      </c>
      <c r="K100" s="50">
        <f t="shared" ref="K100" si="154">J100/$J$474</f>
        <v>2.4672259109966298E-2</v>
      </c>
      <c r="L100" s="50"/>
      <c r="M100" s="207">
        <v>8028082</v>
      </c>
      <c r="N100" s="207">
        <v>297019.13289631624</v>
      </c>
      <c r="O100" s="49">
        <f t="shared" si="119"/>
        <v>267906.23289631621</v>
      </c>
      <c r="P100" s="50">
        <f t="shared" si="120"/>
        <v>0.90198308197821453</v>
      </c>
      <c r="Q100" s="50">
        <f t="shared" si="121"/>
        <v>9.8016918021785471E-2</v>
      </c>
      <c r="R100" s="50">
        <f t="shared" si="122"/>
        <v>0</v>
      </c>
      <c r="S100" s="50">
        <f t="shared" si="123"/>
        <v>9.8016918021785471E-2</v>
      </c>
      <c r="T100" s="50">
        <f t="shared" si="28"/>
        <v>-9.8016918021785471E-2</v>
      </c>
      <c r="U100" s="298"/>
      <c r="V100" s="298"/>
      <c r="W100" s="298"/>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2:53" x14ac:dyDescent="0.25">
      <c r="B101" s="47">
        <f t="shared" si="124"/>
        <v>1</v>
      </c>
      <c r="C101" s="47">
        <f t="shared" si="25"/>
        <v>4</v>
      </c>
      <c r="D101" s="47" t="str">
        <f t="shared" si="147"/>
        <v>ID Power</v>
      </c>
      <c r="E101" s="48">
        <v>2010</v>
      </c>
      <c r="F101" s="207">
        <v>1695.38</v>
      </c>
      <c r="G101" s="50">
        <f t="shared" si="117"/>
        <v>0.48997124120986113</v>
      </c>
      <c r="H101" s="49"/>
      <c r="I101" s="49"/>
      <c r="J101" s="207">
        <v>30217.7196</v>
      </c>
      <c r="K101" s="50">
        <f t="shared" ref="K101" si="155">J101/$J$475</f>
        <v>2.4693991033980983E-2</v>
      </c>
      <c r="L101" s="50"/>
      <c r="M101" s="207">
        <v>7276822</v>
      </c>
      <c r="N101" s="207">
        <v>285741.95907750307</v>
      </c>
      <c r="O101" s="49">
        <f t="shared" si="119"/>
        <v>255524.23947750306</v>
      </c>
      <c r="P101" s="50">
        <f t="shared" si="120"/>
        <v>0.89424822417556138</v>
      </c>
      <c r="Q101" s="50">
        <f t="shared" si="121"/>
        <v>0.10575177582443862</v>
      </c>
      <c r="R101" s="50">
        <f t="shared" si="122"/>
        <v>0</v>
      </c>
      <c r="S101" s="50">
        <f t="shared" si="123"/>
        <v>0.10575177582443862</v>
      </c>
      <c r="T101" s="50">
        <f t="shared" si="28"/>
        <v>-0.10575177582443862</v>
      </c>
      <c r="U101" s="298"/>
      <c r="V101" s="298"/>
      <c r="W101" s="298"/>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2:53" x14ac:dyDescent="0.25">
      <c r="B102" s="47">
        <f t="shared" si="124"/>
        <v>1</v>
      </c>
      <c r="C102" s="47">
        <f t="shared" si="25"/>
        <v>4</v>
      </c>
      <c r="D102" s="47" t="str">
        <f t="shared" si="147"/>
        <v>ID Power</v>
      </c>
      <c r="E102" s="48">
        <v>2011</v>
      </c>
      <c r="F102" s="207">
        <v>1695.38</v>
      </c>
      <c r="G102" s="50">
        <f t="shared" si="117"/>
        <v>0.73414098621281332</v>
      </c>
      <c r="H102" s="49"/>
      <c r="I102" s="49"/>
      <c r="J102" s="207">
        <v>30410.677199999998</v>
      </c>
      <c r="K102" s="50">
        <f t="shared" ref="K102" si="156">J102/$J$476</f>
        <v>2.5195850964934822E-2</v>
      </c>
      <c r="L102" s="50"/>
      <c r="M102" s="207">
        <v>10903116</v>
      </c>
      <c r="N102" s="207">
        <v>339657.79042321112</v>
      </c>
      <c r="O102" s="49">
        <f t="shared" si="119"/>
        <v>309247.11322321114</v>
      </c>
      <c r="P102" s="50">
        <f t="shared" si="120"/>
        <v>0.91046671662643597</v>
      </c>
      <c r="Q102" s="50">
        <f t="shared" si="121"/>
        <v>8.9533283373564032E-2</v>
      </c>
      <c r="R102" s="50">
        <f t="shared" si="122"/>
        <v>0</v>
      </c>
      <c r="S102" s="50">
        <f t="shared" si="123"/>
        <v>8.9533283373564032E-2</v>
      </c>
      <c r="T102" s="50">
        <f t="shared" si="28"/>
        <v>-8.9533283373564032E-2</v>
      </c>
      <c r="U102" s="298"/>
      <c r="V102" s="298"/>
      <c r="W102" s="298"/>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2:53" x14ac:dyDescent="0.25">
      <c r="B103" s="47">
        <f t="shared" si="124"/>
        <v>1</v>
      </c>
      <c r="C103" s="47">
        <f t="shared" si="25"/>
        <v>4</v>
      </c>
      <c r="D103" s="47" t="str">
        <f t="shared" si="147"/>
        <v>ID Power</v>
      </c>
      <c r="E103" s="48">
        <v>2012</v>
      </c>
      <c r="F103" s="207">
        <v>1695.38</v>
      </c>
      <c r="G103" s="50">
        <f t="shared" si="117"/>
        <v>0.5307817872595042</v>
      </c>
      <c r="H103" s="49"/>
      <c r="I103" s="49"/>
      <c r="J103" s="207">
        <v>31595.283599999995</v>
      </c>
      <c r="K103" s="50">
        <f t="shared" ref="K103" si="157">J103/$J$477</f>
        <v>2.5375957390646301E-2</v>
      </c>
      <c r="L103" s="50"/>
      <c r="M103" s="207">
        <v>7882921</v>
      </c>
      <c r="N103" s="207">
        <v>195002.37397504083</v>
      </c>
      <c r="O103" s="49">
        <f t="shared" si="119"/>
        <v>163407.09037504083</v>
      </c>
      <c r="P103" s="50">
        <f t="shared" si="120"/>
        <v>0.83797487714665464</v>
      </c>
      <c r="Q103" s="50">
        <f t="shared" si="121"/>
        <v>0.16202512285334536</v>
      </c>
      <c r="R103" s="50">
        <f t="shared" si="122"/>
        <v>0</v>
      </c>
      <c r="S103" s="50">
        <f t="shared" si="123"/>
        <v>0.16202512285334536</v>
      </c>
      <c r="T103" s="50">
        <f t="shared" si="28"/>
        <v>-0.16202512285334536</v>
      </c>
      <c r="U103" s="298"/>
      <c r="V103" s="298"/>
      <c r="W103" s="298"/>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2:53" x14ac:dyDescent="0.25">
      <c r="B104" s="47">
        <f t="shared" si="124"/>
        <v>1</v>
      </c>
      <c r="C104" s="47">
        <f t="shared" si="25"/>
        <v>4</v>
      </c>
      <c r="D104" s="47" t="str">
        <f t="shared" si="147"/>
        <v>ID Power</v>
      </c>
      <c r="E104" s="48">
        <v>2013</v>
      </c>
      <c r="F104" s="207">
        <v>1695.38</v>
      </c>
      <c r="G104" s="50">
        <f t="shared" si="117"/>
        <v>0.37624887479597385</v>
      </c>
      <c r="H104" s="47"/>
      <c r="I104" s="47"/>
      <c r="J104" s="207">
        <v>32542.199999999997</v>
      </c>
      <c r="K104" s="50">
        <f t="shared" ref="K104" si="158">J104/$J$478</f>
        <v>2.6177795751551491E-2</v>
      </c>
      <c r="L104" s="47"/>
      <c r="M104" s="207">
        <v>5587871</v>
      </c>
      <c r="N104" s="207">
        <v>225245.99078282027</v>
      </c>
      <c r="O104" s="49">
        <f t="shared" si="119"/>
        <v>192703.79078282026</v>
      </c>
      <c r="P104" s="50">
        <f t="shared" si="120"/>
        <v>0.85552595237365692</v>
      </c>
      <c r="Q104" s="50">
        <f t="shared" si="121"/>
        <v>0.14447404762634308</v>
      </c>
      <c r="R104" s="50">
        <f t="shared" si="122"/>
        <v>0</v>
      </c>
      <c r="S104" s="50">
        <f t="shared" si="123"/>
        <v>0.14447404762634308</v>
      </c>
      <c r="T104" s="50">
        <f t="shared" si="28"/>
        <v>-0.14447404762634308</v>
      </c>
      <c r="U104" s="298"/>
      <c r="V104" s="298"/>
      <c r="W104" s="298"/>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2:53" x14ac:dyDescent="0.25">
      <c r="B105" s="47">
        <f t="shared" si="124"/>
        <v>1</v>
      </c>
      <c r="C105" s="47">
        <f t="shared" si="25"/>
        <v>4</v>
      </c>
      <c r="D105" s="47" t="str">
        <f>D102</f>
        <v>ID Power</v>
      </c>
      <c r="E105" s="48">
        <v>2014</v>
      </c>
      <c r="F105" s="207">
        <v>1695.38</v>
      </c>
      <c r="G105" s="50">
        <f t="shared" si="117"/>
        <v>0.41055934928396054</v>
      </c>
      <c r="H105" s="47"/>
      <c r="I105" s="47"/>
      <c r="J105" s="207">
        <v>31721.508000000002</v>
      </c>
      <c r="K105" s="50">
        <f t="shared" ref="K105" si="159">J105/$J$479</f>
        <v>2.5424330751164532E-2</v>
      </c>
      <c r="L105" s="47"/>
      <c r="M105" s="207">
        <v>6097434</v>
      </c>
      <c r="N105" s="207">
        <v>251205.40752465275</v>
      </c>
      <c r="O105" s="49">
        <f t="shared" si="119"/>
        <v>219483.89952465275</v>
      </c>
      <c r="P105" s="50">
        <f t="shared" si="120"/>
        <v>0.8737228298045816</v>
      </c>
      <c r="Q105" s="50">
        <f t="shared" si="121"/>
        <v>0.1262771701954184</v>
      </c>
      <c r="R105" s="50">
        <f t="shared" si="122"/>
        <v>0</v>
      </c>
      <c r="S105" s="50">
        <f t="shared" si="123"/>
        <v>0.1262771701954184</v>
      </c>
      <c r="T105" s="50">
        <f t="shared" si="28"/>
        <v>-0.1262771701954184</v>
      </c>
      <c r="U105" s="298"/>
      <c r="V105" s="298"/>
      <c r="W105" s="298"/>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2:53" x14ac:dyDescent="0.25">
      <c r="B106" s="47">
        <f t="shared" si="124"/>
        <v>1</v>
      </c>
      <c r="C106" s="47">
        <f t="shared" si="25"/>
        <v>4</v>
      </c>
      <c r="D106" s="47" t="str">
        <f>D103</f>
        <v>ID Power</v>
      </c>
      <c r="E106" s="48">
        <v>2015</v>
      </c>
      <c r="F106" s="207">
        <v>1695.38</v>
      </c>
      <c r="G106" s="50">
        <f t="shared" si="117"/>
        <v>0.39332455794045929</v>
      </c>
      <c r="H106" s="47"/>
      <c r="I106" s="47"/>
      <c r="J106" s="207">
        <v>33005.585999999996</v>
      </c>
      <c r="K106" s="50">
        <f t="shared" ref="K106" si="160">J106/$J$480</f>
        <v>2.504299416611766E-2</v>
      </c>
      <c r="L106" s="47"/>
      <c r="M106" s="207">
        <v>5841471</v>
      </c>
      <c r="N106" s="207">
        <v>176092.13105553371</v>
      </c>
      <c r="O106" s="49">
        <f t="shared" si="119"/>
        <v>143086.5450555337</v>
      </c>
      <c r="P106" s="50">
        <f t="shared" si="120"/>
        <v>0.81256637759928563</v>
      </c>
      <c r="Q106" s="50">
        <f t="shared" si="121"/>
        <v>0.18743362240071437</v>
      </c>
      <c r="R106" s="50">
        <f t="shared" si="122"/>
        <v>0</v>
      </c>
      <c r="S106" s="50">
        <f t="shared" si="123"/>
        <v>0.18743362240071437</v>
      </c>
      <c r="T106" s="50">
        <f t="shared" si="28"/>
        <v>-0.18743362240071437</v>
      </c>
      <c r="U106" s="298"/>
      <c r="V106" s="298"/>
      <c r="W106" s="298"/>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2:53" x14ac:dyDescent="0.25">
      <c r="B107" s="47">
        <f t="shared" si="124"/>
        <v>1</v>
      </c>
      <c r="C107" s="47">
        <f t="shared" si="25"/>
        <v>4</v>
      </c>
      <c r="D107" s="47" t="str">
        <f>D104</f>
        <v>ID Power</v>
      </c>
      <c r="E107" s="48">
        <v>2016</v>
      </c>
      <c r="F107" s="207">
        <v>1695.38</v>
      </c>
      <c r="G107" s="50">
        <f t="shared" si="117"/>
        <v>0.42925937698750583</v>
      </c>
      <c r="H107" s="47"/>
      <c r="I107" s="47"/>
      <c r="J107" s="207">
        <v>31316.772000000001</v>
      </c>
      <c r="K107" s="50">
        <f t="shared" ref="K107" si="161">J107/$J$481</f>
        <v>2.3530764066531124E-2</v>
      </c>
      <c r="L107" s="47"/>
      <c r="M107" s="207">
        <v>6375158</v>
      </c>
      <c r="N107" s="207">
        <v>159652.38204733253</v>
      </c>
      <c r="O107" s="49">
        <f t="shared" si="119"/>
        <v>128335.61004733254</v>
      </c>
      <c r="P107" s="50">
        <f t="shared" si="120"/>
        <v>0.80384400408936307</v>
      </c>
      <c r="Q107" s="50">
        <f t="shared" si="121"/>
        <v>0.19615599591063693</v>
      </c>
      <c r="R107" s="50">
        <f t="shared" si="122"/>
        <v>0</v>
      </c>
      <c r="S107" s="50">
        <f t="shared" si="123"/>
        <v>0.19615599591063693</v>
      </c>
      <c r="T107" s="50">
        <f t="shared" ref="T107:T190" si="162">R107-S107</f>
        <v>-0.19615599591063693</v>
      </c>
      <c r="U107" s="298"/>
      <c r="V107" s="298"/>
      <c r="W107" s="298"/>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row>
    <row r="108" spans="2:53" x14ac:dyDescent="0.25">
      <c r="B108" s="47">
        <f t="shared" si="124"/>
        <v>1</v>
      </c>
      <c r="C108" s="47">
        <f t="shared" si="25"/>
        <v>4</v>
      </c>
      <c r="D108" s="47" t="str">
        <f t="shared" ref="D108:D114" si="163">D107</f>
        <v>ID Power</v>
      </c>
      <c r="E108" s="48">
        <v>2017</v>
      </c>
      <c r="F108" s="207">
        <v>1695.38</v>
      </c>
      <c r="G108" s="50">
        <f t="shared" si="117"/>
        <v>0.59817417584646237</v>
      </c>
      <c r="H108" s="47"/>
      <c r="I108" s="47"/>
      <c r="J108" s="207">
        <v>35246.047199999994</v>
      </c>
      <c r="K108" s="50">
        <f t="shared" ref="K108" si="164">J108/$J$482</f>
        <v>2.7071191901719187E-2</v>
      </c>
      <c r="L108" s="47"/>
      <c r="M108" s="207">
        <v>8883801</v>
      </c>
      <c r="N108" s="207">
        <v>273664.63489506627</v>
      </c>
      <c r="O108" s="49">
        <f t="shared" si="119"/>
        <v>238418.58769506626</v>
      </c>
      <c r="P108" s="50">
        <f t="shared" si="120"/>
        <v>0.87120715391846404</v>
      </c>
      <c r="Q108" s="50">
        <f t="shared" si="121"/>
        <v>0.12879284608153596</v>
      </c>
      <c r="R108" s="50">
        <f t="shared" si="122"/>
        <v>0</v>
      </c>
      <c r="S108" s="50">
        <f t="shared" si="123"/>
        <v>0.12879284608153596</v>
      </c>
      <c r="T108" s="50">
        <f t="shared" si="162"/>
        <v>-0.12879284608153596</v>
      </c>
      <c r="U108" s="298"/>
      <c r="V108" s="298"/>
      <c r="W108" s="298"/>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2:53" x14ac:dyDescent="0.25">
      <c r="B109" s="47">
        <f t="shared" si="124"/>
        <v>1</v>
      </c>
      <c r="C109" s="47">
        <f t="shared" ref="C109:C114" si="165">IF(D109=D108,C108,C108+1)</f>
        <v>4</v>
      </c>
      <c r="D109" s="47" t="str">
        <f t="shared" si="163"/>
        <v>ID Power</v>
      </c>
      <c r="E109" s="48">
        <v>2018</v>
      </c>
      <c r="F109" s="207">
        <v>1763.91</v>
      </c>
      <c r="G109" s="50">
        <f t="shared" ref="G109:G113" si="166">M109/(F109*8760)</f>
        <v>0.55876585043050753</v>
      </c>
      <c r="H109" s="47"/>
      <c r="I109" s="47"/>
      <c r="J109" s="207">
        <v>32922.534</v>
      </c>
      <c r="K109" s="50">
        <f t="shared" ref="K109" si="167">J109/$J$483</f>
        <v>2.3464081483385423E-2</v>
      </c>
      <c r="L109" s="47"/>
      <c r="M109" s="208">
        <v>8633967</v>
      </c>
      <c r="N109" s="207">
        <v>334502.45185289258</v>
      </c>
      <c r="O109" s="49">
        <f t="shared" ref="O109" si="168">N109-J109</f>
        <v>301579.9178528926</v>
      </c>
      <c r="P109" s="50">
        <f t="shared" ref="P109" si="169">O109/N109</f>
        <v>0.90157760035050905</v>
      </c>
      <c r="Q109" s="50">
        <f t="shared" ref="Q109" si="170">1-P109</f>
        <v>9.8422399649490955E-2</v>
      </c>
      <c r="R109" s="50">
        <f t="shared" ref="R109" si="171">Q109*L109</f>
        <v>0</v>
      </c>
      <c r="S109" s="50">
        <f t="shared" ref="S109" si="172">Q109-R109</f>
        <v>9.8422399649490955E-2</v>
      </c>
      <c r="T109" s="50">
        <f t="shared" ref="T109" si="173">R109-S109</f>
        <v>-9.8422399649490955E-2</v>
      </c>
      <c r="U109" s="298"/>
      <c r="V109" s="298"/>
      <c r="W109" s="298"/>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2:53" x14ac:dyDescent="0.25">
      <c r="B110" s="47">
        <f t="shared" si="124"/>
        <v>1</v>
      </c>
      <c r="C110" s="47">
        <f t="shared" si="165"/>
        <v>4</v>
      </c>
      <c r="D110" s="47" t="str">
        <f t="shared" ref="D110:D112" si="174">D107</f>
        <v>ID Power</v>
      </c>
      <c r="E110" s="48">
        <v>2019</v>
      </c>
      <c r="F110" s="207">
        <v>1789.5800000000002</v>
      </c>
      <c r="G110" s="50">
        <f t="shared" si="117"/>
        <v>0.52431685840829667</v>
      </c>
      <c r="H110" s="47"/>
      <c r="I110" s="47"/>
      <c r="J110" s="207">
        <v>41335.479599999999</v>
      </c>
      <c r="K110" s="50">
        <f t="shared" ref="K110" si="175">J110/$J$484</f>
        <v>3.0018919117583778E-2</v>
      </c>
      <c r="L110" s="47"/>
      <c r="M110" s="207">
        <v>8219569</v>
      </c>
      <c r="N110" s="207">
        <v>282941.79809900158</v>
      </c>
      <c r="O110" s="49">
        <f t="shared" ref="O110:O114" si="176">N110-J110</f>
        <v>241606.31849900159</v>
      </c>
      <c r="P110" s="50">
        <f t="shared" ref="P110:P114" si="177">O110/N110</f>
        <v>0.85390818932472934</v>
      </c>
      <c r="Q110" s="50">
        <f t="shared" ref="Q110:Q114" si="178">1-P110</f>
        <v>0.14609181067527066</v>
      </c>
      <c r="R110" s="50">
        <f t="shared" ref="R110:R114" si="179">Q110*L110</f>
        <v>0</v>
      </c>
      <c r="S110" s="50">
        <f t="shared" ref="S110:S114" si="180">Q110-R110</f>
        <v>0.14609181067527066</v>
      </c>
      <c r="T110" s="50">
        <f t="shared" ref="T110:T114" si="181">R110-S110</f>
        <v>-0.14609181067527066</v>
      </c>
      <c r="U110" s="298"/>
      <c r="V110" s="298"/>
      <c r="W110" s="298"/>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2:53" x14ac:dyDescent="0.25">
      <c r="B111" s="47">
        <f t="shared" si="124"/>
        <v>1</v>
      </c>
      <c r="C111" s="47">
        <f t="shared" si="165"/>
        <v>4</v>
      </c>
      <c r="D111" s="47" t="str">
        <f t="shared" si="174"/>
        <v>ID Power</v>
      </c>
      <c r="E111" s="48">
        <v>2020</v>
      </c>
      <c r="F111" s="207">
        <v>1789.5800000000002</v>
      </c>
      <c r="G111" s="50">
        <f t="shared" si="166"/>
        <v>0.43968933860198617</v>
      </c>
      <c r="H111" s="47"/>
      <c r="I111" s="47"/>
      <c r="J111" s="207">
        <v>41180.416799999999</v>
      </c>
      <c r="K111" s="50">
        <f t="shared" ref="K111" si="182">J111/$J$485</f>
        <v>2.9733927196510655E-2</v>
      </c>
      <c r="L111" s="47"/>
      <c r="M111" s="207">
        <v>6892887</v>
      </c>
      <c r="N111" s="207">
        <v>202295.61995357709</v>
      </c>
      <c r="O111" s="49">
        <f t="shared" si="176"/>
        <v>161115.20315357708</v>
      </c>
      <c r="P111" s="50">
        <f t="shared" si="177"/>
        <v>0.79643446155952313</v>
      </c>
      <c r="Q111" s="50">
        <f t="shared" si="178"/>
        <v>0.20356553844047687</v>
      </c>
      <c r="R111" s="50">
        <f t="shared" si="179"/>
        <v>0</v>
      </c>
      <c r="S111" s="50">
        <f t="shared" si="180"/>
        <v>0.20356553844047687</v>
      </c>
      <c r="T111" s="50">
        <f t="shared" si="181"/>
        <v>-0.20356553844047687</v>
      </c>
      <c r="U111" s="298"/>
      <c r="V111" s="298"/>
      <c r="W111" s="298"/>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2:53" x14ac:dyDescent="0.25">
      <c r="B112" s="47">
        <f t="shared" si="124"/>
        <v>1</v>
      </c>
      <c r="C112" s="47">
        <f t="shared" si="165"/>
        <v>4</v>
      </c>
      <c r="D112" s="47" t="str">
        <f t="shared" si="174"/>
        <v>ID Power</v>
      </c>
      <c r="E112" s="48">
        <v>2021</v>
      </c>
      <c r="F112" s="207">
        <v>1789.5800000000002</v>
      </c>
      <c r="G112" s="50">
        <f t="shared" si="117"/>
        <v>0.33881505371965287</v>
      </c>
      <c r="H112" s="47"/>
      <c r="I112" s="47"/>
      <c r="J112" s="207">
        <v>42201.833999999995</v>
      </c>
      <c r="K112" s="50">
        <f t="shared" ref="K112" si="183">J112/$J$486</f>
        <v>2.9125111770923574E-2</v>
      </c>
      <c r="L112" s="47"/>
      <c r="M112" s="207">
        <v>5311509</v>
      </c>
      <c r="N112" s="207">
        <v>270554.42707515007</v>
      </c>
      <c r="O112" s="49">
        <f t="shared" si="176"/>
        <v>228352.59307515007</v>
      </c>
      <c r="P112" s="50">
        <f t="shared" si="177"/>
        <v>0.84401721141203911</v>
      </c>
      <c r="Q112" s="50">
        <f t="shared" si="178"/>
        <v>0.15598278858796089</v>
      </c>
      <c r="R112" s="50">
        <f t="shared" si="179"/>
        <v>0</v>
      </c>
      <c r="S112" s="50">
        <f t="shared" si="180"/>
        <v>0.15598278858796089</v>
      </c>
      <c r="T112" s="50">
        <f t="shared" si="181"/>
        <v>-0.15598278858796089</v>
      </c>
      <c r="U112" s="298"/>
      <c r="V112" s="298"/>
      <c r="W112" s="298"/>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2:53" x14ac:dyDescent="0.25">
      <c r="B113" s="47">
        <f t="shared" si="124"/>
        <v>1</v>
      </c>
      <c r="C113" s="47">
        <f t="shared" si="165"/>
        <v>4</v>
      </c>
      <c r="D113" s="47" t="str">
        <f t="shared" si="163"/>
        <v>ID Power</v>
      </c>
      <c r="E113" s="48">
        <v>2022</v>
      </c>
      <c r="F113" s="207">
        <v>1789.5800000000002</v>
      </c>
      <c r="G113" s="50">
        <f t="shared" si="166"/>
        <v>0.3367042806554289</v>
      </c>
      <c r="H113" s="47"/>
      <c r="I113" s="47"/>
      <c r="J113" s="207">
        <v>46724.936399999999</v>
      </c>
      <c r="K113" s="50">
        <f t="shared" ref="K113" si="184">J113/$J$487</f>
        <v>3.1782539585373554E-2</v>
      </c>
      <c r="L113" s="47"/>
      <c r="M113" s="207">
        <v>5278419</v>
      </c>
      <c r="N113" s="207">
        <v>426748.45271131274</v>
      </c>
      <c r="O113" s="49">
        <f t="shared" si="176"/>
        <v>380023.51631131273</v>
      </c>
      <c r="P113" s="50">
        <f t="shared" si="177"/>
        <v>0.89050941812879036</v>
      </c>
      <c r="Q113" s="50">
        <f t="shared" si="178"/>
        <v>0.10949058187120964</v>
      </c>
      <c r="R113" s="50">
        <f t="shared" si="179"/>
        <v>0</v>
      </c>
      <c r="S113" s="50">
        <f t="shared" si="180"/>
        <v>0.10949058187120964</v>
      </c>
      <c r="T113" s="50">
        <f t="shared" si="181"/>
        <v>-0.10949058187120964</v>
      </c>
      <c r="U113" s="298"/>
      <c r="V113" s="298"/>
      <c r="W113" s="298"/>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2:53" x14ac:dyDescent="0.25">
      <c r="B114" s="47">
        <f t="shared" si="124"/>
        <v>1</v>
      </c>
      <c r="C114" s="47">
        <f t="shared" si="165"/>
        <v>4</v>
      </c>
      <c r="D114" s="47" t="str">
        <f t="shared" si="163"/>
        <v>ID Power</v>
      </c>
      <c r="E114" s="48">
        <v>2023</v>
      </c>
      <c r="F114" s="207">
        <v>1789.5800000000002</v>
      </c>
      <c r="G114" s="50">
        <f t="shared" si="117"/>
        <v>0.41368728082469897</v>
      </c>
      <c r="H114" s="47"/>
      <c r="I114" s="47"/>
      <c r="J114" s="207">
        <v>49130.822399999997</v>
      </c>
      <c r="K114" s="50">
        <f t="shared" ref="K114" si="185">J114/$J$488</f>
        <v>3.0758182499051982E-2</v>
      </c>
      <c r="L114" s="47"/>
      <c r="M114" s="208">
        <v>6485260</v>
      </c>
      <c r="N114" s="207">
        <v>414808.64716780395</v>
      </c>
      <c r="O114" s="49">
        <f t="shared" si="176"/>
        <v>365677.82476780395</v>
      </c>
      <c r="P114" s="50">
        <f t="shared" si="177"/>
        <v>0.88155786352224974</v>
      </c>
      <c r="Q114" s="50">
        <f t="shared" si="178"/>
        <v>0.11844213647775026</v>
      </c>
      <c r="R114" s="50">
        <f t="shared" si="179"/>
        <v>0</v>
      </c>
      <c r="S114" s="50">
        <f t="shared" si="180"/>
        <v>0.11844213647775026</v>
      </c>
      <c r="T114" s="50">
        <f t="shared" si="181"/>
        <v>-0.11844213647775026</v>
      </c>
      <c r="U114" s="298"/>
      <c r="V114" s="298"/>
      <c r="W114" s="298"/>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2:53" x14ac:dyDescent="0.25">
      <c r="B115" s="44">
        <f t="shared" si="124"/>
        <v>1</v>
      </c>
      <c r="C115" s="44">
        <f t="shared" ref="C115:C190" si="186">IF(D115=D114,C114,C114+1)</f>
        <v>5</v>
      </c>
      <c r="D115" s="44" t="str">
        <f>'OPG hydro peers'!D9</f>
        <v>AB Power</v>
      </c>
      <c r="E115" s="45">
        <v>2002</v>
      </c>
      <c r="F115" s="206">
        <v>1582.8</v>
      </c>
      <c r="G115" s="51">
        <f t="shared" si="117"/>
        <v>0.29489457443776301</v>
      </c>
      <c r="H115" s="46"/>
      <c r="I115" s="46"/>
      <c r="J115" s="206">
        <v>20293.118399999999</v>
      </c>
      <c r="K115" s="51">
        <f t="shared" ref="K115" si="187">J115/$J$467</f>
        <v>2.6445509080618494E-2</v>
      </c>
      <c r="L115" s="51"/>
      <c r="M115" s="206">
        <v>4088810</v>
      </c>
      <c r="N115" s="206">
        <v>115052.27647925924</v>
      </c>
      <c r="O115" s="46">
        <f t="shared" si="119"/>
        <v>94759.158079259243</v>
      </c>
      <c r="P115" s="51">
        <f t="shared" si="120"/>
        <v>0.82361828013322025</v>
      </c>
      <c r="Q115" s="51">
        <f t="shared" si="121"/>
        <v>0.17638171986677975</v>
      </c>
      <c r="R115" s="51">
        <f t="shared" si="122"/>
        <v>0</v>
      </c>
      <c r="S115" s="51">
        <f t="shared" si="123"/>
        <v>0.17638171986677975</v>
      </c>
      <c r="T115" s="51">
        <f t="shared" si="162"/>
        <v>-0.17638171986677975</v>
      </c>
      <c r="U115" s="298"/>
      <c r="V115" s="298"/>
      <c r="W115" s="298"/>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2:53" x14ac:dyDescent="0.25">
      <c r="B116" s="44">
        <f t="shared" si="124"/>
        <v>1</v>
      </c>
      <c r="C116" s="44">
        <f t="shared" si="186"/>
        <v>5</v>
      </c>
      <c r="D116" s="44" t="str">
        <f t="shared" ref="D116:D126" si="188">D115</f>
        <v>AB Power</v>
      </c>
      <c r="E116" s="45">
        <v>2003</v>
      </c>
      <c r="F116" s="206">
        <v>1582.8</v>
      </c>
      <c r="G116" s="51">
        <f t="shared" si="117"/>
        <v>0.4155499242426865</v>
      </c>
      <c r="H116" s="46"/>
      <c r="I116" s="46"/>
      <c r="J116" s="206">
        <v>21832.3236</v>
      </c>
      <c r="K116" s="51">
        <f t="shared" ref="K116" si="189">J116/$J$468</f>
        <v>2.5742899958982556E-2</v>
      </c>
      <c r="L116" s="51"/>
      <c r="M116" s="206">
        <v>5761736</v>
      </c>
      <c r="N116" s="206">
        <v>214272.91569107832</v>
      </c>
      <c r="O116" s="46">
        <f t="shared" si="119"/>
        <v>192440.59209107832</v>
      </c>
      <c r="P116" s="51">
        <f t="shared" si="120"/>
        <v>0.89810973762322754</v>
      </c>
      <c r="Q116" s="51">
        <f t="shared" si="121"/>
        <v>0.10189026237677246</v>
      </c>
      <c r="R116" s="51">
        <f t="shared" si="122"/>
        <v>0</v>
      </c>
      <c r="S116" s="51">
        <f t="shared" si="123"/>
        <v>0.10189026237677246</v>
      </c>
      <c r="T116" s="51">
        <f t="shared" si="162"/>
        <v>-0.10189026237677246</v>
      </c>
      <c r="U116" s="298"/>
      <c r="V116" s="298"/>
      <c r="W116" s="298"/>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2:53" x14ac:dyDescent="0.25">
      <c r="B117" s="44">
        <f t="shared" si="124"/>
        <v>1</v>
      </c>
      <c r="C117" s="44">
        <f t="shared" si="186"/>
        <v>5</v>
      </c>
      <c r="D117" s="44" t="str">
        <f t="shared" si="188"/>
        <v>AB Power</v>
      </c>
      <c r="E117" s="45">
        <v>2004</v>
      </c>
      <c r="F117" s="206">
        <v>1582.8</v>
      </c>
      <c r="G117" s="51">
        <f t="shared" si="117"/>
        <v>0.31760164635124388</v>
      </c>
      <c r="H117" s="46"/>
      <c r="I117" s="46"/>
      <c r="J117" s="206">
        <v>22699.136399999999</v>
      </c>
      <c r="K117" s="51">
        <f t="shared" ref="K117" si="190">J117/$J$469</f>
        <v>2.5688884745780238E-2</v>
      </c>
      <c r="L117" s="51"/>
      <c r="M117" s="206">
        <v>4403651</v>
      </c>
      <c r="N117" s="206">
        <v>197065.51749497134</v>
      </c>
      <c r="O117" s="46">
        <f t="shared" si="119"/>
        <v>174366.38109497135</v>
      </c>
      <c r="P117" s="51">
        <f t="shared" si="120"/>
        <v>0.88481426538471286</v>
      </c>
      <c r="Q117" s="51">
        <f t="shared" si="121"/>
        <v>0.11518573461528714</v>
      </c>
      <c r="R117" s="51">
        <f t="shared" si="122"/>
        <v>0</v>
      </c>
      <c r="S117" s="51">
        <f t="shared" si="123"/>
        <v>0.11518573461528714</v>
      </c>
      <c r="T117" s="51">
        <f t="shared" si="162"/>
        <v>-0.11518573461528714</v>
      </c>
      <c r="U117" s="298"/>
      <c r="V117" s="298"/>
      <c r="W117" s="298"/>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2:53" x14ac:dyDescent="0.25">
      <c r="B118" s="44">
        <f t="shared" si="124"/>
        <v>1</v>
      </c>
      <c r="C118" s="44">
        <f t="shared" si="186"/>
        <v>5</v>
      </c>
      <c r="D118" s="44" t="str">
        <f t="shared" si="188"/>
        <v>AB Power</v>
      </c>
      <c r="E118" s="45">
        <v>2005</v>
      </c>
      <c r="F118" s="206">
        <v>1582.8</v>
      </c>
      <c r="G118" s="51">
        <f t="shared" si="117"/>
        <v>0.31999221367139674</v>
      </c>
      <c r="H118" s="46"/>
      <c r="I118" s="46"/>
      <c r="J118" s="206">
        <v>24252.09</v>
      </c>
      <c r="K118" s="51">
        <f t="shared" ref="K118" si="191">J118/$J$470</f>
        <v>2.610530248690791E-2</v>
      </c>
      <c r="L118" s="51"/>
      <c r="M118" s="206">
        <v>4436797</v>
      </c>
      <c r="N118" s="206">
        <v>271902.8525074168</v>
      </c>
      <c r="O118" s="46">
        <f t="shared" si="119"/>
        <v>247650.7625074168</v>
      </c>
      <c r="P118" s="51">
        <f t="shared" si="120"/>
        <v>0.91080604790882636</v>
      </c>
      <c r="Q118" s="51">
        <f t="shared" si="121"/>
        <v>8.9193952091173645E-2</v>
      </c>
      <c r="R118" s="51">
        <f t="shared" si="122"/>
        <v>0</v>
      </c>
      <c r="S118" s="51">
        <f t="shared" si="123"/>
        <v>8.9193952091173645E-2</v>
      </c>
      <c r="T118" s="51">
        <f t="shared" si="162"/>
        <v>-8.9193952091173645E-2</v>
      </c>
      <c r="U118" s="298"/>
      <c r="V118" s="298"/>
      <c r="W118" s="298"/>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2:53" x14ac:dyDescent="0.25">
      <c r="B119" s="44">
        <f t="shared" si="124"/>
        <v>1</v>
      </c>
      <c r="C119" s="44">
        <f t="shared" si="186"/>
        <v>5</v>
      </c>
      <c r="D119" s="44" t="str">
        <f t="shared" si="188"/>
        <v>AB Power</v>
      </c>
      <c r="E119" s="45">
        <v>2006</v>
      </c>
      <c r="F119" s="206">
        <v>1582.8</v>
      </c>
      <c r="G119" s="51">
        <f t="shared" si="117"/>
        <v>0.22267168868994661</v>
      </c>
      <c r="H119" s="46"/>
      <c r="I119" s="46"/>
      <c r="J119" s="206">
        <v>27266.1456</v>
      </c>
      <c r="K119" s="51">
        <f t="shared" ref="K119" si="192">J119/$J$471</f>
        <v>2.769892764658255E-2</v>
      </c>
      <c r="L119" s="51"/>
      <c r="M119" s="206">
        <v>3087416</v>
      </c>
      <c r="N119" s="206">
        <v>151683.07565314209</v>
      </c>
      <c r="O119" s="46">
        <f t="shared" si="119"/>
        <v>124416.93005314209</v>
      </c>
      <c r="P119" s="51">
        <f t="shared" si="120"/>
        <v>0.82024266397162027</v>
      </c>
      <c r="Q119" s="51">
        <f t="shared" si="121"/>
        <v>0.17975733602837973</v>
      </c>
      <c r="R119" s="51">
        <f t="shared" si="122"/>
        <v>0</v>
      </c>
      <c r="S119" s="51">
        <f t="shared" si="123"/>
        <v>0.17975733602837973</v>
      </c>
      <c r="T119" s="51">
        <f t="shared" si="162"/>
        <v>-0.17975733602837973</v>
      </c>
      <c r="U119" s="298"/>
      <c r="V119" s="298"/>
      <c r="W119" s="298"/>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2:53" x14ac:dyDescent="0.25">
      <c r="B120" s="44">
        <f t="shared" si="124"/>
        <v>1</v>
      </c>
      <c r="C120" s="44">
        <f t="shared" si="186"/>
        <v>5</v>
      </c>
      <c r="D120" s="44" t="str">
        <f t="shared" si="188"/>
        <v>AB Power</v>
      </c>
      <c r="E120" s="45">
        <v>2007</v>
      </c>
      <c r="F120" s="206">
        <v>1582.8</v>
      </c>
      <c r="G120" s="51">
        <f t="shared" si="117"/>
        <v>0.10122501249159054</v>
      </c>
      <c r="H120" s="46"/>
      <c r="I120" s="46"/>
      <c r="J120" s="206">
        <v>32085.187199999997</v>
      </c>
      <c r="K120" s="51">
        <f t="shared" ref="K120" si="193">J120/$J$472</f>
        <v>3.0100728571051737E-2</v>
      </c>
      <c r="L120" s="51"/>
      <c r="M120" s="206">
        <v>1403518</v>
      </c>
      <c r="N120" s="206">
        <v>76372.369369112814</v>
      </c>
      <c r="O120" s="46">
        <f t="shared" si="119"/>
        <v>44287.182169112813</v>
      </c>
      <c r="P120" s="51">
        <f t="shared" si="120"/>
        <v>0.57988487898116492</v>
      </c>
      <c r="Q120" s="51">
        <f t="shared" si="121"/>
        <v>0.42011512101883508</v>
      </c>
      <c r="R120" s="51">
        <f t="shared" si="122"/>
        <v>0</v>
      </c>
      <c r="S120" s="51">
        <f t="shared" si="123"/>
        <v>0.42011512101883508</v>
      </c>
      <c r="T120" s="51">
        <f t="shared" si="162"/>
        <v>-0.42011512101883508</v>
      </c>
      <c r="U120" s="298"/>
      <c r="V120" s="298"/>
      <c r="W120" s="298"/>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2:53" x14ac:dyDescent="0.25">
      <c r="B121" s="44">
        <f t="shared" si="124"/>
        <v>1</v>
      </c>
      <c r="C121" s="44">
        <f t="shared" si="186"/>
        <v>5</v>
      </c>
      <c r="D121" s="44" t="str">
        <f t="shared" si="188"/>
        <v>AB Power</v>
      </c>
      <c r="E121" s="45">
        <v>2008</v>
      </c>
      <c r="F121" s="206">
        <v>1582.8</v>
      </c>
      <c r="G121" s="51">
        <f t="shared" si="117"/>
        <v>0.16591378148428945</v>
      </c>
      <c r="H121" s="46"/>
      <c r="I121" s="46"/>
      <c r="J121" s="206">
        <v>32091.286800000002</v>
      </c>
      <c r="K121" s="51">
        <f t="shared" ref="K121" si="194">J121/$J$473</f>
        <v>2.7710954602004276E-2</v>
      </c>
      <c r="L121" s="51"/>
      <c r="M121" s="206">
        <v>2300449</v>
      </c>
      <c r="N121" s="206">
        <v>157149.2912422774</v>
      </c>
      <c r="O121" s="46">
        <f t="shared" si="119"/>
        <v>125058.00444227739</v>
      </c>
      <c r="P121" s="51">
        <f t="shared" si="120"/>
        <v>0.7957910815485334</v>
      </c>
      <c r="Q121" s="51">
        <f t="shared" si="121"/>
        <v>0.2042089184514666</v>
      </c>
      <c r="R121" s="51">
        <f t="shared" si="122"/>
        <v>0</v>
      </c>
      <c r="S121" s="51">
        <f t="shared" si="123"/>
        <v>0.2042089184514666</v>
      </c>
      <c r="T121" s="51">
        <f t="shared" si="162"/>
        <v>-0.2042089184514666</v>
      </c>
      <c r="U121" s="298"/>
      <c r="V121" s="298"/>
      <c r="W121" s="298"/>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2:53" x14ac:dyDescent="0.25">
      <c r="B122" s="44">
        <f t="shared" si="124"/>
        <v>1</v>
      </c>
      <c r="C122" s="44">
        <f t="shared" si="186"/>
        <v>5</v>
      </c>
      <c r="D122" s="44" t="str">
        <f t="shared" si="188"/>
        <v>AB Power</v>
      </c>
      <c r="E122" s="45">
        <v>2009</v>
      </c>
      <c r="F122" s="206">
        <v>1582.8</v>
      </c>
      <c r="G122" s="51">
        <f t="shared" si="117"/>
        <v>0.42595140915526847</v>
      </c>
      <c r="H122" s="46"/>
      <c r="I122" s="46"/>
      <c r="J122" s="206">
        <v>27762.198</v>
      </c>
      <c r="K122" s="51">
        <f t="shared" ref="K122" si="195">J122/$J$474</f>
        <v>2.3527582017531343E-2</v>
      </c>
      <c r="L122" s="51"/>
      <c r="M122" s="206">
        <v>5905956</v>
      </c>
      <c r="N122" s="206">
        <v>224880.45195040116</v>
      </c>
      <c r="O122" s="46">
        <f t="shared" si="119"/>
        <v>197118.25395040115</v>
      </c>
      <c r="P122" s="51">
        <f t="shared" si="120"/>
        <v>0.87654685963489998</v>
      </c>
      <c r="Q122" s="51">
        <f t="shared" si="121"/>
        <v>0.12345314036510002</v>
      </c>
      <c r="R122" s="51">
        <f t="shared" si="122"/>
        <v>0</v>
      </c>
      <c r="S122" s="51">
        <f t="shared" si="123"/>
        <v>0.12345314036510002</v>
      </c>
      <c r="T122" s="51">
        <f t="shared" si="162"/>
        <v>-0.12345314036510002</v>
      </c>
      <c r="U122" s="298"/>
      <c r="V122" s="298"/>
      <c r="W122" s="298"/>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2:53" x14ac:dyDescent="0.25">
      <c r="B123" s="44">
        <f t="shared" si="124"/>
        <v>1</v>
      </c>
      <c r="C123" s="44">
        <f t="shared" si="186"/>
        <v>5</v>
      </c>
      <c r="D123" s="44" t="str">
        <f t="shared" si="188"/>
        <v>AB Power</v>
      </c>
      <c r="E123" s="45">
        <v>2010</v>
      </c>
      <c r="F123" s="206">
        <v>1582.8</v>
      </c>
      <c r="G123" s="51">
        <f t="shared" si="117"/>
        <v>0.2673798989825556</v>
      </c>
      <c r="H123" s="46"/>
      <c r="I123" s="46"/>
      <c r="J123" s="206">
        <v>37664.725200000001</v>
      </c>
      <c r="K123" s="51">
        <f t="shared" ref="K123" si="196">J123/$J$475</f>
        <v>3.077970140361477E-2</v>
      </c>
      <c r="L123" s="51"/>
      <c r="M123" s="206">
        <v>3707310</v>
      </c>
      <c r="N123" s="206">
        <v>167948.45810416981</v>
      </c>
      <c r="O123" s="46">
        <f t="shared" si="119"/>
        <v>130283.73290416981</v>
      </c>
      <c r="P123" s="51">
        <f t="shared" si="120"/>
        <v>0.77573640374454345</v>
      </c>
      <c r="Q123" s="51">
        <f t="shared" si="121"/>
        <v>0.22426359625545655</v>
      </c>
      <c r="R123" s="51">
        <f t="shared" si="122"/>
        <v>0</v>
      </c>
      <c r="S123" s="51">
        <f t="shared" si="123"/>
        <v>0.22426359625545655</v>
      </c>
      <c r="T123" s="51">
        <f t="shared" si="162"/>
        <v>-0.22426359625545655</v>
      </c>
      <c r="U123" s="298"/>
      <c r="V123" s="298"/>
      <c r="W123" s="298"/>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2:53" x14ac:dyDescent="0.25">
      <c r="B124" s="44">
        <f t="shared" si="124"/>
        <v>1</v>
      </c>
      <c r="C124" s="44">
        <f t="shared" si="186"/>
        <v>5</v>
      </c>
      <c r="D124" s="44" t="str">
        <f t="shared" si="188"/>
        <v>AB Power</v>
      </c>
      <c r="E124" s="45">
        <v>2011</v>
      </c>
      <c r="F124" s="206">
        <v>1582.8</v>
      </c>
      <c r="G124" s="51">
        <f t="shared" si="117"/>
        <v>0.23108447200095086</v>
      </c>
      <c r="H124" s="46"/>
      <c r="I124" s="46"/>
      <c r="J124" s="206">
        <v>34901.13960000001</v>
      </c>
      <c r="K124" s="51">
        <f t="shared" ref="K124" si="197">J124/$J$476</f>
        <v>2.8916288384001697E-2</v>
      </c>
      <c r="L124" s="51"/>
      <c r="M124" s="206">
        <v>3204062</v>
      </c>
      <c r="N124" s="206">
        <v>121091.78374446747</v>
      </c>
      <c r="O124" s="46">
        <f t="shared" si="119"/>
        <v>86190.644144467456</v>
      </c>
      <c r="P124" s="51">
        <f t="shared" si="120"/>
        <v>0.71177945752579108</v>
      </c>
      <c r="Q124" s="51">
        <f t="shared" si="121"/>
        <v>0.28822054247420892</v>
      </c>
      <c r="R124" s="51">
        <f t="shared" si="122"/>
        <v>0</v>
      </c>
      <c r="S124" s="51">
        <f t="shared" si="123"/>
        <v>0.28822054247420892</v>
      </c>
      <c r="T124" s="51">
        <f t="shared" si="162"/>
        <v>-0.28822054247420892</v>
      </c>
      <c r="U124" s="298"/>
      <c r="V124" s="298"/>
      <c r="W124" s="298"/>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2:53" x14ac:dyDescent="0.25">
      <c r="B125" s="44">
        <f t="shared" si="124"/>
        <v>1</v>
      </c>
      <c r="C125" s="44">
        <f t="shared" si="186"/>
        <v>5</v>
      </c>
      <c r="D125" s="44" t="str">
        <f t="shared" si="188"/>
        <v>AB Power</v>
      </c>
      <c r="E125" s="45">
        <v>2012</v>
      </c>
      <c r="F125" s="206">
        <v>1582.8</v>
      </c>
      <c r="G125" s="51">
        <f t="shared" si="117"/>
        <v>0.19235094907239123</v>
      </c>
      <c r="H125" s="46"/>
      <c r="I125" s="46"/>
      <c r="J125" s="206">
        <v>36496.132799999999</v>
      </c>
      <c r="K125" s="51">
        <f t="shared" ref="K125" si="198">J125/$J$477</f>
        <v>2.9312106280830121E-2</v>
      </c>
      <c r="L125" s="51"/>
      <c r="M125" s="206">
        <v>2667009</v>
      </c>
      <c r="N125" s="206">
        <v>83664.573958010398</v>
      </c>
      <c r="O125" s="46">
        <f t="shared" si="119"/>
        <v>47168.441158010399</v>
      </c>
      <c r="P125" s="51">
        <f t="shared" si="120"/>
        <v>0.56378033050982024</v>
      </c>
      <c r="Q125" s="51">
        <f t="shared" si="121"/>
        <v>0.43621966949017976</v>
      </c>
      <c r="R125" s="51">
        <f t="shared" si="122"/>
        <v>0</v>
      </c>
      <c r="S125" s="51">
        <f t="shared" si="123"/>
        <v>0.43621966949017976</v>
      </c>
      <c r="T125" s="51">
        <f t="shared" si="162"/>
        <v>-0.43621966949017976</v>
      </c>
      <c r="U125" s="298"/>
      <c r="V125" s="298"/>
      <c r="W125" s="298"/>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2:53" x14ac:dyDescent="0.25">
      <c r="B126" s="44">
        <f t="shared" si="124"/>
        <v>1</v>
      </c>
      <c r="C126" s="44">
        <f t="shared" si="186"/>
        <v>5</v>
      </c>
      <c r="D126" s="44" t="str">
        <f t="shared" si="188"/>
        <v>AB Power</v>
      </c>
      <c r="E126" s="45">
        <v>2013</v>
      </c>
      <c r="F126" s="206">
        <v>1668.08</v>
      </c>
      <c r="G126" s="51">
        <f t="shared" si="117"/>
        <v>0.38493542407545256</v>
      </c>
      <c r="H126" s="44"/>
      <c r="I126" s="44"/>
      <c r="J126" s="206">
        <v>35462.737199999996</v>
      </c>
      <c r="K126" s="51">
        <f t="shared" ref="K126" si="199">J126/$J$478</f>
        <v>2.8527152165881441E-2</v>
      </c>
      <c r="L126" s="44"/>
      <c r="M126" s="206">
        <v>5624823</v>
      </c>
      <c r="N126" s="206">
        <v>206957.46301959959</v>
      </c>
      <c r="O126" s="46">
        <f t="shared" si="119"/>
        <v>171494.72581959958</v>
      </c>
      <c r="P126" s="51">
        <f t="shared" si="120"/>
        <v>0.82864721724656265</v>
      </c>
      <c r="Q126" s="51">
        <f t="shared" si="121"/>
        <v>0.17135278275343735</v>
      </c>
      <c r="R126" s="51">
        <f t="shared" si="122"/>
        <v>0</v>
      </c>
      <c r="S126" s="51">
        <f t="shared" si="123"/>
        <v>0.17135278275343735</v>
      </c>
      <c r="T126" s="51">
        <f t="shared" si="162"/>
        <v>-0.17135278275343735</v>
      </c>
      <c r="U126" s="298"/>
      <c r="V126" s="298"/>
      <c r="W126" s="298"/>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2:53" x14ac:dyDescent="0.25">
      <c r="B127" s="44">
        <f t="shared" si="124"/>
        <v>1</v>
      </c>
      <c r="C127" s="44">
        <f t="shared" si="186"/>
        <v>5</v>
      </c>
      <c r="D127" s="44" t="str">
        <f>D124</f>
        <v>AB Power</v>
      </c>
      <c r="E127" s="45">
        <v>2014</v>
      </c>
      <c r="F127" s="206">
        <v>1668.08</v>
      </c>
      <c r="G127" s="51">
        <f t="shared" si="117"/>
        <v>0.26641223311125317</v>
      </c>
      <c r="H127" s="44"/>
      <c r="I127" s="44"/>
      <c r="J127" s="206">
        <v>44906.631600000001</v>
      </c>
      <c r="K127" s="51">
        <f t="shared" ref="K127" si="200">J127/$J$479</f>
        <v>3.5992016984788266E-2</v>
      </c>
      <c r="L127" s="44"/>
      <c r="M127" s="206">
        <v>3892917</v>
      </c>
      <c r="N127" s="206">
        <v>211997.31786078206</v>
      </c>
      <c r="O127" s="46">
        <f t="shared" si="119"/>
        <v>167090.68626078207</v>
      </c>
      <c r="P127" s="51">
        <f t="shared" si="120"/>
        <v>0.78817358609465982</v>
      </c>
      <c r="Q127" s="51">
        <f t="shared" si="121"/>
        <v>0.21182641390534018</v>
      </c>
      <c r="R127" s="51">
        <f t="shared" si="122"/>
        <v>0</v>
      </c>
      <c r="S127" s="51">
        <f t="shared" si="123"/>
        <v>0.21182641390534018</v>
      </c>
      <c r="T127" s="51">
        <f t="shared" si="162"/>
        <v>-0.21182641390534018</v>
      </c>
      <c r="U127" s="298"/>
      <c r="V127" s="298"/>
      <c r="W127" s="298"/>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2:53" x14ac:dyDescent="0.25">
      <c r="B128" s="44">
        <f t="shared" si="124"/>
        <v>1</v>
      </c>
      <c r="C128" s="44">
        <f t="shared" si="186"/>
        <v>5</v>
      </c>
      <c r="D128" s="44" t="str">
        <f>D125</f>
        <v>AB Power</v>
      </c>
      <c r="E128" s="45">
        <v>2015</v>
      </c>
      <c r="F128" s="206">
        <v>1668.08</v>
      </c>
      <c r="G128" s="51">
        <f t="shared" si="117"/>
        <v>0.25644137333185296</v>
      </c>
      <c r="H128" s="44"/>
      <c r="I128" s="44"/>
      <c r="J128" s="206">
        <v>45430.126799999998</v>
      </c>
      <c r="K128" s="51">
        <f t="shared" ref="K128" si="201">J128/$J$480</f>
        <v>3.4470116677170516E-2</v>
      </c>
      <c r="L128" s="44"/>
      <c r="M128" s="206">
        <v>3747219</v>
      </c>
      <c r="N128" s="206">
        <v>126704.38586864863</v>
      </c>
      <c r="O128" s="46">
        <f t="shared" si="119"/>
        <v>81274.259068648636</v>
      </c>
      <c r="P128" s="51">
        <f t="shared" si="120"/>
        <v>0.64144787500018896</v>
      </c>
      <c r="Q128" s="51">
        <f t="shared" si="121"/>
        <v>0.35855212499981104</v>
      </c>
      <c r="R128" s="51">
        <f t="shared" si="122"/>
        <v>0</v>
      </c>
      <c r="S128" s="51">
        <f t="shared" si="123"/>
        <v>0.35855212499981104</v>
      </c>
      <c r="T128" s="51">
        <f t="shared" si="162"/>
        <v>-0.35855212499981104</v>
      </c>
      <c r="U128" s="298"/>
      <c r="V128" s="298"/>
      <c r="W128" s="298"/>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2:53" x14ac:dyDescent="0.25">
      <c r="B129" s="44">
        <f t="shared" si="124"/>
        <v>1</v>
      </c>
      <c r="C129" s="44">
        <f t="shared" si="186"/>
        <v>5</v>
      </c>
      <c r="D129" s="44" t="str">
        <f>D126</f>
        <v>AB Power</v>
      </c>
      <c r="E129" s="45">
        <v>2016</v>
      </c>
      <c r="F129" s="206">
        <v>1668.08</v>
      </c>
      <c r="G129" s="51">
        <f t="shared" si="117"/>
        <v>0.21899360848849492</v>
      </c>
      <c r="H129" s="44"/>
      <c r="I129" s="44"/>
      <c r="J129" s="206">
        <v>46468.5504</v>
      </c>
      <c r="K129" s="51">
        <f t="shared" ref="K129" si="202">J129/$J$481</f>
        <v>3.4915491800243989E-2</v>
      </c>
      <c r="L129" s="44"/>
      <c r="M129" s="206">
        <v>3200018</v>
      </c>
      <c r="N129" s="206">
        <v>84844.567632882696</v>
      </c>
      <c r="O129" s="46">
        <f t="shared" si="119"/>
        <v>38376.017232882696</v>
      </c>
      <c r="P129" s="51">
        <f t="shared" si="120"/>
        <v>0.45230965639348175</v>
      </c>
      <c r="Q129" s="51">
        <f t="shared" si="121"/>
        <v>0.54769034360651825</v>
      </c>
      <c r="R129" s="51">
        <f t="shared" si="122"/>
        <v>0</v>
      </c>
      <c r="S129" s="51">
        <f t="shared" si="123"/>
        <v>0.54769034360651825</v>
      </c>
      <c r="T129" s="51">
        <f t="shared" si="162"/>
        <v>-0.54769034360651825</v>
      </c>
      <c r="U129" s="298"/>
      <c r="V129" s="298"/>
      <c r="W129" s="298"/>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2:53" x14ac:dyDescent="0.25">
      <c r="B130" s="44">
        <f t="shared" si="124"/>
        <v>1</v>
      </c>
      <c r="C130" s="44">
        <f t="shared" si="186"/>
        <v>5</v>
      </c>
      <c r="D130" s="44" t="str">
        <f>D126</f>
        <v>AB Power</v>
      </c>
      <c r="E130" s="45">
        <v>2017</v>
      </c>
      <c r="F130" s="206">
        <v>1668.08</v>
      </c>
      <c r="G130" s="51">
        <f t="shared" si="117"/>
        <v>0.24575947267949658</v>
      </c>
      <c r="H130" s="44"/>
      <c r="I130" s="44"/>
      <c r="J130" s="206">
        <v>44918.923199999997</v>
      </c>
      <c r="K130" s="51">
        <f t="shared" ref="K130" si="203">J130/$J$482</f>
        <v>3.4500572023457604E-2</v>
      </c>
      <c r="L130" s="44"/>
      <c r="M130" s="206">
        <v>3591131</v>
      </c>
      <c r="N130" s="206">
        <v>106783.91735385179</v>
      </c>
      <c r="O130" s="46">
        <f t="shared" si="119"/>
        <v>61864.994153851796</v>
      </c>
      <c r="P130" s="51">
        <f t="shared" si="120"/>
        <v>0.57934748683969561</v>
      </c>
      <c r="Q130" s="51">
        <f t="shared" si="121"/>
        <v>0.42065251316030439</v>
      </c>
      <c r="R130" s="51">
        <f t="shared" si="122"/>
        <v>0</v>
      </c>
      <c r="S130" s="51">
        <f t="shared" si="123"/>
        <v>0.42065251316030439</v>
      </c>
      <c r="T130" s="51">
        <f t="shared" si="162"/>
        <v>-0.42065251316030439</v>
      </c>
      <c r="U130" s="298"/>
      <c r="V130" s="298"/>
      <c r="W130" s="298"/>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2:53" x14ac:dyDescent="0.25">
      <c r="B131" s="44">
        <f t="shared" si="124"/>
        <v>1</v>
      </c>
      <c r="C131" s="44">
        <f t="shared" ref="C131:C134" si="204">IF(D131=D130,C130,C130+1)</f>
        <v>5</v>
      </c>
      <c r="D131" s="44" t="str">
        <f t="shared" ref="D131:D135" si="205">D127</f>
        <v>AB Power</v>
      </c>
      <c r="E131" s="45">
        <v>2018</v>
      </c>
      <c r="F131" s="206">
        <v>1668.08</v>
      </c>
      <c r="G131" s="51">
        <f t="shared" ref="G131" si="206">M131/(F131*8760)</f>
        <v>0.31518614680504359</v>
      </c>
      <c r="H131" s="44"/>
      <c r="I131" s="44"/>
      <c r="J131" s="206">
        <v>51501.27</v>
      </c>
      <c r="K131" s="51">
        <f t="shared" ref="K131" si="207">J131/$J$483</f>
        <v>3.6705254698129651E-2</v>
      </c>
      <c r="L131" s="44"/>
      <c r="M131" s="206">
        <v>4605620</v>
      </c>
      <c r="N131" s="206">
        <v>155091.9101115856</v>
      </c>
      <c r="O131" s="46">
        <f t="shared" ref="O131" si="208">N131-J131</f>
        <v>103590.64011158561</v>
      </c>
      <c r="P131" s="51">
        <f t="shared" ref="P131" si="209">O131/N131</f>
        <v>0.66793064858801576</v>
      </c>
      <c r="Q131" s="51">
        <f t="shared" ref="Q131" si="210">1-P131</f>
        <v>0.33206935141198424</v>
      </c>
      <c r="R131" s="51">
        <f t="shared" ref="R131" si="211">Q131*L131</f>
        <v>0</v>
      </c>
      <c r="S131" s="51">
        <f t="shared" ref="S131" si="212">Q131-R131</f>
        <v>0.33206935141198424</v>
      </c>
      <c r="T131" s="51">
        <f t="shared" ref="T131" si="213">R131-S131</f>
        <v>-0.33206935141198424</v>
      </c>
      <c r="U131" s="298"/>
      <c r="V131" s="298"/>
      <c r="W131" s="298"/>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2:53" x14ac:dyDescent="0.25">
      <c r="B132" s="44">
        <f t="shared" si="124"/>
        <v>1</v>
      </c>
      <c r="C132" s="44">
        <f t="shared" si="204"/>
        <v>5</v>
      </c>
      <c r="D132" s="44" t="str">
        <f t="shared" si="205"/>
        <v>AB Power</v>
      </c>
      <c r="E132" s="45">
        <v>2019</v>
      </c>
      <c r="F132" s="206">
        <v>1668.0800000000002</v>
      </c>
      <c r="G132" s="51">
        <f t="shared" si="117"/>
        <v>0.33138083836413568</v>
      </c>
      <c r="H132" s="44"/>
      <c r="I132" s="44"/>
      <c r="J132" s="206">
        <v>56748.676799999994</v>
      </c>
      <c r="K132" s="51">
        <f t="shared" ref="K132" si="214">J132/$J$484</f>
        <v>4.1212390792947348E-2</v>
      </c>
      <c r="L132" s="44"/>
      <c r="M132" s="206">
        <v>4842263</v>
      </c>
      <c r="N132" s="206">
        <v>159332.95136522979</v>
      </c>
      <c r="O132" s="46">
        <f t="shared" ref="O132:O136" si="215">N132-J132</f>
        <v>102584.2745652298</v>
      </c>
      <c r="P132" s="51">
        <f t="shared" ref="P132:P136" si="216">O132/N132</f>
        <v>0.64383590265695734</v>
      </c>
      <c r="Q132" s="51">
        <f t="shared" ref="Q132:Q136" si="217">1-P132</f>
        <v>0.35616409734304266</v>
      </c>
      <c r="R132" s="51">
        <f t="shared" ref="R132:R136" si="218">Q132*L132</f>
        <v>0</v>
      </c>
      <c r="S132" s="51">
        <f t="shared" ref="S132:S136" si="219">Q132-R132</f>
        <v>0.35616409734304266</v>
      </c>
      <c r="T132" s="51">
        <f t="shared" ref="T132:T136" si="220">R132-S132</f>
        <v>-0.35616409734304266</v>
      </c>
      <c r="U132" s="298"/>
      <c r="V132" s="298"/>
      <c r="W132" s="298"/>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2:53" x14ac:dyDescent="0.25">
      <c r="B133" s="44">
        <f t="shared" si="124"/>
        <v>1</v>
      </c>
      <c r="C133" s="44">
        <f t="shared" si="204"/>
        <v>5</v>
      </c>
      <c r="D133" s="44" t="str">
        <f t="shared" si="205"/>
        <v>AB Power</v>
      </c>
      <c r="E133" s="45">
        <v>2020</v>
      </c>
      <c r="F133" s="206">
        <v>1668.0800000000002</v>
      </c>
      <c r="G133" s="51">
        <f t="shared" si="117"/>
        <v>0.37852141110365806</v>
      </c>
      <c r="H133" s="44"/>
      <c r="I133" s="44"/>
      <c r="J133" s="206">
        <v>48885.075600000004</v>
      </c>
      <c r="K133" s="51">
        <f t="shared" ref="K133" si="221">J133/$J$485</f>
        <v>3.529700260067109E-2</v>
      </c>
      <c r="L133" s="44"/>
      <c r="M133" s="206">
        <v>5531099</v>
      </c>
      <c r="N133" s="206">
        <v>144334.66889166529</v>
      </c>
      <c r="O133" s="46">
        <f t="shared" si="215"/>
        <v>95449.593291665282</v>
      </c>
      <c r="P133" s="51">
        <f t="shared" si="216"/>
        <v>0.66130746011762309</v>
      </c>
      <c r="Q133" s="51">
        <f t="shared" si="217"/>
        <v>0.33869253988237691</v>
      </c>
      <c r="R133" s="51">
        <f t="shared" si="218"/>
        <v>0</v>
      </c>
      <c r="S133" s="51">
        <f t="shared" si="219"/>
        <v>0.33869253988237691</v>
      </c>
      <c r="T133" s="51">
        <f t="shared" si="220"/>
        <v>-0.33869253988237691</v>
      </c>
      <c r="U133" s="298"/>
      <c r="V133" s="298"/>
      <c r="W133" s="298"/>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2:53" x14ac:dyDescent="0.25">
      <c r="B134" s="44">
        <f t="shared" si="124"/>
        <v>1</v>
      </c>
      <c r="C134" s="44">
        <f t="shared" si="204"/>
        <v>5</v>
      </c>
      <c r="D134" s="44" t="str">
        <f t="shared" si="205"/>
        <v>AB Power</v>
      </c>
      <c r="E134" s="45">
        <v>2021</v>
      </c>
      <c r="F134" s="206">
        <v>1668.08</v>
      </c>
      <c r="G134" s="51">
        <f t="shared" si="117"/>
        <v>0.33574445993085539</v>
      </c>
      <c r="H134" s="44"/>
      <c r="I134" s="44"/>
      <c r="J134" s="206">
        <v>48705.862799999995</v>
      </c>
      <c r="K134" s="51">
        <f t="shared" ref="K134" si="222">J134/$J$486</f>
        <v>3.3613792660036258E-2</v>
      </c>
      <c r="L134" s="44"/>
      <c r="M134" s="206">
        <v>4906025.9000000004</v>
      </c>
      <c r="N134" s="206">
        <v>252518.62418578824</v>
      </c>
      <c r="O134" s="46">
        <f t="shared" si="215"/>
        <v>203812.76138578824</v>
      </c>
      <c r="P134" s="51">
        <f t="shared" si="216"/>
        <v>0.80711972054716596</v>
      </c>
      <c r="Q134" s="51">
        <f t="shared" si="217"/>
        <v>0.19288027945283404</v>
      </c>
      <c r="R134" s="51">
        <f t="shared" si="218"/>
        <v>0</v>
      </c>
      <c r="S134" s="51">
        <f t="shared" si="219"/>
        <v>0.19288027945283404</v>
      </c>
      <c r="T134" s="51">
        <f t="shared" si="220"/>
        <v>-0.19288027945283404</v>
      </c>
      <c r="U134" s="298"/>
      <c r="V134" s="298"/>
      <c r="W134" s="298"/>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2:53" x14ac:dyDescent="0.25">
      <c r="B135" s="44">
        <f t="shared" si="124"/>
        <v>1</v>
      </c>
      <c r="C135" s="44">
        <f t="shared" ref="C135" si="223">IF(D135=D134,C134,C134+1)</f>
        <v>5</v>
      </c>
      <c r="D135" s="44" t="str">
        <f t="shared" si="205"/>
        <v>AB Power</v>
      </c>
      <c r="E135" s="45">
        <v>2022</v>
      </c>
      <c r="F135" s="206">
        <v>1668.08</v>
      </c>
      <c r="G135" s="51">
        <f t="shared" si="117"/>
        <v>0.305243687599491</v>
      </c>
      <c r="H135" s="44"/>
      <c r="I135" s="44"/>
      <c r="J135" s="206">
        <v>26351.263199999998</v>
      </c>
      <c r="K135" s="51">
        <f t="shared" ref="K135" si="224">J135/$J$487</f>
        <v>1.792426336568748E-2</v>
      </c>
      <c r="L135" s="44"/>
      <c r="M135" s="206">
        <v>4460337</v>
      </c>
      <c r="N135" s="206">
        <v>490582.95751600637</v>
      </c>
      <c r="O135" s="46">
        <f t="shared" si="215"/>
        <v>464231.69431600638</v>
      </c>
      <c r="P135" s="51">
        <f t="shared" si="216"/>
        <v>0.94628581609637297</v>
      </c>
      <c r="Q135" s="51">
        <f t="shared" si="217"/>
        <v>5.3714183903627033E-2</v>
      </c>
      <c r="R135" s="51">
        <f t="shared" si="218"/>
        <v>0</v>
      </c>
      <c r="S135" s="51">
        <f t="shared" si="219"/>
        <v>5.3714183903627033E-2</v>
      </c>
      <c r="T135" s="51">
        <f t="shared" si="220"/>
        <v>-5.3714183903627033E-2</v>
      </c>
      <c r="U135" s="298"/>
      <c r="V135" s="298"/>
      <c r="W135" s="298"/>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2:53" x14ac:dyDescent="0.25">
      <c r="B136" s="44">
        <f t="shared" si="124"/>
        <v>1</v>
      </c>
      <c r="C136" s="44">
        <f>IF(D136=D130,C130,C130+1)</f>
        <v>5</v>
      </c>
      <c r="D136" s="44" t="str">
        <f>D127</f>
        <v>AB Power</v>
      </c>
      <c r="E136" s="45">
        <v>2023</v>
      </c>
      <c r="F136" s="206">
        <v>1537</v>
      </c>
      <c r="G136" s="51">
        <f t="shared" si="117"/>
        <v>0.27466258470661281</v>
      </c>
      <c r="H136" s="44"/>
      <c r="I136" s="44"/>
      <c r="J136" s="206">
        <v>23875.915199999999</v>
      </c>
      <c r="K136" s="51">
        <f t="shared" ref="K136" si="225">J136/$J$488</f>
        <v>1.4947434648549446E-2</v>
      </c>
      <c r="L136" s="44"/>
      <c r="M136" s="206">
        <v>3698090</v>
      </c>
      <c r="N136" s="206">
        <v>155391.71641379045</v>
      </c>
      <c r="O136" s="46">
        <f t="shared" si="215"/>
        <v>131515.80121379046</v>
      </c>
      <c r="P136" s="51">
        <f t="shared" si="216"/>
        <v>0.84635014175130707</v>
      </c>
      <c r="Q136" s="51">
        <f t="shared" si="217"/>
        <v>0.15364985824869293</v>
      </c>
      <c r="R136" s="51">
        <f t="shared" si="218"/>
        <v>0</v>
      </c>
      <c r="S136" s="51">
        <f t="shared" si="219"/>
        <v>0.15364985824869293</v>
      </c>
      <c r="T136" s="51">
        <f t="shared" si="220"/>
        <v>-0.15364985824869293</v>
      </c>
      <c r="U136" s="298"/>
      <c r="V136" s="298"/>
      <c r="W136" s="298"/>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2:53" x14ac:dyDescent="0.25">
      <c r="B137" s="47">
        <f t="shared" si="124"/>
        <v>1</v>
      </c>
      <c r="C137" s="47">
        <f t="shared" si="186"/>
        <v>6</v>
      </c>
      <c r="D137" s="47" t="str">
        <f>'OPG hydro peers'!D10</f>
        <v>SoCal Edison</v>
      </c>
      <c r="E137" s="48">
        <v>2002</v>
      </c>
      <c r="F137" s="207">
        <v>1092.8</v>
      </c>
      <c r="G137" s="50">
        <f t="shared" si="117"/>
        <v>0.34618558773240538</v>
      </c>
      <c r="H137" s="49"/>
      <c r="I137" s="49"/>
      <c r="J137" s="207">
        <v>23225.014800000001</v>
      </c>
      <c r="K137" s="50">
        <f t="shared" ref="K137" si="226">J137/$J$467</f>
        <v>3.0266286712785306E-2</v>
      </c>
      <c r="L137" s="50"/>
      <c r="M137" s="207">
        <v>3314009.7059999998</v>
      </c>
      <c r="N137" s="207">
        <v>108348.66536917859</v>
      </c>
      <c r="O137" s="49">
        <f t="shared" si="119"/>
        <v>85123.650569178586</v>
      </c>
      <c r="P137" s="50">
        <f t="shared" si="120"/>
        <v>0.78564558482686475</v>
      </c>
      <c r="Q137" s="50">
        <f t="shared" si="121"/>
        <v>0.21435441517313525</v>
      </c>
      <c r="R137" s="50">
        <f t="shared" si="122"/>
        <v>0</v>
      </c>
      <c r="S137" s="50">
        <f t="shared" si="123"/>
        <v>0.21435441517313525</v>
      </c>
      <c r="T137" s="50">
        <f t="shared" si="162"/>
        <v>-0.21435441517313525</v>
      </c>
      <c r="U137" s="298"/>
      <c r="V137" s="298"/>
      <c r="W137" s="298"/>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2:53" x14ac:dyDescent="0.25">
      <c r="B138" s="47">
        <f t="shared" si="124"/>
        <v>1</v>
      </c>
      <c r="C138" s="47">
        <f t="shared" si="186"/>
        <v>6</v>
      </c>
      <c r="D138" s="47" t="str">
        <f t="shared" ref="D138:D148" si="227">D137</f>
        <v>SoCal Edison</v>
      </c>
      <c r="E138" s="48">
        <v>2003</v>
      </c>
      <c r="F138" s="207">
        <v>1093</v>
      </c>
      <c r="G138" s="50">
        <f t="shared" si="117"/>
        <v>0.39717846403221829</v>
      </c>
      <c r="H138" s="49"/>
      <c r="I138" s="49"/>
      <c r="J138" s="207">
        <v>23217.3024</v>
      </c>
      <c r="K138" s="50">
        <f t="shared" ref="K138" si="228">J138/$J$468</f>
        <v>2.7375954293781427E-2</v>
      </c>
      <c r="L138" s="50"/>
      <c r="M138" s="207">
        <v>3802856.696</v>
      </c>
      <c r="N138" s="207">
        <v>149085.63944467876</v>
      </c>
      <c r="O138" s="49">
        <f t="shared" si="119"/>
        <v>125868.33704467876</v>
      </c>
      <c r="P138" s="50">
        <f t="shared" si="120"/>
        <v>0.84426868686695178</v>
      </c>
      <c r="Q138" s="50">
        <f t="shared" si="121"/>
        <v>0.15573131313304822</v>
      </c>
      <c r="R138" s="50">
        <f t="shared" si="122"/>
        <v>0</v>
      </c>
      <c r="S138" s="50">
        <f t="shared" si="123"/>
        <v>0.15573131313304822</v>
      </c>
      <c r="T138" s="50">
        <f t="shared" si="162"/>
        <v>-0.15573131313304822</v>
      </c>
      <c r="U138" s="298"/>
      <c r="V138" s="298"/>
      <c r="W138" s="298"/>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2:53" x14ac:dyDescent="0.25">
      <c r="B139" s="47">
        <f t="shared" si="124"/>
        <v>1</v>
      </c>
      <c r="C139" s="47">
        <f t="shared" si="186"/>
        <v>6</v>
      </c>
      <c r="D139" s="47" t="str">
        <f t="shared" si="227"/>
        <v>SoCal Edison</v>
      </c>
      <c r="E139" s="48">
        <v>2004</v>
      </c>
      <c r="F139" s="207">
        <v>1093</v>
      </c>
      <c r="G139" s="50">
        <f t="shared" si="117"/>
        <v>0.34961188196367921</v>
      </c>
      <c r="H139" s="49"/>
      <c r="I139" s="49"/>
      <c r="J139" s="207">
        <v>24552.242399999999</v>
      </c>
      <c r="K139" s="50">
        <f t="shared" ref="K139" si="229">J139/$J$469</f>
        <v>2.7786067018129326E-2</v>
      </c>
      <c r="L139" s="50"/>
      <c r="M139" s="207">
        <v>3347421.8939999999</v>
      </c>
      <c r="N139" s="207">
        <v>145861.93813168941</v>
      </c>
      <c r="O139" s="49">
        <f t="shared" si="119"/>
        <v>121309.69573168941</v>
      </c>
      <c r="P139" s="50">
        <f t="shared" si="120"/>
        <v>0.83167478291812247</v>
      </c>
      <c r="Q139" s="50">
        <f t="shared" si="121"/>
        <v>0.16832521708187753</v>
      </c>
      <c r="R139" s="50">
        <f t="shared" si="122"/>
        <v>0</v>
      </c>
      <c r="S139" s="50">
        <f t="shared" si="123"/>
        <v>0.16832521708187753</v>
      </c>
      <c r="T139" s="50">
        <f t="shared" si="162"/>
        <v>-0.16832521708187753</v>
      </c>
      <c r="U139" s="298"/>
      <c r="V139" s="298"/>
      <c r="W139" s="298"/>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2:53" x14ac:dyDescent="0.25">
      <c r="B140" s="47">
        <f t="shared" si="124"/>
        <v>1</v>
      </c>
      <c r="C140" s="47">
        <f t="shared" si="186"/>
        <v>6</v>
      </c>
      <c r="D140" s="47" t="str">
        <f t="shared" si="227"/>
        <v>SoCal Edison</v>
      </c>
      <c r="E140" s="48">
        <v>2005</v>
      </c>
      <c r="F140" s="207">
        <v>1093</v>
      </c>
      <c r="G140" s="50">
        <f t="shared" si="117"/>
        <v>0.50361140006767846</v>
      </c>
      <c r="H140" s="49"/>
      <c r="I140" s="49"/>
      <c r="J140" s="207">
        <v>23791.098000000002</v>
      </c>
      <c r="K140" s="50">
        <f t="shared" ref="K140" si="230">J140/$J$470</f>
        <v>2.5609083991757819E-2</v>
      </c>
      <c r="L140" s="50"/>
      <c r="M140" s="207">
        <v>4821918</v>
      </c>
      <c r="N140" s="207">
        <v>298305.11887724325</v>
      </c>
      <c r="O140" s="49">
        <f t="shared" si="119"/>
        <v>274514.02087724325</v>
      </c>
      <c r="P140" s="50">
        <f t="shared" si="120"/>
        <v>0.92024576014805037</v>
      </c>
      <c r="Q140" s="50">
        <f t="shared" si="121"/>
        <v>7.9754239851949627E-2</v>
      </c>
      <c r="R140" s="50">
        <f t="shared" si="122"/>
        <v>0</v>
      </c>
      <c r="S140" s="50">
        <f t="shared" si="123"/>
        <v>7.9754239851949627E-2</v>
      </c>
      <c r="T140" s="50">
        <f t="shared" si="162"/>
        <v>-7.9754239851949627E-2</v>
      </c>
      <c r="U140" s="298"/>
      <c r="V140" s="298"/>
      <c r="W140" s="298"/>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2:53" x14ac:dyDescent="0.25">
      <c r="B141" s="47">
        <f t="shared" si="124"/>
        <v>1</v>
      </c>
      <c r="C141" s="47">
        <f t="shared" si="186"/>
        <v>6</v>
      </c>
      <c r="D141" s="47" t="str">
        <f t="shared" si="227"/>
        <v>SoCal Edison</v>
      </c>
      <c r="E141" s="48">
        <v>2006</v>
      </c>
      <c r="F141" s="207">
        <v>1093</v>
      </c>
      <c r="G141" s="50">
        <f t="shared" si="117"/>
        <v>0.49851377539510461</v>
      </c>
      <c r="H141" s="49"/>
      <c r="I141" s="49"/>
      <c r="J141" s="207">
        <v>28857.732</v>
      </c>
      <c r="K141" s="50">
        <f t="shared" ref="K141" si="231">J141/$J$471</f>
        <v>2.9315776510504293E-2</v>
      </c>
      <c r="L141" s="50"/>
      <c r="M141" s="207">
        <v>4773109.875</v>
      </c>
      <c r="N141" s="207">
        <v>263080.48694663163</v>
      </c>
      <c r="O141" s="49">
        <f t="shared" si="119"/>
        <v>234222.75494663164</v>
      </c>
      <c r="P141" s="50">
        <f t="shared" si="120"/>
        <v>0.89030835264550023</v>
      </c>
      <c r="Q141" s="50">
        <f t="shared" si="121"/>
        <v>0.10969164735449977</v>
      </c>
      <c r="R141" s="50">
        <f t="shared" si="122"/>
        <v>0</v>
      </c>
      <c r="S141" s="50">
        <f t="shared" si="123"/>
        <v>0.10969164735449977</v>
      </c>
      <c r="T141" s="50">
        <f t="shared" si="162"/>
        <v>-0.10969164735449977</v>
      </c>
      <c r="U141" s="298"/>
      <c r="V141" s="298"/>
      <c r="W141" s="298"/>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2:53" x14ac:dyDescent="0.25">
      <c r="B142" s="47">
        <f t="shared" si="124"/>
        <v>1</v>
      </c>
      <c r="C142" s="47">
        <f t="shared" si="186"/>
        <v>6</v>
      </c>
      <c r="D142" s="47" t="str">
        <f t="shared" si="227"/>
        <v>SoCal Edison</v>
      </c>
      <c r="E142" s="48">
        <v>2007</v>
      </c>
      <c r="F142" s="207">
        <v>1105</v>
      </c>
      <c r="G142" s="50">
        <f t="shared" si="117"/>
        <v>0.25293126490216744</v>
      </c>
      <c r="H142" s="49"/>
      <c r="I142" s="49"/>
      <c r="J142" s="207">
        <v>34199.264399999993</v>
      </c>
      <c r="K142" s="50">
        <f t="shared" ref="K142" si="232">J142/$J$472</f>
        <v>3.2084050768263317E-2</v>
      </c>
      <c r="L142" s="50"/>
      <c r="M142" s="207">
        <v>2448324.0580000002</v>
      </c>
      <c r="N142" s="207">
        <v>141321.39356817049</v>
      </c>
      <c r="O142" s="49">
        <f t="shared" si="119"/>
        <v>107122.1291681705</v>
      </c>
      <c r="P142" s="50">
        <f t="shared" si="120"/>
        <v>0.75800362891621942</v>
      </c>
      <c r="Q142" s="50">
        <f t="shared" si="121"/>
        <v>0.24199637108378058</v>
      </c>
      <c r="R142" s="50">
        <f t="shared" si="122"/>
        <v>0</v>
      </c>
      <c r="S142" s="50">
        <f t="shared" si="123"/>
        <v>0.24199637108378058</v>
      </c>
      <c r="T142" s="50">
        <f t="shared" si="162"/>
        <v>-0.24199637108378058</v>
      </c>
      <c r="U142" s="298"/>
      <c r="V142" s="298"/>
      <c r="W142" s="298"/>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2:53" x14ac:dyDescent="0.25">
      <c r="B143" s="47">
        <f t="shared" si="124"/>
        <v>1</v>
      </c>
      <c r="C143" s="47">
        <f t="shared" si="186"/>
        <v>6</v>
      </c>
      <c r="D143" s="47" t="str">
        <f t="shared" si="227"/>
        <v>SoCal Edison</v>
      </c>
      <c r="E143" s="48">
        <v>2008</v>
      </c>
      <c r="F143" s="207">
        <v>1105</v>
      </c>
      <c r="G143" s="50">
        <f t="shared" si="117"/>
        <v>0.25364936207359656</v>
      </c>
      <c r="H143" s="49"/>
      <c r="I143" s="49"/>
      <c r="J143" s="207">
        <v>32084.523599999993</v>
      </c>
      <c r="K143" s="50">
        <f t="shared" ref="K143" si="233">J143/$J$473</f>
        <v>2.7705114551733544E-2</v>
      </c>
      <c r="L143" s="50"/>
      <c r="M143" s="207">
        <v>2455275.0950000002</v>
      </c>
      <c r="N143" s="207">
        <v>205127.41024195522</v>
      </c>
      <c r="O143" s="49">
        <f t="shared" si="119"/>
        <v>173042.88664195524</v>
      </c>
      <c r="P143" s="50">
        <f t="shared" si="120"/>
        <v>0.84358734133992563</v>
      </c>
      <c r="Q143" s="50">
        <f t="shared" si="121"/>
        <v>0.15641265866007437</v>
      </c>
      <c r="R143" s="50">
        <f t="shared" si="122"/>
        <v>0</v>
      </c>
      <c r="S143" s="50">
        <f t="shared" si="123"/>
        <v>0.15641265866007437</v>
      </c>
      <c r="T143" s="50">
        <f t="shared" si="162"/>
        <v>-0.15641265866007437</v>
      </c>
      <c r="U143" s="298"/>
      <c r="V143" s="298"/>
      <c r="W143" s="298"/>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2:53" x14ac:dyDescent="0.25">
      <c r="B144" s="47">
        <f t="shared" si="124"/>
        <v>1</v>
      </c>
      <c r="C144" s="47">
        <f t="shared" si="186"/>
        <v>6</v>
      </c>
      <c r="D144" s="47" t="str">
        <f t="shared" si="227"/>
        <v>SoCal Edison</v>
      </c>
      <c r="E144" s="48">
        <v>2009</v>
      </c>
      <c r="F144" s="207">
        <v>1105</v>
      </c>
      <c r="G144" s="50">
        <f t="shared" si="117"/>
        <v>0.36861152441166145</v>
      </c>
      <c r="H144" s="49"/>
      <c r="I144" s="49"/>
      <c r="J144" s="207">
        <v>38861.830800000011</v>
      </c>
      <c r="K144" s="50">
        <f t="shared" ref="K144" si="234">J144/$J$474</f>
        <v>3.2934168666991927E-2</v>
      </c>
      <c r="L144" s="50"/>
      <c r="M144" s="207">
        <v>3568085.8340000003</v>
      </c>
      <c r="N144" s="207">
        <v>127758.24859453294</v>
      </c>
      <c r="O144" s="49">
        <f t="shared" si="119"/>
        <v>88896.417794532928</v>
      </c>
      <c r="P144" s="50">
        <f t="shared" si="120"/>
        <v>0.69581744249378352</v>
      </c>
      <c r="Q144" s="50">
        <f t="shared" si="121"/>
        <v>0.30418255750621648</v>
      </c>
      <c r="R144" s="50">
        <f t="shared" si="122"/>
        <v>0</v>
      </c>
      <c r="S144" s="50">
        <f t="shared" si="123"/>
        <v>0.30418255750621648</v>
      </c>
      <c r="T144" s="50">
        <f t="shared" si="162"/>
        <v>-0.30418255750621648</v>
      </c>
      <c r="U144" s="298"/>
      <c r="V144" s="298"/>
      <c r="W144" s="298"/>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2:53" x14ac:dyDescent="0.25">
      <c r="B145" s="47">
        <f t="shared" si="124"/>
        <v>1</v>
      </c>
      <c r="C145" s="47">
        <f t="shared" si="186"/>
        <v>6</v>
      </c>
      <c r="D145" s="47" t="str">
        <f t="shared" si="227"/>
        <v>SoCal Edison</v>
      </c>
      <c r="E145" s="48">
        <v>2010</v>
      </c>
      <c r="F145" s="207">
        <v>1105</v>
      </c>
      <c r="G145" s="50">
        <f t="shared" si="117"/>
        <v>0.42411203857517715</v>
      </c>
      <c r="H145" s="49"/>
      <c r="I145" s="49"/>
      <c r="J145" s="207">
        <v>43700.061600000001</v>
      </c>
      <c r="K145" s="50">
        <f t="shared" ref="K145" si="235">J145/$J$475</f>
        <v>3.5711792405897384E-2</v>
      </c>
      <c r="L145" s="50"/>
      <c r="M145" s="207">
        <v>4105319.7109999997</v>
      </c>
      <c r="N145" s="207">
        <v>168242.1201316604</v>
      </c>
      <c r="O145" s="49">
        <f t="shared" si="119"/>
        <v>124542.0585316604</v>
      </c>
      <c r="P145" s="50">
        <f t="shared" si="120"/>
        <v>0.74025492804178961</v>
      </c>
      <c r="Q145" s="50">
        <f t="shared" si="121"/>
        <v>0.25974507195821039</v>
      </c>
      <c r="R145" s="50">
        <f t="shared" si="122"/>
        <v>0</v>
      </c>
      <c r="S145" s="50">
        <f t="shared" si="123"/>
        <v>0.25974507195821039</v>
      </c>
      <c r="T145" s="50">
        <f t="shared" si="162"/>
        <v>-0.25974507195821039</v>
      </c>
      <c r="U145" s="298"/>
      <c r="V145" s="298"/>
      <c r="W145" s="298"/>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2:53" x14ac:dyDescent="0.25">
      <c r="B146" s="47">
        <f t="shared" si="124"/>
        <v>1</v>
      </c>
      <c r="C146" s="47">
        <f t="shared" si="186"/>
        <v>6</v>
      </c>
      <c r="D146" s="47" t="str">
        <f t="shared" si="227"/>
        <v>SoCal Edison</v>
      </c>
      <c r="E146" s="48">
        <v>2011</v>
      </c>
      <c r="F146" s="207">
        <v>1112.2</v>
      </c>
      <c r="G146" s="50">
        <f t="shared" si="117"/>
        <v>0.47249197926443043</v>
      </c>
      <c r="H146" s="49"/>
      <c r="I146" s="49"/>
      <c r="J146" s="207">
        <v>47162.263199999994</v>
      </c>
      <c r="K146" s="50">
        <f t="shared" ref="K146" si="236">J146/$J$476</f>
        <v>3.9074873175012029E-2</v>
      </c>
      <c r="L146" s="50"/>
      <c r="M146" s="207">
        <v>4603428.875</v>
      </c>
      <c r="N146" s="207">
        <v>170695.72471820243</v>
      </c>
      <c r="O146" s="49">
        <f t="shared" si="119"/>
        <v>123533.46151820244</v>
      </c>
      <c r="P146" s="50">
        <f t="shared" si="120"/>
        <v>0.72370565649573793</v>
      </c>
      <c r="Q146" s="50">
        <f t="shared" si="121"/>
        <v>0.27629434350426207</v>
      </c>
      <c r="R146" s="50">
        <f t="shared" si="122"/>
        <v>0</v>
      </c>
      <c r="S146" s="50">
        <f t="shared" si="123"/>
        <v>0.27629434350426207</v>
      </c>
      <c r="T146" s="50">
        <f t="shared" si="162"/>
        <v>-0.27629434350426207</v>
      </c>
      <c r="U146" s="298"/>
      <c r="V146" s="298"/>
      <c r="W146" s="298"/>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2:53" x14ac:dyDescent="0.25">
      <c r="B147" s="47">
        <f t="shared" si="124"/>
        <v>1</v>
      </c>
      <c r="C147" s="47">
        <f t="shared" si="186"/>
        <v>6</v>
      </c>
      <c r="D147" s="47" t="str">
        <f t="shared" si="227"/>
        <v>SoCal Edison</v>
      </c>
      <c r="E147" s="48">
        <v>2012</v>
      </c>
      <c r="F147" s="207">
        <v>1112.4000000000001</v>
      </c>
      <c r="G147" s="50">
        <f t="shared" si="117"/>
        <v>0.26943407831846561</v>
      </c>
      <c r="H147" s="49"/>
      <c r="I147" s="49"/>
      <c r="J147" s="207">
        <v>39232.188000000002</v>
      </c>
      <c r="K147" s="50">
        <f t="shared" ref="K147" si="237">J147/$J$477</f>
        <v>3.1509586798892521E-2</v>
      </c>
      <c r="L147" s="50"/>
      <c r="M147" s="207">
        <v>2625533.7859999998</v>
      </c>
      <c r="N147" s="207">
        <v>88170.246974134861</v>
      </c>
      <c r="O147" s="49">
        <f t="shared" si="119"/>
        <v>48938.058974134859</v>
      </c>
      <c r="P147" s="50">
        <f t="shared" si="120"/>
        <v>0.55504051143795774</v>
      </c>
      <c r="Q147" s="50">
        <f t="shared" si="121"/>
        <v>0.44495948856204226</v>
      </c>
      <c r="R147" s="50">
        <f t="shared" si="122"/>
        <v>0</v>
      </c>
      <c r="S147" s="50">
        <f t="shared" si="123"/>
        <v>0.44495948856204226</v>
      </c>
      <c r="T147" s="50">
        <f t="shared" si="162"/>
        <v>-0.44495948856204226</v>
      </c>
      <c r="U147" s="298"/>
      <c r="V147" s="298"/>
      <c r="W147" s="298"/>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2:53" x14ac:dyDescent="0.25">
      <c r="B148" s="47">
        <f t="shared" si="124"/>
        <v>1</v>
      </c>
      <c r="C148" s="47">
        <f t="shared" si="186"/>
        <v>6</v>
      </c>
      <c r="D148" s="47" t="str">
        <f t="shared" si="227"/>
        <v>SoCal Edison</v>
      </c>
      <c r="E148" s="48">
        <v>2013</v>
      </c>
      <c r="F148" s="207">
        <v>1112.4000000000001</v>
      </c>
      <c r="G148" s="50">
        <f t="shared" si="117"/>
        <v>0.23137492539476126</v>
      </c>
      <c r="H148" s="47"/>
      <c r="I148" s="47"/>
      <c r="J148" s="207">
        <v>45648.617999999995</v>
      </c>
      <c r="K148" s="50">
        <f t="shared" ref="K148" si="238">J148/$J$478</f>
        <v>3.6720940758295288E-2</v>
      </c>
      <c r="L148" s="47"/>
      <c r="M148" s="207">
        <v>2254661.6510000001</v>
      </c>
      <c r="N148" s="207">
        <v>109560.97251100326</v>
      </c>
      <c r="O148" s="49">
        <f t="shared" si="119"/>
        <v>63912.354511003265</v>
      </c>
      <c r="P148" s="50">
        <f t="shared" si="120"/>
        <v>0.58334964582926208</v>
      </c>
      <c r="Q148" s="50">
        <f t="shared" si="121"/>
        <v>0.41665035417073792</v>
      </c>
      <c r="R148" s="50">
        <f t="shared" si="122"/>
        <v>0</v>
      </c>
      <c r="S148" s="50">
        <f t="shared" si="123"/>
        <v>0.41665035417073792</v>
      </c>
      <c r="T148" s="50">
        <f t="shared" si="162"/>
        <v>-0.41665035417073792</v>
      </c>
      <c r="U148" s="298"/>
      <c r="V148" s="298"/>
      <c r="W148" s="298"/>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2:53" x14ac:dyDescent="0.25">
      <c r="B149" s="47">
        <f t="shared" si="124"/>
        <v>1</v>
      </c>
      <c r="C149" s="47">
        <f t="shared" si="186"/>
        <v>6</v>
      </c>
      <c r="D149" s="47" t="str">
        <f>D146</f>
        <v>SoCal Edison</v>
      </c>
      <c r="E149" s="48">
        <v>2014</v>
      </c>
      <c r="F149" s="207">
        <v>1112.4000000000001</v>
      </c>
      <c r="G149" s="50">
        <f t="shared" si="117"/>
        <v>0.15834696505478302</v>
      </c>
      <c r="H149" s="47"/>
      <c r="I149" s="47"/>
      <c r="J149" s="207">
        <v>33423.5916</v>
      </c>
      <c r="K149" s="50">
        <f t="shared" ref="K149" si="239">J149/$J$479</f>
        <v>2.6788526186404645E-2</v>
      </c>
      <c r="L149" s="47"/>
      <c r="M149" s="207">
        <v>1543031.6359999999</v>
      </c>
      <c r="N149" s="207">
        <v>84593.879133512091</v>
      </c>
      <c r="O149" s="49">
        <f t="shared" si="119"/>
        <v>51170.287533512092</v>
      </c>
      <c r="P149" s="50">
        <f t="shared" si="120"/>
        <v>0.60489349888721256</v>
      </c>
      <c r="Q149" s="50">
        <f t="shared" si="121"/>
        <v>0.39510650111278744</v>
      </c>
      <c r="R149" s="50">
        <f t="shared" si="122"/>
        <v>0</v>
      </c>
      <c r="S149" s="50">
        <f t="shared" si="123"/>
        <v>0.39510650111278744</v>
      </c>
      <c r="T149" s="50">
        <f t="shared" si="162"/>
        <v>-0.39510650111278744</v>
      </c>
      <c r="U149" s="298"/>
      <c r="V149" s="298"/>
      <c r="W149" s="298"/>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2:53" x14ac:dyDescent="0.25">
      <c r="B150" s="47">
        <f t="shared" si="124"/>
        <v>1</v>
      </c>
      <c r="C150" s="47">
        <f t="shared" si="186"/>
        <v>6</v>
      </c>
      <c r="D150" s="47" t="str">
        <f>D147</f>
        <v>SoCal Edison</v>
      </c>
      <c r="E150" s="48">
        <v>2015</v>
      </c>
      <c r="F150" s="207">
        <v>1107.9000000000001</v>
      </c>
      <c r="G150" s="50">
        <f t="shared" si="117"/>
        <v>8.9934843924970559E-2</v>
      </c>
      <c r="H150" s="47"/>
      <c r="I150" s="47"/>
      <c r="J150" s="207">
        <v>36906.826799999995</v>
      </c>
      <c r="K150" s="50">
        <f t="shared" ref="K150" si="240">J150/$J$480</f>
        <v>2.8003061307328856E-2</v>
      </c>
      <c r="L150" s="47"/>
      <c r="M150" s="207">
        <v>872836.00699999998</v>
      </c>
      <c r="N150" s="207">
        <v>36496.130024963262</v>
      </c>
      <c r="O150" s="49">
        <f t="shared" si="119"/>
        <v>-410.69677503673302</v>
      </c>
      <c r="P150" s="50">
        <f t="shared" si="120"/>
        <v>-1.1253159574886911E-2</v>
      </c>
      <c r="Q150" s="50">
        <f t="shared" si="121"/>
        <v>1.0112531595748868</v>
      </c>
      <c r="R150" s="50">
        <f t="shared" si="122"/>
        <v>0</v>
      </c>
      <c r="S150" s="50">
        <f t="shared" si="123"/>
        <v>1.0112531595748868</v>
      </c>
      <c r="T150" s="50">
        <f t="shared" si="162"/>
        <v>-1.0112531595748868</v>
      </c>
      <c r="U150" s="298"/>
      <c r="V150" s="298"/>
      <c r="W150" s="298"/>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2:53" x14ac:dyDescent="0.25">
      <c r="B151" s="47">
        <f t="shared" si="124"/>
        <v>1</v>
      </c>
      <c r="C151" s="47">
        <f t="shared" si="186"/>
        <v>6</v>
      </c>
      <c r="D151" s="47" t="str">
        <f>D148</f>
        <v>SoCal Edison</v>
      </c>
      <c r="E151" s="48">
        <v>2016</v>
      </c>
      <c r="F151" s="207">
        <v>1105</v>
      </c>
      <c r="G151" s="50">
        <f t="shared" si="117"/>
        <v>0.36462922622368232</v>
      </c>
      <c r="H151" s="47"/>
      <c r="I151" s="47"/>
      <c r="J151" s="207">
        <v>36028.186800000003</v>
      </c>
      <c r="K151" s="50">
        <f t="shared" ref="K151" si="241">J151/$J$481</f>
        <v>2.707082209289358E-2</v>
      </c>
      <c r="L151" s="47"/>
      <c r="M151" s="207">
        <v>3529537.9840000002</v>
      </c>
      <c r="N151" s="207">
        <v>119891.31023093383</v>
      </c>
      <c r="O151" s="49">
        <f t="shared" si="119"/>
        <v>83863.123430933832</v>
      </c>
      <c r="P151" s="50">
        <f t="shared" si="120"/>
        <v>0.69949292629630333</v>
      </c>
      <c r="Q151" s="50">
        <f t="shared" si="121"/>
        <v>0.30050707370369667</v>
      </c>
      <c r="R151" s="50">
        <f t="shared" si="122"/>
        <v>0</v>
      </c>
      <c r="S151" s="50">
        <f t="shared" si="123"/>
        <v>0.30050707370369667</v>
      </c>
      <c r="T151" s="50">
        <f t="shared" si="162"/>
        <v>-0.30050707370369667</v>
      </c>
      <c r="U151" s="298"/>
      <c r="V151" s="298"/>
      <c r="W151" s="298"/>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2:53" x14ac:dyDescent="0.25">
      <c r="B152" s="47">
        <f t="shared" si="124"/>
        <v>1</v>
      </c>
      <c r="C152" s="47">
        <f t="shared" si="186"/>
        <v>6</v>
      </c>
      <c r="D152" s="47" t="str">
        <f t="shared" ref="D152:D158" si="242">D151</f>
        <v>SoCal Edison</v>
      </c>
      <c r="E152" s="48">
        <v>2017</v>
      </c>
      <c r="F152" s="207">
        <v>1105</v>
      </c>
      <c r="G152" s="50">
        <f t="shared" si="117"/>
        <v>0.57571799169404325</v>
      </c>
      <c r="H152" s="47"/>
      <c r="I152" s="47"/>
      <c r="J152" s="207">
        <v>37932.625200000002</v>
      </c>
      <c r="K152" s="50">
        <f t="shared" ref="K152" si="243">J152/$J$482</f>
        <v>2.9134653605218726E-2</v>
      </c>
      <c r="L152" s="47"/>
      <c r="M152" s="207">
        <v>5572835.0159999998</v>
      </c>
      <c r="N152" s="207">
        <v>204851.71216386199</v>
      </c>
      <c r="O152" s="49">
        <f t="shared" si="119"/>
        <v>166919.08696386198</v>
      </c>
      <c r="P152" s="50">
        <f t="shared" si="120"/>
        <v>0.81482885937678906</v>
      </c>
      <c r="Q152" s="50">
        <f t="shared" si="121"/>
        <v>0.18517114062321094</v>
      </c>
      <c r="R152" s="50">
        <f t="shared" si="122"/>
        <v>0</v>
      </c>
      <c r="S152" s="50">
        <f t="shared" si="123"/>
        <v>0.18517114062321094</v>
      </c>
      <c r="T152" s="50">
        <f t="shared" si="162"/>
        <v>-0.18517114062321094</v>
      </c>
      <c r="U152" s="298"/>
      <c r="V152" s="298"/>
      <c r="W152" s="298"/>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2:53" x14ac:dyDescent="0.25">
      <c r="B153" s="47">
        <f t="shared" si="124"/>
        <v>1</v>
      </c>
      <c r="C153" s="47">
        <f t="shared" si="186"/>
        <v>6</v>
      </c>
      <c r="D153" s="47" t="str">
        <f t="shared" si="242"/>
        <v>SoCal Edison</v>
      </c>
      <c r="E153" s="48">
        <v>2018</v>
      </c>
      <c r="F153" s="207">
        <v>1092.6099999999999</v>
      </c>
      <c r="G153" s="50">
        <f t="shared" ref="G153" si="244">M153/(F153*8760)</f>
        <v>0.35219564008246518</v>
      </c>
      <c r="H153" s="47"/>
      <c r="I153" s="47"/>
      <c r="J153" s="207">
        <v>41120.397599999997</v>
      </c>
      <c r="K153" s="50">
        <f t="shared" ref="K153" si="245">J153/$J$483</f>
        <v>2.9306746555888021E-2</v>
      </c>
      <c r="L153" s="47"/>
      <c r="M153" s="208">
        <v>3370957.31</v>
      </c>
      <c r="N153" s="207">
        <v>173002.22724677977</v>
      </c>
      <c r="O153" s="49">
        <f t="shared" ref="O153:O154" si="246">N153-J153</f>
        <v>131881.82964677978</v>
      </c>
      <c r="P153" s="50">
        <f t="shared" ref="P153:P154" si="247">O153/N153</f>
        <v>0.7623129005076702</v>
      </c>
      <c r="Q153" s="50">
        <f t="shared" ref="Q153:Q154" si="248">1-P153</f>
        <v>0.2376870994923298</v>
      </c>
      <c r="R153" s="50">
        <f t="shared" ref="R153:R154" si="249">Q153*L153</f>
        <v>0</v>
      </c>
      <c r="S153" s="50">
        <f t="shared" ref="S153:S154" si="250">Q153-R153</f>
        <v>0.2376870994923298</v>
      </c>
      <c r="T153" s="50">
        <f t="shared" ref="T153:T154" si="251">R153-S153</f>
        <v>-0.2376870994923298</v>
      </c>
      <c r="U153" s="298"/>
      <c r="V153" s="298"/>
      <c r="W153" s="298"/>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2:53" x14ac:dyDescent="0.25">
      <c r="B154" s="47">
        <f t="shared" si="124"/>
        <v>1</v>
      </c>
      <c r="C154" s="47">
        <f t="shared" si="186"/>
        <v>6</v>
      </c>
      <c r="D154" s="47" t="str">
        <f t="shared" si="242"/>
        <v>SoCal Edison</v>
      </c>
      <c r="E154" s="48">
        <v>2019</v>
      </c>
      <c r="F154" s="207">
        <v>1092.81</v>
      </c>
      <c r="G154" s="50">
        <f t="shared" si="117"/>
        <v>0.42725621569027844</v>
      </c>
      <c r="H154" s="47"/>
      <c r="I154" s="47"/>
      <c r="J154" s="207">
        <v>42035.753999999994</v>
      </c>
      <c r="K154" s="50">
        <f t="shared" ref="K154" si="252">J154/$J$484</f>
        <v>3.0527476917738449E-2</v>
      </c>
      <c r="L154" s="47"/>
      <c r="M154" s="207">
        <v>4090130.4180000001</v>
      </c>
      <c r="N154" s="207">
        <v>149516.20366911934</v>
      </c>
      <c r="O154" s="49">
        <f t="shared" si="246"/>
        <v>107480.44966911935</v>
      </c>
      <c r="P154" s="50">
        <f t="shared" si="247"/>
        <v>0.71885486008576382</v>
      </c>
      <c r="Q154" s="50">
        <f t="shared" si="248"/>
        <v>0.28114513991423618</v>
      </c>
      <c r="R154" s="50">
        <f t="shared" si="249"/>
        <v>0</v>
      </c>
      <c r="S154" s="50">
        <f t="shared" si="250"/>
        <v>0.28114513991423618</v>
      </c>
      <c r="T154" s="50">
        <f t="shared" si="251"/>
        <v>-0.28114513991423618</v>
      </c>
      <c r="U154" s="298"/>
      <c r="V154" s="298"/>
      <c r="W154" s="298"/>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2:53" x14ac:dyDescent="0.25">
      <c r="B155" s="47">
        <f t="shared" si="124"/>
        <v>1</v>
      </c>
      <c r="C155" s="47">
        <f t="shared" si="186"/>
        <v>6</v>
      </c>
      <c r="D155" s="47" t="str">
        <f t="shared" ref="D155:D157" si="253">D152</f>
        <v>SoCal Edison</v>
      </c>
      <c r="E155" s="48">
        <v>2020</v>
      </c>
      <c r="F155" s="207">
        <v>1092.6099999999999</v>
      </c>
      <c r="G155" s="50">
        <f t="shared" si="117"/>
        <v>0.21066036484461675</v>
      </c>
      <c r="H155" s="47"/>
      <c r="I155" s="47"/>
      <c r="J155" s="207">
        <v>47505.385200000004</v>
      </c>
      <c r="K155" s="50">
        <f t="shared" ref="K155" si="254">J155/$J$485</f>
        <v>3.4300810306004355E-2</v>
      </c>
      <c r="L155" s="47"/>
      <c r="M155" s="207">
        <v>2016285.882</v>
      </c>
      <c r="N155" s="207">
        <v>73519.004133589187</v>
      </c>
      <c r="O155" s="49">
        <f t="shared" ref="O155:O158" si="255">N155-J155</f>
        <v>26013.618933589183</v>
      </c>
      <c r="P155" s="50">
        <f t="shared" ref="P155:P158" si="256">O155/N155</f>
        <v>0.35383530068389679</v>
      </c>
      <c r="Q155" s="50">
        <f t="shared" ref="Q155:Q158" si="257">1-P155</f>
        <v>0.64616469931610321</v>
      </c>
      <c r="R155" s="50">
        <f t="shared" ref="R155:R158" si="258">Q155*L155</f>
        <v>0</v>
      </c>
      <c r="S155" s="50">
        <f t="shared" ref="S155:S158" si="259">Q155-R155</f>
        <v>0.64616469931610321</v>
      </c>
      <c r="T155" s="50">
        <f t="shared" ref="T155:T158" si="260">R155-S155</f>
        <v>-0.64616469931610321</v>
      </c>
      <c r="U155" s="298"/>
      <c r="V155" s="298"/>
      <c r="W155" s="298"/>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2:53" x14ac:dyDescent="0.25">
      <c r="B156" s="47">
        <f t="shared" si="124"/>
        <v>1</v>
      </c>
      <c r="C156" s="47">
        <f t="shared" si="186"/>
        <v>6</v>
      </c>
      <c r="D156" s="47" t="str">
        <f t="shared" si="253"/>
        <v>SoCal Edison</v>
      </c>
      <c r="E156" s="48">
        <v>2021</v>
      </c>
      <c r="F156" s="207">
        <v>1105.6199999999999</v>
      </c>
      <c r="G156" s="50">
        <f t="shared" si="117"/>
        <v>0.17483325911724237</v>
      </c>
      <c r="H156" s="47"/>
      <c r="I156" s="47"/>
      <c r="J156" s="207">
        <v>42133.461600000002</v>
      </c>
      <c r="K156" s="50">
        <f t="shared" ref="K156" si="261">J156/$J$486</f>
        <v>2.9077925343147803E-2</v>
      </c>
      <c r="L156" s="47"/>
      <c r="M156" s="207">
        <v>1693300.5360000001</v>
      </c>
      <c r="N156" s="207">
        <v>100992.76873252187</v>
      </c>
      <c r="O156" s="49">
        <f t="shared" si="255"/>
        <v>58859.30713252187</v>
      </c>
      <c r="P156" s="50">
        <f t="shared" si="256"/>
        <v>0.58280714422643498</v>
      </c>
      <c r="Q156" s="50">
        <f t="shared" si="257"/>
        <v>0.41719285577356502</v>
      </c>
      <c r="R156" s="50">
        <f t="shared" si="258"/>
        <v>0</v>
      </c>
      <c r="S156" s="50">
        <f t="shared" si="259"/>
        <v>0.41719285577356502</v>
      </c>
      <c r="T156" s="50">
        <f t="shared" si="260"/>
        <v>-0.41719285577356502</v>
      </c>
      <c r="U156" s="298"/>
      <c r="V156" s="298"/>
      <c r="W156" s="298"/>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2:53" x14ac:dyDescent="0.25">
      <c r="B157" s="47">
        <f t="shared" si="124"/>
        <v>1</v>
      </c>
      <c r="C157" s="47">
        <f t="shared" si="186"/>
        <v>6</v>
      </c>
      <c r="D157" s="47" t="str">
        <f t="shared" si="253"/>
        <v>SoCal Edison</v>
      </c>
      <c r="E157" s="48">
        <v>2022</v>
      </c>
      <c r="F157" s="207">
        <v>1105.6199999999999</v>
      </c>
      <c r="G157" s="50">
        <f t="shared" si="117"/>
        <v>0.25533763943601062</v>
      </c>
      <c r="H157" s="47"/>
      <c r="I157" s="47"/>
      <c r="J157" s="207">
        <v>41679.317999999999</v>
      </c>
      <c r="K157" s="50">
        <f t="shared" ref="K157" si="262">J157/$J$487</f>
        <v>2.8350484265750066E-2</v>
      </c>
      <c r="L157" s="47"/>
      <c r="M157" s="207">
        <v>2473004.0720000002</v>
      </c>
      <c r="N157" s="207">
        <v>259216.63548854046</v>
      </c>
      <c r="O157" s="49">
        <f t="shared" si="255"/>
        <v>217537.31748854046</v>
      </c>
      <c r="P157" s="50">
        <f t="shared" si="256"/>
        <v>0.8392104815285184</v>
      </c>
      <c r="Q157" s="50">
        <f t="shared" si="257"/>
        <v>0.1607895184714816</v>
      </c>
      <c r="R157" s="50">
        <f t="shared" si="258"/>
        <v>0</v>
      </c>
      <c r="S157" s="50">
        <f t="shared" si="259"/>
        <v>0.1607895184714816</v>
      </c>
      <c r="T157" s="50">
        <f t="shared" si="260"/>
        <v>-0.1607895184714816</v>
      </c>
      <c r="U157" s="298"/>
      <c r="V157" s="298"/>
      <c r="W157" s="298"/>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2:53" x14ac:dyDescent="0.25">
      <c r="B158" s="47">
        <f t="shared" si="124"/>
        <v>1</v>
      </c>
      <c r="C158" s="47">
        <f t="shared" si="186"/>
        <v>6</v>
      </c>
      <c r="D158" s="47" t="str">
        <f t="shared" si="242"/>
        <v>SoCal Edison</v>
      </c>
      <c r="E158" s="48">
        <v>2023</v>
      </c>
      <c r="F158" s="207">
        <v>1105.6199999999999</v>
      </c>
      <c r="G158" s="50">
        <f t="shared" si="117"/>
        <v>0.31744704019042935</v>
      </c>
      <c r="H158" s="47"/>
      <c r="I158" s="47"/>
      <c r="J158" s="207">
        <v>70111.222799999989</v>
      </c>
      <c r="K158" s="50">
        <f t="shared" ref="K158" si="263">J158/$J$488</f>
        <v>4.3892890059053724E-2</v>
      </c>
      <c r="L158" s="47"/>
      <c r="M158" s="208">
        <v>3074547.9780000001</v>
      </c>
      <c r="N158" s="207">
        <v>186248.50736193071</v>
      </c>
      <c r="O158" s="49">
        <f t="shared" si="255"/>
        <v>116137.28456193072</v>
      </c>
      <c r="P158" s="50">
        <f t="shared" si="256"/>
        <v>0.6235608875846983</v>
      </c>
      <c r="Q158" s="50">
        <f t="shared" si="257"/>
        <v>0.3764391124153017</v>
      </c>
      <c r="R158" s="50">
        <f t="shared" si="258"/>
        <v>0</v>
      </c>
      <c r="S158" s="50">
        <f t="shared" si="259"/>
        <v>0.3764391124153017</v>
      </c>
      <c r="T158" s="50">
        <f t="shared" si="260"/>
        <v>-0.3764391124153017</v>
      </c>
      <c r="U158" s="298"/>
      <c r="V158" s="298"/>
      <c r="W158" s="298"/>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2:53" x14ac:dyDescent="0.25">
      <c r="B159" s="44">
        <f t="shared" si="124"/>
        <v>1</v>
      </c>
      <c r="C159" s="44">
        <f t="shared" si="186"/>
        <v>7</v>
      </c>
      <c r="D159" s="44" t="str">
        <f>'OPG hydro peers'!D11</f>
        <v>GA Power</v>
      </c>
      <c r="E159" s="45">
        <v>2002</v>
      </c>
      <c r="F159" s="206">
        <v>1058</v>
      </c>
      <c r="G159" s="51">
        <f t="shared" si="117"/>
        <v>0.18570764797023764</v>
      </c>
      <c r="H159" s="46"/>
      <c r="I159" s="46"/>
      <c r="J159" s="206">
        <v>43239.949199999995</v>
      </c>
      <c r="K159" s="51">
        <f t="shared" ref="K159" si="264">J159/$J$467</f>
        <v>5.6349273023217683E-2</v>
      </c>
      <c r="L159" s="51"/>
      <c r="M159" s="206">
        <v>1721153.338</v>
      </c>
      <c r="N159" s="206">
        <v>28296.983443419118</v>
      </c>
      <c r="O159" s="46">
        <f t="shared" si="119"/>
        <v>-14942.965756580877</v>
      </c>
      <c r="P159" s="51">
        <f t="shared" si="120"/>
        <v>-0.52807628016109553</v>
      </c>
      <c r="Q159" s="51">
        <f t="shared" si="121"/>
        <v>1.5280762801610956</v>
      </c>
      <c r="R159" s="51">
        <f t="shared" si="122"/>
        <v>0</v>
      </c>
      <c r="S159" s="51">
        <f t="shared" si="123"/>
        <v>1.5280762801610956</v>
      </c>
      <c r="T159" s="51">
        <f t="shared" si="162"/>
        <v>-1.5280762801610956</v>
      </c>
      <c r="U159" s="298"/>
      <c r="V159" s="298"/>
      <c r="W159" s="298"/>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2:53" x14ac:dyDescent="0.25">
      <c r="B160" s="44">
        <f t="shared" si="124"/>
        <v>1</v>
      </c>
      <c r="C160" s="44">
        <f t="shared" si="186"/>
        <v>7</v>
      </c>
      <c r="D160" s="44" t="str">
        <f t="shared" ref="D160:D167" si="265">D159</f>
        <v>GA Power</v>
      </c>
      <c r="E160" s="45">
        <v>2003</v>
      </c>
      <c r="F160" s="206">
        <v>1058</v>
      </c>
      <c r="G160" s="51">
        <f t="shared" si="117"/>
        <v>0.30005717667521214</v>
      </c>
      <c r="H160" s="46"/>
      <c r="I160" s="46"/>
      <c r="J160" s="206">
        <v>43157.49</v>
      </c>
      <c r="K160" s="51">
        <f t="shared" ref="K160" si="266">J160/$J$468</f>
        <v>5.0887801404280668E-2</v>
      </c>
      <c r="L160" s="51"/>
      <c r="M160" s="206">
        <v>2780953.9180000001</v>
      </c>
      <c r="N160" s="206">
        <v>74738.331805936105</v>
      </c>
      <c r="O160" s="46">
        <f t="shared" si="119"/>
        <v>31580.841805936107</v>
      </c>
      <c r="P160" s="51">
        <f t="shared" si="120"/>
        <v>0.422552136806294</v>
      </c>
      <c r="Q160" s="51">
        <f t="shared" si="121"/>
        <v>0.577447863193706</v>
      </c>
      <c r="R160" s="51">
        <f t="shared" si="122"/>
        <v>0</v>
      </c>
      <c r="S160" s="51">
        <f t="shared" si="123"/>
        <v>0.577447863193706</v>
      </c>
      <c r="T160" s="51">
        <f t="shared" si="162"/>
        <v>-0.577447863193706</v>
      </c>
      <c r="U160" s="298"/>
      <c r="V160" s="298"/>
      <c r="W160" s="298"/>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2:53" x14ac:dyDescent="0.25">
      <c r="B161" s="44">
        <f t="shared" si="124"/>
        <v>1</v>
      </c>
      <c r="C161" s="44">
        <f t="shared" si="186"/>
        <v>7</v>
      </c>
      <c r="D161" s="44" t="str">
        <f t="shared" si="265"/>
        <v>GA Power</v>
      </c>
      <c r="E161" s="45">
        <v>2004</v>
      </c>
      <c r="F161" s="206">
        <v>1058</v>
      </c>
      <c r="G161" s="51">
        <f t="shared" si="117"/>
        <v>0.23902102700883029</v>
      </c>
      <c r="H161" s="46"/>
      <c r="I161" s="46"/>
      <c r="J161" s="206">
        <v>53618.560799999999</v>
      </c>
      <c r="K161" s="51">
        <f t="shared" ref="K161" si="267">J161/$J$469</f>
        <v>6.0680767953172454E-2</v>
      </c>
      <c r="L161" s="51"/>
      <c r="M161" s="206">
        <v>2215266</v>
      </c>
      <c r="N161" s="206">
        <v>67935.492818223895</v>
      </c>
      <c r="O161" s="46">
        <f t="shared" si="119"/>
        <v>14316.932018223895</v>
      </c>
      <c r="P161" s="51">
        <f t="shared" si="120"/>
        <v>0.21074303614065101</v>
      </c>
      <c r="Q161" s="51">
        <f t="shared" si="121"/>
        <v>0.78925696385934896</v>
      </c>
      <c r="R161" s="51">
        <f t="shared" si="122"/>
        <v>0</v>
      </c>
      <c r="S161" s="51">
        <f t="shared" si="123"/>
        <v>0.78925696385934896</v>
      </c>
      <c r="T161" s="51">
        <f t="shared" si="162"/>
        <v>-0.78925696385934896</v>
      </c>
      <c r="U161" s="298"/>
      <c r="V161" s="298"/>
      <c r="W161" s="298"/>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2:53" x14ac:dyDescent="0.25">
      <c r="B162" s="44">
        <f t="shared" si="124"/>
        <v>1</v>
      </c>
      <c r="C162" s="44">
        <f t="shared" si="186"/>
        <v>7</v>
      </c>
      <c r="D162" s="44" t="str">
        <f t="shared" si="265"/>
        <v>GA Power</v>
      </c>
      <c r="E162" s="45">
        <v>2005</v>
      </c>
      <c r="F162" s="206">
        <v>1071</v>
      </c>
      <c r="G162" s="51">
        <f t="shared" si="117"/>
        <v>0.27218443939219522</v>
      </c>
      <c r="H162" s="46"/>
      <c r="I162" s="46"/>
      <c r="J162" s="206">
        <v>60396.2736</v>
      </c>
      <c r="K162" s="51">
        <f t="shared" ref="K162" si="268">J162/$J$470</f>
        <v>6.5011427526866783E-2</v>
      </c>
      <c r="L162" s="51"/>
      <c r="M162" s="206">
        <v>2553623.523</v>
      </c>
      <c r="N162" s="206">
        <v>123461.9864188908</v>
      </c>
      <c r="O162" s="46">
        <f t="shared" si="119"/>
        <v>63065.712818890795</v>
      </c>
      <c r="P162" s="51">
        <f t="shared" si="120"/>
        <v>0.51081077381111351</v>
      </c>
      <c r="Q162" s="51">
        <f t="shared" si="121"/>
        <v>0.48918922618888649</v>
      </c>
      <c r="R162" s="51">
        <f t="shared" si="122"/>
        <v>0</v>
      </c>
      <c r="S162" s="51">
        <f t="shared" si="123"/>
        <v>0.48918922618888649</v>
      </c>
      <c r="T162" s="51">
        <f t="shared" si="162"/>
        <v>-0.48918922618888649</v>
      </c>
      <c r="U162" s="298"/>
      <c r="V162" s="298"/>
      <c r="W162" s="298"/>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2:53" x14ac:dyDescent="0.25">
      <c r="B163" s="44">
        <f t="shared" si="124"/>
        <v>1</v>
      </c>
      <c r="C163" s="44">
        <f t="shared" si="186"/>
        <v>7</v>
      </c>
      <c r="D163" s="44" t="str">
        <f t="shared" si="265"/>
        <v>GA Power</v>
      </c>
      <c r="E163" s="45">
        <v>2006</v>
      </c>
      <c r="F163" s="206">
        <v>1071</v>
      </c>
      <c r="G163" s="51">
        <f t="shared" si="117"/>
        <v>0.1893381553534656</v>
      </c>
      <c r="H163" s="46"/>
      <c r="I163" s="46"/>
      <c r="J163" s="206">
        <v>61196.402399999999</v>
      </c>
      <c r="K163" s="51">
        <f t="shared" ref="K163" si="269">J163/$J$471</f>
        <v>6.2167742634982141E-2</v>
      </c>
      <c r="L163" s="51"/>
      <c r="M163" s="206">
        <v>1776363</v>
      </c>
      <c r="N163" s="206">
        <v>60202.864465088227</v>
      </c>
      <c r="O163" s="46">
        <f t="shared" si="119"/>
        <v>-993.53793491177203</v>
      </c>
      <c r="P163" s="51">
        <f t="shared" si="120"/>
        <v>-1.6503167145608608E-2</v>
      </c>
      <c r="Q163" s="51">
        <f t="shared" si="121"/>
        <v>1.0165031671456086</v>
      </c>
      <c r="R163" s="51">
        <f t="shared" si="122"/>
        <v>0</v>
      </c>
      <c r="S163" s="51">
        <f t="shared" si="123"/>
        <v>1.0165031671456086</v>
      </c>
      <c r="T163" s="51">
        <f t="shared" si="162"/>
        <v>-1.0165031671456086</v>
      </c>
      <c r="U163" s="298"/>
      <c r="V163" s="298"/>
      <c r="W163" s="298"/>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2:53" x14ac:dyDescent="0.25">
      <c r="B164" s="44">
        <f t="shared" si="124"/>
        <v>1</v>
      </c>
      <c r="C164" s="44">
        <f t="shared" si="186"/>
        <v>7</v>
      </c>
      <c r="D164" s="44" t="str">
        <f t="shared" si="265"/>
        <v>GA Power</v>
      </c>
      <c r="E164" s="45">
        <v>2007</v>
      </c>
      <c r="F164" s="206">
        <v>1071</v>
      </c>
      <c r="G164" s="51">
        <f t="shared" si="117"/>
        <v>0.15203838003999165</v>
      </c>
      <c r="H164" s="46"/>
      <c r="I164" s="46"/>
      <c r="J164" s="206">
        <v>61202.521200000003</v>
      </c>
      <c r="K164" s="51">
        <f t="shared" ref="K164" si="270">J164/$J$472</f>
        <v>5.7417164719090058E-2</v>
      </c>
      <c r="L164" s="51"/>
      <c r="M164" s="206">
        <v>1426418</v>
      </c>
      <c r="N164" s="206">
        <v>40874.16266034032</v>
      </c>
      <c r="O164" s="46">
        <f t="shared" si="119"/>
        <v>-20328.358539659683</v>
      </c>
      <c r="P164" s="51">
        <f t="shared" si="120"/>
        <v>-0.49734006072701842</v>
      </c>
      <c r="Q164" s="51">
        <f t="shared" si="121"/>
        <v>1.4973400607270184</v>
      </c>
      <c r="R164" s="51">
        <f t="shared" si="122"/>
        <v>0</v>
      </c>
      <c r="S164" s="51">
        <f t="shared" si="123"/>
        <v>1.4973400607270184</v>
      </c>
      <c r="T164" s="51">
        <f t="shared" si="162"/>
        <v>-1.4973400607270184</v>
      </c>
      <c r="U164" s="298"/>
      <c r="V164" s="298"/>
      <c r="W164" s="298"/>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2:53" x14ac:dyDescent="0.25">
      <c r="B165" s="44">
        <f t="shared" si="124"/>
        <v>1</v>
      </c>
      <c r="C165" s="44">
        <f t="shared" si="186"/>
        <v>7</v>
      </c>
      <c r="D165" s="44" t="str">
        <f t="shared" si="265"/>
        <v>GA Power</v>
      </c>
      <c r="E165" s="45">
        <v>2008</v>
      </c>
      <c r="F165" s="206">
        <v>1071</v>
      </c>
      <c r="G165" s="51">
        <f t="shared" si="117"/>
        <v>0.14468874307713953</v>
      </c>
      <c r="H165" s="46"/>
      <c r="I165" s="46"/>
      <c r="J165" s="206">
        <v>77414.407200000001</v>
      </c>
      <c r="K165" s="51">
        <f t="shared" ref="K165" si="271">J165/$J$473</f>
        <v>6.6847650480013565E-2</v>
      </c>
      <c r="L165" s="51"/>
      <c r="M165" s="206">
        <v>1357464</v>
      </c>
      <c r="N165" s="206">
        <v>51160.476560994015</v>
      </c>
      <c r="O165" s="46">
        <f t="shared" si="119"/>
        <v>-26253.930639005986</v>
      </c>
      <c r="P165" s="51">
        <f t="shared" si="120"/>
        <v>-0.51316821898063825</v>
      </c>
      <c r="Q165" s="51">
        <f t="shared" si="121"/>
        <v>1.5131682189806384</v>
      </c>
      <c r="R165" s="51">
        <f t="shared" si="122"/>
        <v>0</v>
      </c>
      <c r="S165" s="51">
        <f t="shared" si="123"/>
        <v>1.5131682189806384</v>
      </c>
      <c r="T165" s="51">
        <f t="shared" si="162"/>
        <v>-1.5131682189806384</v>
      </c>
      <c r="U165" s="298"/>
      <c r="V165" s="298"/>
      <c r="W165" s="298"/>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2:53" x14ac:dyDescent="0.25">
      <c r="B166" s="44">
        <f t="shared" si="124"/>
        <v>1</v>
      </c>
      <c r="C166" s="44">
        <f t="shared" si="186"/>
        <v>7</v>
      </c>
      <c r="D166" s="44" t="str">
        <f t="shared" si="265"/>
        <v>GA Power</v>
      </c>
      <c r="E166" s="45">
        <v>2009</v>
      </c>
      <c r="F166" s="206">
        <v>1071</v>
      </c>
      <c r="G166" s="51">
        <f t="shared" si="117"/>
        <v>0.26020447752921566</v>
      </c>
      <c r="H166" s="46"/>
      <c r="I166" s="46"/>
      <c r="J166" s="206">
        <v>52591.436399999999</v>
      </c>
      <c r="K166" s="51">
        <f t="shared" ref="K166" si="272">J166/$J$474</f>
        <v>4.4569573825558886E-2</v>
      </c>
      <c r="L166" s="51"/>
      <c r="M166" s="206">
        <v>2441228</v>
      </c>
      <c r="N166" s="206">
        <v>68368.568236296327</v>
      </c>
      <c r="O166" s="46">
        <f t="shared" si="119"/>
        <v>15777.131836296328</v>
      </c>
      <c r="P166" s="51">
        <f t="shared" si="120"/>
        <v>0.23076586570845248</v>
      </c>
      <c r="Q166" s="51">
        <f t="shared" si="121"/>
        <v>0.76923413429154752</v>
      </c>
      <c r="R166" s="51">
        <f t="shared" si="122"/>
        <v>0</v>
      </c>
      <c r="S166" s="51">
        <f t="shared" si="123"/>
        <v>0.76923413429154752</v>
      </c>
      <c r="T166" s="51">
        <f t="shared" si="162"/>
        <v>-0.76923413429154752</v>
      </c>
      <c r="U166" s="298"/>
      <c r="V166" s="298"/>
      <c r="W166" s="298"/>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2:53" x14ac:dyDescent="0.25">
      <c r="B167" s="44">
        <f t="shared" si="124"/>
        <v>1</v>
      </c>
      <c r="C167" s="44">
        <f t="shared" si="186"/>
        <v>7</v>
      </c>
      <c r="D167" s="44" t="str">
        <f t="shared" si="265"/>
        <v>GA Power</v>
      </c>
      <c r="E167" s="45">
        <v>2010</v>
      </c>
      <c r="F167" s="206">
        <v>1071</v>
      </c>
      <c r="G167" s="51">
        <f t="shared" si="117"/>
        <v>0.23540571479733446</v>
      </c>
      <c r="H167" s="46"/>
      <c r="I167" s="46"/>
      <c r="J167" s="206">
        <v>62026.106399999997</v>
      </c>
      <c r="K167" s="51">
        <f t="shared" ref="K167" si="273">J167/$J$475</f>
        <v>5.0687879018982966E-2</v>
      </c>
      <c r="L167" s="51"/>
      <c r="M167" s="206">
        <v>2208567</v>
      </c>
      <c r="N167" s="206">
        <v>69086.746850637457</v>
      </c>
      <c r="O167" s="46">
        <f t="shared" si="119"/>
        <v>7060.6404506374602</v>
      </c>
      <c r="P167" s="51">
        <f t="shared" si="120"/>
        <v>0.10219963701435035</v>
      </c>
      <c r="Q167" s="51">
        <f t="shared" si="121"/>
        <v>0.89780036298564969</v>
      </c>
      <c r="R167" s="51">
        <f t="shared" si="122"/>
        <v>0</v>
      </c>
      <c r="S167" s="51">
        <f t="shared" si="123"/>
        <v>0.89780036298564969</v>
      </c>
      <c r="T167" s="51">
        <f t="shared" si="162"/>
        <v>-0.89780036298564969</v>
      </c>
      <c r="U167" s="298"/>
      <c r="V167" s="298"/>
      <c r="W167" s="298"/>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2:53" x14ac:dyDescent="0.25">
      <c r="B168" s="44">
        <f t="shared" si="124"/>
        <v>1</v>
      </c>
      <c r="C168" s="44">
        <f t="shared" si="186"/>
        <v>7</v>
      </c>
      <c r="D168" s="44" t="str">
        <f>D167</f>
        <v>GA Power</v>
      </c>
      <c r="E168" s="45">
        <v>2011</v>
      </c>
      <c r="F168" s="206">
        <v>1071</v>
      </c>
      <c r="G168" s="51">
        <f t="shared" si="117"/>
        <v>0.18771248225317524</v>
      </c>
      <c r="H168" s="46"/>
      <c r="I168" s="46"/>
      <c r="J168" s="206">
        <v>58490.079599999997</v>
      </c>
      <c r="K168" s="51">
        <f t="shared" ref="K168" si="274">J168/$J$476</f>
        <v>4.8460194386226119E-2</v>
      </c>
      <c r="L168" s="51"/>
      <c r="M168" s="206">
        <v>1761111</v>
      </c>
      <c r="N168" s="206">
        <v>43408.647582825171</v>
      </c>
      <c r="O168" s="46">
        <f t="shared" si="119"/>
        <v>-15081.432017174826</v>
      </c>
      <c r="P168" s="51">
        <f t="shared" si="120"/>
        <v>-0.34742920724261089</v>
      </c>
      <c r="Q168" s="51">
        <f t="shared" si="121"/>
        <v>1.3474292072426108</v>
      </c>
      <c r="R168" s="51">
        <f t="shared" si="122"/>
        <v>0</v>
      </c>
      <c r="S168" s="51">
        <f t="shared" si="123"/>
        <v>1.3474292072426108</v>
      </c>
      <c r="T168" s="51">
        <f t="shared" si="162"/>
        <v>-1.3474292072426108</v>
      </c>
      <c r="U168" s="298"/>
      <c r="V168" s="298"/>
      <c r="W168" s="298"/>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2:53" x14ac:dyDescent="0.25">
      <c r="B169" s="44">
        <f t="shared" si="124"/>
        <v>1</v>
      </c>
      <c r="C169" s="44">
        <f t="shared" si="186"/>
        <v>7</v>
      </c>
      <c r="D169" s="44" t="str">
        <f>D168</f>
        <v>GA Power</v>
      </c>
      <c r="E169" s="45">
        <v>2012</v>
      </c>
      <c r="F169" s="206">
        <v>1071</v>
      </c>
      <c r="G169" s="51">
        <f t="shared" ref="G169:G252" si="275">M169/(F169*8760)</f>
        <v>0.15032871596127034</v>
      </c>
      <c r="H169" s="46"/>
      <c r="I169" s="46"/>
      <c r="J169" s="206">
        <v>50386.156799999997</v>
      </c>
      <c r="K169" s="51">
        <f t="shared" ref="K169" si="276">J169/$J$477</f>
        <v>4.0467969340690566E-2</v>
      </c>
      <c r="L169" s="51"/>
      <c r="M169" s="206">
        <v>1410378</v>
      </c>
      <c r="N169" s="206">
        <v>24591.824247088287</v>
      </c>
      <c r="O169" s="46">
        <f t="shared" ref="O169:O252" si="277">N169-J169</f>
        <v>-25794.33255291171</v>
      </c>
      <c r="P169" s="51">
        <f t="shared" ref="P169:P252" si="278">O169/N169</f>
        <v>-1.0488987028266439</v>
      </c>
      <c r="Q169" s="51">
        <f t="shared" ref="Q169:Q252" si="279">1-P169</f>
        <v>2.0488987028266439</v>
      </c>
      <c r="R169" s="51">
        <f t="shared" ref="R169:R252" si="280">Q169*L169</f>
        <v>0</v>
      </c>
      <c r="S169" s="51">
        <f t="shared" ref="S169:S252" si="281">Q169-R169</f>
        <v>2.0488987028266439</v>
      </c>
      <c r="T169" s="51">
        <f t="shared" si="162"/>
        <v>-2.0488987028266439</v>
      </c>
      <c r="U169" s="298"/>
      <c r="V169" s="298"/>
      <c r="W169" s="298"/>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2:53" x14ac:dyDescent="0.25">
      <c r="B170" s="44">
        <f t="shared" ref="B170:B253" si="282">B169</f>
        <v>1</v>
      </c>
      <c r="C170" s="44">
        <f t="shared" si="186"/>
        <v>7</v>
      </c>
      <c r="D170" s="44" t="str">
        <f>D169</f>
        <v>GA Power</v>
      </c>
      <c r="E170" s="45">
        <v>2013</v>
      </c>
      <c r="F170" s="206">
        <v>1071</v>
      </c>
      <c r="G170" s="51">
        <f t="shared" si="275"/>
        <v>0.24906778540944535</v>
      </c>
      <c r="H170" s="44"/>
      <c r="I170" s="44"/>
      <c r="J170" s="206">
        <v>46544.298000000003</v>
      </c>
      <c r="K170" s="51">
        <f t="shared" ref="K170" si="283">J170/$J$478</f>
        <v>3.7441449147363935E-2</v>
      </c>
      <c r="L170" s="44"/>
      <c r="M170" s="206">
        <v>2336744</v>
      </c>
      <c r="N170" s="206">
        <v>67418.095333518286</v>
      </c>
      <c r="O170" s="46">
        <f t="shared" si="277"/>
        <v>20873.797333518283</v>
      </c>
      <c r="P170" s="51">
        <f t="shared" si="278"/>
        <v>0.30961713216986192</v>
      </c>
      <c r="Q170" s="51">
        <f t="shared" si="279"/>
        <v>0.69038286783013803</v>
      </c>
      <c r="R170" s="51">
        <f t="shared" si="280"/>
        <v>0</v>
      </c>
      <c r="S170" s="51">
        <f t="shared" si="281"/>
        <v>0.69038286783013803</v>
      </c>
      <c r="T170" s="51">
        <f t="shared" si="162"/>
        <v>-0.69038286783013803</v>
      </c>
      <c r="U170" s="298"/>
      <c r="V170" s="298"/>
      <c r="W170" s="298"/>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row r="171" spans="2:53" x14ac:dyDescent="0.25">
      <c r="B171" s="44">
        <f t="shared" si="282"/>
        <v>1</v>
      </c>
      <c r="C171" s="44">
        <f t="shared" si="186"/>
        <v>7</v>
      </c>
      <c r="D171" s="44" t="str">
        <f>D168</f>
        <v>GA Power</v>
      </c>
      <c r="E171" s="45">
        <v>2014</v>
      </c>
      <c r="F171" s="206">
        <v>1071</v>
      </c>
      <c r="G171" s="51">
        <f t="shared" si="275"/>
        <v>0.20340174121398941</v>
      </c>
      <c r="H171" s="44"/>
      <c r="I171" s="44"/>
      <c r="J171" s="206">
        <v>60291.923999999999</v>
      </c>
      <c r="K171" s="51">
        <f t="shared" ref="K171" si="284">J171/$J$479</f>
        <v>4.832310675142161E-2</v>
      </c>
      <c r="L171" s="44"/>
      <c r="M171" s="206">
        <v>1908307</v>
      </c>
      <c r="N171" s="206">
        <v>73248.787526072556</v>
      </c>
      <c r="O171" s="46">
        <f t="shared" si="277"/>
        <v>12956.863526072557</v>
      </c>
      <c r="P171" s="51">
        <f t="shared" si="278"/>
        <v>0.17688843684218833</v>
      </c>
      <c r="Q171" s="51">
        <f t="shared" si="279"/>
        <v>0.82311156315781164</v>
      </c>
      <c r="R171" s="51">
        <f t="shared" si="280"/>
        <v>0</v>
      </c>
      <c r="S171" s="51">
        <f t="shared" si="281"/>
        <v>0.82311156315781164</v>
      </c>
      <c r="T171" s="51">
        <f t="shared" si="162"/>
        <v>-0.82311156315781164</v>
      </c>
      <c r="U171" s="298"/>
      <c r="V171" s="298"/>
      <c r="W171" s="298"/>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row>
    <row r="172" spans="2:53" x14ac:dyDescent="0.25">
      <c r="B172" s="44">
        <f t="shared" si="282"/>
        <v>1</v>
      </c>
      <c r="C172" s="44">
        <f t="shared" si="186"/>
        <v>7</v>
      </c>
      <c r="D172" s="44" t="str">
        <f>D169</f>
        <v>GA Power</v>
      </c>
      <c r="E172" s="45">
        <v>2015</v>
      </c>
      <c r="F172" s="206">
        <v>1071</v>
      </c>
      <c r="G172" s="51">
        <f t="shared" si="275"/>
        <v>0.2229121633432673</v>
      </c>
      <c r="H172" s="44"/>
      <c r="I172" s="44"/>
      <c r="J172" s="206">
        <v>50774.780400000003</v>
      </c>
      <c r="K172" s="51">
        <f t="shared" ref="K172" si="285">J172/$J$480</f>
        <v>3.8525373533531734E-2</v>
      </c>
      <c r="L172" s="44"/>
      <c r="M172" s="206">
        <v>2091353</v>
      </c>
      <c r="N172" s="206">
        <v>50714.770189839575</v>
      </c>
      <c r="O172" s="46">
        <f t="shared" si="277"/>
        <v>-60.01021016042796</v>
      </c>
      <c r="P172" s="51">
        <f t="shared" si="278"/>
        <v>-1.1832886146539352E-3</v>
      </c>
      <c r="Q172" s="51">
        <f t="shared" si="279"/>
        <v>1.0011832886146539</v>
      </c>
      <c r="R172" s="51">
        <f t="shared" si="280"/>
        <v>0</v>
      </c>
      <c r="S172" s="51">
        <f t="shared" si="281"/>
        <v>1.0011832886146539</v>
      </c>
      <c r="T172" s="51">
        <f t="shared" si="162"/>
        <v>-1.0011832886146539</v>
      </c>
      <c r="U172" s="298"/>
      <c r="V172" s="298"/>
      <c r="W172" s="298"/>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row>
    <row r="173" spans="2:53" x14ac:dyDescent="0.25">
      <c r="B173" s="44">
        <f t="shared" si="282"/>
        <v>1</v>
      </c>
      <c r="C173" s="44">
        <f t="shared" si="186"/>
        <v>7</v>
      </c>
      <c r="D173" s="44" t="str">
        <f>D170</f>
        <v>GA Power</v>
      </c>
      <c r="E173" s="45">
        <v>2016</v>
      </c>
      <c r="F173" s="206">
        <v>1071</v>
      </c>
      <c r="G173" s="51">
        <f t="shared" si="275"/>
        <v>0.1976036986940895</v>
      </c>
      <c r="H173" s="44"/>
      <c r="I173" s="44"/>
      <c r="J173" s="206">
        <v>61993.876799999998</v>
      </c>
      <c r="K173" s="51">
        <f t="shared" ref="K173" si="286">J173/$J$481</f>
        <v>4.6580895647558997E-2</v>
      </c>
      <c r="L173" s="44"/>
      <c r="M173" s="206">
        <v>1853909.997</v>
      </c>
      <c r="N173" s="206">
        <v>33459.168320353063</v>
      </c>
      <c r="O173" s="46">
        <f t="shared" si="277"/>
        <v>-28534.708479646935</v>
      </c>
      <c r="P173" s="51">
        <f t="shared" si="278"/>
        <v>-0.85282180974861233</v>
      </c>
      <c r="Q173" s="51">
        <f t="shared" si="279"/>
        <v>1.8528218097486122</v>
      </c>
      <c r="R173" s="51">
        <f t="shared" si="280"/>
        <v>0</v>
      </c>
      <c r="S173" s="51">
        <f t="shared" si="281"/>
        <v>1.8528218097486122</v>
      </c>
      <c r="T173" s="51">
        <f t="shared" si="162"/>
        <v>-1.8528218097486122</v>
      </c>
      <c r="U173" s="298"/>
      <c r="V173" s="298"/>
      <c r="W173" s="298"/>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3"/>
      <c r="AT173" s="113"/>
      <c r="AU173" s="113"/>
      <c r="AV173" s="113"/>
      <c r="AW173" s="113"/>
      <c r="AX173" s="113"/>
      <c r="AY173" s="113"/>
      <c r="AZ173" s="113"/>
      <c r="BA173" s="113"/>
    </row>
    <row r="174" spans="2:53" x14ac:dyDescent="0.25">
      <c r="B174" s="44">
        <f t="shared" si="282"/>
        <v>1</v>
      </c>
      <c r="C174" s="44">
        <f t="shared" si="186"/>
        <v>7</v>
      </c>
      <c r="D174" s="44" t="str">
        <f>D171</f>
        <v>GA Power</v>
      </c>
      <c r="E174" s="45">
        <v>2017</v>
      </c>
      <c r="F174" s="206">
        <v>1071</v>
      </c>
      <c r="G174" s="51">
        <f t="shared" si="275"/>
        <v>0.18012570401067579</v>
      </c>
      <c r="H174" s="44"/>
      <c r="I174" s="44"/>
      <c r="J174" s="206">
        <v>33316.280399999996</v>
      </c>
      <c r="K174" s="51">
        <f t="shared" ref="K174" si="287">J174/$J$482</f>
        <v>2.5589009032476292E-2</v>
      </c>
      <c r="L174" s="44"/>
      <c r="M174" s="206">
        <v>1689932.15</v>
      </c>
      <c r="N174" s="206">
        <v>31727.60042851324</v>
      </c>
      <c r="O174" s="46">
        <f t="shared" si="277"/>
        <v>-1588.6799714867557</v>
      </c>
      <c r="P174" s="51">
        <f t="shared" si="278"/>
        <v>-5.0072490513938354E-2</v>
      </c>
      <c r="Q174" s="51">
        <f t="shared" si="279"/>
        <v>1.0500724905139383</v>
      </c>
      <c r="R174" s="51">
        <f t="shared" si="280"/>
        <v>0</v>
      </c>
      <c r="S174" s="51">
        <f t="shared" si="281"/>
        <v>1.0500724905139383</v>
      </c>
      <c r="T174" s="51">
        <f t="shared" si="162"/>
        <v>-1.0500724905139383</v>
      </c>
      <c r="U174" s="298"/>
      <c r="V174" s="298"/>
      <c r="W174" s="298"/>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c r="AT174" s="113"/>
      <c r="AU174" s="113"/>
      <c r="AV174" s="113"/>
      <c r="AW174" s="113"/>
      <c r="AX174" s="113"/>
      <c r="AY174" s="113"/>
      <c r="AZ174" s="113"/>
      <c r="BA174" s="113"/>
    </row>
    <row r="175" spans="2:53" x14ac:dyDescent="0.25">
      <c r="B175" s="44">
        <f t="shared" si="282"/>
        <v>1</v>
      </c>
      <c r="C175" s="44">
        <f t="shared" si="186"/>
        <v>7</v>
      </c>
      <c r="D175" s="44" t="str">
        <f t="shared" ref="D175:D176" si="288">D172</f>
        <v>GA Power</v>
      </c>
      <c r="E175" s="45">
        <v>2018</v>
      </c>
      <c r="F175" s="206">
        <v>1070.5</v>
      </c>
      <c r="G175" s="51">
        <f t="shared" ref="G175" si="289">M175/(F175*8760)</f>
        <v>0.25781117879026355</v>
      </c>
      <c r="H175" s="44"/>
      <c r="I175" s="44"/>
      <c r="J175" s="206">
        <v>57612.805200000003</v>
      </c>
      <c r="K175" s="51">
        <f t="shared" ref="K175" si="290">J175/$J$483</f>
        <v>4.1060981384337288E-2</v>
      </c>
      <c r="L175" s="44"/>
      <c r="M175" s="206">
        <v>2417644.9539999999</v>
      </c>
      <c r="N175" s="206">
        <v>64990.99130880586</v>
      </c>
      <c r="O175" s="46">
        <f t="shared" ref="O175" si="291">N175-J175</f>
        <v>7378.1861088058577</v>
      </c>
      <c r="P175" s="51">
        <f t="shared" ref="P175" si="292">O175/N175</f>
        <v>0.11352628972449849</v>
      </c>
      <c r="Q175" s="51">
        <f t="shared" ref="Q175" si="293">1-P175</f>
        <v>0.88647371027550148</v>
      </c>
      <c r="R175" s="51">
        <f t="shared" ref="R175" si="294">Q175*L175</f>
        <v>0</v>
      </c>
      <c r="S175" s="51">
        <f t="shared" ref="S175" si="295">Q175-R175</f>
        <v>0.88647371027550148</v>
      </c>
      <c r="T175" s="51">
        <f t="shared" ref="T175" si="296">R175-S175</f>
        <v>-0.88647371027550148</v>
      </c>
      <c r="U175" s="298"/>
      <c r="V175" s="298"/>
      <c r="W175" s="298"/>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row>
    <row r="176" spans="2:53" x14ac:dyDescent="0.25">
      <c r="B176" s="44">
        <f t="shared" si="282"/>
        <v>1</v>
      </c>
      <c r="C176" s="44">
        <f t="shared" si="186"/>
        <v>7</v>
      </c>
      <c r="D176" s="44" t="str">
        <f t="shared" si="288"/>
        <v>GA Power</v>
      </c>
      <c r="E176" s="45">
        <v>2019</v>
      </c>
      <c r="F176" s="206">
        <v>1133.9000000000001</v>
      </c>
      <c r="G176" s="51">
        <f t="shared" si="275"/>
        <v>0.23469207600067812</v>
      </c>
      <c r="H176" s="44"/>
      <c r="I176" s="44"/>
      <c r="J176" s="206">
        <v>40742.0556</v>
      </c>
      <c r="K176" s="51">
        <f t="shared" ref="K176" si="297">J176/$J$484</f>
        <v>2.9587958905416965E-2</v>
      </c>
      <c r="L176" s="44"/>
      <c r="M176" s="206">
        <v>2331187.9419999998</v>
      </c>
      <c r="N176" s="206">
        <v>59052.38347076108</v>
      </c>
      <c r="O176" s="46">
        <f t="shared" ref="O176:O180" si="298">N176-J176</f>
        <v>18310.327870761081</v>
      </c>
      <c r="P176" s="51">
        <f t="shared" ref="P176:P180" si="299">O176/N176</f>
        <v>0.31006924351880177</v>
      </c>
      <c r="Q176" s="51">
        <f t="shared" ref="Q176:Q180" si="300">1-P176</f>
        <v>0.68993075648119828</v>
      </c>
      <c r="R176" s="51">
        <f t="shared" ref="R176:R180" si="301">Q176*L176</f>
        <v>0</v>
      </c>
      <c r="S176" s="51">
        <f t="shared" ref="S176:S180" si="302">Q176-R176</f>
        <v>0.68993075648119828</v>
      </c>
      <c r="T176" s="51">
        <f t="shared" ref="T176:T180" si="303">R176-S176</f>
        <v>-0.68993075648119828</v>
      </c>
      <c r="U176" s="298"/>
      <c r="V176" s="298"/>
      <c r="W176" s="298"/>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row>
    <row r="177" spans="2:53" x14ac:dyDescent="0.25">
      <c r="B177" s="44">
        <f t="shared" si="282"/>
        <v>1</v>
      </c>
      <c r="C177" s="44">
        <f t="shared" si="186"/>
        <v>7</v>
      </c>
      <c r="D177" s="44" t="str">
        <f>D174</f>
        <v>GA Power</v>
      </c>
      <c r="E177" s="45">
        <v>2020</v>
      </c>
      <c r="F177" s="206">
        <v>1132.6300000000001</v>
      </c>
      <c r="G177" s="51">
        <f t="shared" si="275"/>
        <v>0.27073137017706833</v>
      </c>
      <c r="H177" s="44"/>
      <c r="I177" s="44"/>
      <c r="J177" s="206">
        <v>33532.040399999998</v>
      </c>
      <c r="K177" s="51">
        <f t="shared" ref="K177" si="304">J177/$J$485</f>
        <v>2.42114899624827E-2</v>
      </c>
      <c r="L177" s="44"/>
      <c r="M177" s="206">
        <v>2686153.0129999998</v>
      </c>
      <c r="N177" s="206">
        <v>58302.64363266962</v>
      </c>
      <c r="O177" s="46">
        <f t="shared" si="298"/>
        <v>24770.603232669622</v>
      </c>
      <c r="P177" s="51">
        <f t="shared" si="299"/>
        <v>0.42486243657722456</v>
      </c>
      <c r="Q177" s="51">
        <f t="shared" si="300"/>
        <v>0.57513756342277544</v>
      </c>
      <c r="R177" s="51">
        <f t="shared" si="301"/>
        <v>0</v>
      </c>
      <c r="S177" s="51">
        <f t="shared" si="302"/>
        <v>0.57513756342277544</v>
      </c>
      <c r="T177" s="51">
        <f t="shared" si="303"/>
        <v>-0.57513756342277544</v>
      </c>
      <c r="U177" s="298"/>
      <c r="V177" s="298"/>
      <c r="W177" s="298"/>
      <c r="X177" s="113"/>
      <c r="Y177" s="113"/>
      <c r="Z177" s="113"/>
      <c r="AA177" s="113"/>
      <c r="AB177" s="113"/>
      <c r="AC177" s="113"/>
      <c r="AD177" s="113"/>
      <c r="AE177" s="113"/>
      <c r="AF177" s="113"/>
      <c r="AG177" s="113"/>
      <c r="AH177" s="113"/>
      <c r="AI177" s="113"/>
      <c r="AJ177" s="113"/>
      <c r="AK177" s="113"/>
      <c r="AL177" s="113"/>
      <c r="AM177" s="113"/>
      <c r="AN177" s="113"/>
      <c r="AO177" s="113"/>
      <c r="AP177" s="113"/>
      <c r="AQ177" s="113"/>
      <c r="AR177" s="113"/>
      <c r="AS177" s="113"/>
      <c r="AT177" s="113"/>
      <c r="AU177" s="113"/>
      <c r="AV177" s="113"/>
      <c r="AW177" s="113"/>
      <c r="AX177" s="113"/>
      <c r="AY177" s="113"/>
      <c r="AZ177" s="113"/>
      <c r="BA177" s="113"/>
    </row>
    <row r="178" spans="2:53" x14ac:dyDescent="0.25">
      <c r="B178" s="44">
        <f t="shared" si="282"/>
        <v>1</v>
      </c>
      <c r="C178" s="44">
        <f t="shared" si="186"/>
        <v>7</v>
      </c>
      <c r="D178" s="44" t="str">
        <f t="shared" ref="D178:D179" si="305">D175</f>
        <v>GA Power</v>
      </c>
      <c r="E178" s="45">
        <v>2021</v>
      </c>
      <c r="F178" s="206">
        <v>1132.8</v>
      </c>
      <c r="G178" s="51">
        <f t="shared" si="275"/>
        <v>0.21006595206769343</v>
      </c>
      <c r="H178" s="44"/>
      <c r="I178" s="44"/>
      <c r="J178" s="206">
        <v>38649.37799999999</v>
      </c>
      <c r="K178" s="51">
        <f t="shared" ref="K178" si="306">J178/$J$486</f>
        <v>2.6673425001545535E-2</v>
      </c>
      <c r="L178" s="44"/>
      <c r="M178" s="206">
        <v>2084553.344</v>
      </c>
      <c r="N178" s="206">
        <v>87620.944001983895</v>
      </c>
      <c r="O178" s="46">
        <f t="shared" si="298"/>
        <v>48971.566001983905</v>
      </c>
      <c r="P178" s="51">
        <f t="shared" si="299"/>
        <v>0.55890251537206792</v>
      </c>
      <c r="Q178" s="51">
        <f t="shared" si="300"/>
        <v>0.44109748462793208</v>
      </c>
      <c r="R178" s="51">
        <f t="shared" si="301"/>
        <v>0</v>
      </c>
      <c r="S178" s="51">
        <f t="shared" si="302"/>
        <v>0.44109748462793208</v>
      </c>
      <c r="T178" s="51">
        <f t="shared" si="303"/>
        <v>-0.44109748462793208</v>
      </c>
      <c r="U178" s="298"/>
      <c r="V178" s="298"/>
      <c r="W178" s="298"/>
      <c r="X178" s="113"/>
      <c r="Y178" s="113"/>
      <c r="Z178" s="113"/>
      <c r="AA178" s="113"/>
      <c r="AB178" s="113"/>
      <c r="AC178" s="113"/>
      <c r="AD178" s="113"/>
      <c r="AE178" s="113"/>
      <c r="AF178" s="113"/>
      <c r="AG178" s="113"/>
      <c r="AH178" s="113"/>
      <c r="AI178" s="113"/>
      <c r="AJ178" s="113"/>
      <c r="AK178" s="113"/>
      <c r="AL178" s="113"/>
      <c r="AM178" s="113"/>
      <c r="AN178" s="113"/>
      <c r="AO178" s="113"/>
      <c r="AP178" s="113"/>
      <c r="AQ178" s="113"/>
      <c r="AR178" s="113"/>
      <c r="AS178" s="113"/>
      <c r="AT178" s="113"/>
      <c r="AU178" s="113"/>
      <c r="AV178" s="113"/>
      <c r="AW178" s="113"/>
      <c r="AX178" s="113"/>
      <c r="AY178" s="113"/>
      <c r="AZ178" s="113"/>
      <c r="BA178" s="113"/>
    </row>
    <row r="179" spans="2:53" x14ac:dyDescent="0.25">
      <c r="B179" s="44">
        <f t="shared" si="282"/>
        <v>1</v>
      </c>
      <c r="C179" s="44">
        <f t="shared" si="186"/>
        <v>7</v>
      </c>
      <c r="D179" s="44" t="str">
        <f t="shared" si="305"/>
        <v>GA Power</v>
      </c>
      <c r="E179" s="45">
        <v>2022</v>
      </c>
      <c r="F179" s="206">
        <v>1132.8</v>
      </c>
      <c r="G179" s="51">
        <f t="shared" si="275"/>
        <v>0.19832049328612336</v>
      </c>
      <c r="H179" s="44"/>
      <c r="I179" s="44"/>
      <c r="J179" s="206">
        <v>29663.569199999998</v>
      </c>
      <c r="K179" s="51">
        <f t="shared" ref="K179" si="307">J179/$J$487</f>
        <v>2.0177310767671111E-2</v>
      </c>
      <c r="L179" s="44"/>
      <c r="M179" s="206">
        <v>1967999.304</v>
      </c>
      <c r="N179" s="206">
        <v>158487.16142212739</v>
      </c>
      <c r="O179" s="46">
        <f t="shared" si="298"/>
        <v>128823.59222212739</v>
      </c>
      <c r="P179" s="51">
        <f t="shared" si="299"/>
        <v>0.81283298322826492</v>
      </c>
      <c r="Q179" s="51">
        <f t="shared" si="300"/>
        <v>0.18716701677173508</v>
      </c>
      <c r="R179" s="51">
        <f t="shared" si="301"/>
        <v>0</v>
      </c>
      <c r="S179" s="51">
        <f t="shared" si="302"/>
        <v>0.18716701677173508</v>
      </c>
      <c r="T179" s="51">
        <f t="shared" si="303"/>
        <v>-0.18716701677173508</v>
      </c>
      <c r="U179" s="298"/>
      <c r="V179" s="298"/>
      <c r="W179" s="298"/>
      <c r="X179" s="113"/>
      <c r="Y179" s="113"/>
      <c r="Z179" s="113"/>
      <c r="AA179" s="113"/>
      <c r="AB179" s="113"/>
      <c r="AC179" s="113"/>
      <c r="AD179" s="113"/>
      <c r="AE179" s="113"/>
      <c r="AF179" s="113"/>
      <c r="AG179" s="113"/>
      <c r="AH179" s="113"/>
      <c r="AI179" s="113"/>
      <c r="AJ179" s="113"/>
      <c r="AK179" s="113"/>
      <c r="AL179" s="113"/>
      <c r="AM179" s="113"/>
      <c r="AN179" s="113"/>
      <c r="AO179" s="113"/>
      <c r="AP179" s="113"/>
      <c r="AQ179" s="113"/>
      <c r="AR179" s="113"/>
      <c r="AS179" s="113"/>
      <c r="AT179" s="113"/>
      <c r="AU179" s="113"/>
      <c r="AV179" s="113"/>
      <c r="AW179" s="113"/>
      <c r="AX179" s="113"/>
      <c r="AY179" s="113"/>
      <c r="AZ179" s="113"/>
      <c r="BA179" s="113"/>
    </row>
    <row r="180" spans="2:53" x14ac:dyDescent="0.25">
      <c r="B180" s="44">
        <f t="shared" si="282"/>
        <v>1</v>
      </c>
      <c r="C180" s="44">
        <f t="shared" si="186"/>
        <v>7</v>
      </c>
      <c r="D180" s="44" t="str">
        <f t="shared" ref="D180" si="308">D176</f>
        <v>GA Power</v>
      </c>
      <c r="E180" s="45">
        <v>2023</v>
      </c>
      <c r="F180" s="206">
        <v>1127.8</v>
      </c>
      <c r="G180" s="51">
        <f t="shared" si="275"/>
        <v>0.16546585110138864</v>
      </c>
      <c r="H180" s="44"/>
      <c r="I180" s="44"/>
      <c r="J180" s="206">
        <v>22096.225200000001</v>
      </c>
      <c r="K180" s="51">
        <f t="shared" ref="K180" si="309">J180/$J$488</f>
        <v>1.3833265840910318E-2</v>
      </c>
      <c r="L180" s="44"/>
      <c r="M180" s="206">
        <v>1634724.5090000001</v>
      </c>
      <c r="N180" s="206">
        <v>53157.812263941501</v>
      </c>
      <c r="O180" s="46">
        <f t="shared" si="298"/>
        <v>31061.587063941501</v>
      </c>
      <c r="P180" s="51">
        <f t="shared" si="299"/>
        <v>0.58432779192855311</v>
      </c>
      <c r="Q180" s="51">
        <f t="shared" si="300"/>
        <v>0.41567220807144689</v>
      </c>
      <c r="R180" s="51">
        <f t="shared" si="301"/>
        <v>0</v>
      </c>
      <c r="S180" s="51">
        <f t="shared" si="302"/>
        <v>0.41567220807144689</v>
      </c>
      <c r="T180" s="51">
        <f t="shared" si="303"/>
        <v>-0.41567220807144689</v>
      </c>
      <c r="U180" s="298"/>
      <c r="V180" s="298"/>
      <c r="W180" s="298"/>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row>
    <row r="181" spans="2:53" x14ac:dyDescent="0.25">
      <c r="B181" s="47">
        <f t="shared" si="282"/>
        <v>1</v>
      </c>
      <c r="C181" s="47">
        <f t="shared" si="186"/>
        <v>8</v>
      </c>
      <c r="D181" s="47" t="str">
        <f>'OPG hydro peers'!D12</f>
        <v>PacifiCorp</v>
      </c>
      <c r="E181" s="48">
        <v>2002</v>
      </c>
      <c r="F181" s="207">
        <v>979.5</v>
      </c>
      <c r="G181" s="50">
        <f t="shared" si="275"/>
        <v>0.37526391482002047</v>
      </c>
      <c r="H181" s="49"/>
      <c r="I181" s="49"/>
      <c r="J181" s="207">
        <v>24875.964</v>
      </c>
      <c r="K181" s="50">
        <f t="shared" ref="K181" si="310">J181/$J$467</f>
        <v>3.2417764430484906E-2</v>
      </c>
      <c r="L181" s="50"/>
      <c r="M181" s="207">
        <v>3219922</v>
      </c>
      <c r="N181" s="207">
        <v>96574.084360824854</v>
      </c>
      <c r="O181" s="49">
        <f t="shared" si="277"/>
        <v>71698.120360824862</v>
      </c>
      <c r="P181" s="50">
        <f t="shared" si="278"/>
        <v>0.74241574057220994</v>
      </c>
      <c r="Q181" s="50">
        <f t="shared" si="279"/>
        <v>0.25758425942779006</v>
      </c>
      <c r="R181" s="50">
        <f t="shared" si="280"/>
        <v>0</v>
      </c>
      <c r="S181" s="50">
        <f t="shared" si="281"/>
        <v>0.25758425942779006</v>
      </c>
      <c r="T181" s="50">
        <f t="shared" si="162"/>
        <v>-0.25758425942779006</v>
      </c>
      <c r="U181" s="298"/>
      <c r="V181" s="298"/>
      <c r="W181" s="298"/>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row>
    <row r="182" spans="2:53" x14ac:dyDescent="0.25">
      <c r="B182" s="47">
        <f t="shared" si="282"/>
        <v>1</v>
      </c>
      <c r="C182" s="47">
        <f t="shared" si="186"/>
        <v>8</v>
      </c>
      <c r="D182" s="47" t="str">
        <f t="shared" ref="D182:D192" si="311">D181</f>
        <v>PacifiCorp</v>
      </c>
      <c r="E182" s="48">
        <v>2003</v>
      </c>
      <c r="F182" s="207">
        <v>988.6</v>
      </c>
      <c r="G182" s="50">
        <f t="shared" si="275"/>
        <v>0.39776142083680904</v>
      </c>
      <c r="H182" s="49"/>
      <c r="I182" s="49"/>
      <c r="J182" s="207">
        <v>26102.307599999996</v>
      </c>
      <c r="K182" s="50">
        <f t="shared" ref="K182" si="312">J182/$J$468</f>
        <v>3.0777717734331769E-2</v>
      </c>
      <c r="L182" s="50"/>
      <c r="M182" s="207">
        <v>3444668</v>
      </c>
      <c r="N182" s="207">
        <v>173498.78138014962</v>
      </c>
      <c r="O182" s="49">
        <f t="shared" si="277"/>
        <v>147396.47378014962</v>
      </c>
      <c r="P182" s="50">
        <f t="shared" si="278"/>
        <v>0.84955336635588363</v>
      </c>
      <c r="Q182" s="50">
        <f t="shared" si="279"/>
        <v>0.15044663364411637</v>
      </c>
      <c r="R182" s="50">
        <f t="shared" si="280"/>
        <v>0</v>
      </c>
      <c r="S182" s="50">
        <f t="shared" si="281"/>
        <v>0.15044663364411637</v>
      </c>
      <c r="T182" s="50">
        <f t="shared" si="162"/>
        <v>-0.15044663364411637</v>
      </c>
      <c r="U182" s="298"/>
      <c r="V182" s="298"/>
      <c r="W182" s="298"/>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3"/>
      <c r="BA182" s="113"/>
    </row>
    <row r="183" spans="2:53" x14ac:dyDescent="0.25">
      <c r="B183" s="47">
        <f t="shared" si="282"/>
        <v>1</v>
      </c>
      <c r="C183" s="47">
        <f t="shared" si="186"/>
        <v>8</v>
      </c>
      <c r="D183" s="47" t="str">
        <f t="shared" si="311"/>
        <v>PacifiCorp</v>
      </c>
      <c r="E183" s="48">
        <v>2004</v>
      </c>
      <c r="F183" s="207">
        <v>1003.14</v>
      </c>
      <c r="G183" s="50">
        <f t="shared" si="275"/>
        <v>0.35176873384695345</v>
      </c>
      <c r="H183" s="49"/>
      <c r="I183" s="49"/>
      <c r="J183" s="207">
        <v>33971.214</v>
      </c>
      <c r="K183" s="50">
        <f t="shared" ref="K183" si="313">J183/$J$469</f>
        <v>3.8445630077813715E-2</v>
      </c>
      <c r="L183" s="50"/>
      <c r="M183" s="207">
        <v>3091170</v>
      </c>
      <c r="N183" s="207">
        <v>169425.33028396909</v>
      </c>
      <c r="O183" s="49">
        <f t="shared" si="277"/>
        <v>135454.11628396908</v>
      </c>
      <c r="P183" s="50">
        <f t="shared" si="278"/>
        <v>0.79949152855088557</v>
      </c>
      <c r="Q183" s="50">
        <f t="shared" si="279"/>
        <v>0.20050847144911443</v>
      </c>
      <c r="R183" s="50">
        <f t="shared" si="280"/>
        <v>0</v>
      </c>
      <c r="S183" s="50">
        <f t="shared" si="281"/>
        <v>0.20050847144911443</v>
      </c>
      <c r="T183" s="50">
        <f t="shared" si="162"/>
        <v>-0.20050847144911443</v>
      </c>
      <c r="U183" s="298"/>
      <c r="V183" s="298"/>
      <c r="W183" s="298"/>
      <c r="X183" s="113"/>
      <c r="Y183" s="113"/>
      <c r="Z183" s="113"/>
      <c r="AA183" s="113"/>
      <c r="AB183" s="113"/>
      <c r="AC183" s="113"/>
      <c r="AD183" s="113"/>
      <c r="AE183" s="113"/>
      <c r="AF183" s="113"/>
      <c r="AG183" s="113"/>
      <c r="AH183" s="113"/>
      <c r="AI183" s="113"/>
      <c r="AJ183" s="113"/>
      <c r="AK183" s="113"/>
      <c r="AL183" s="113"/>
      <c r="AM183" s="113"/>
      <c r="AN183" s="113"/>
      <c r="AO183" s="113"/>
      <c r="AP183" s="113"/>
      <c r="AQ183" s="113"/>
      <c r="AR183" s="113"/>
      <c r="AS183" s="113"/>
      <c r="AT183" s="113"/>
      <c r="AU183" s="113"/>
      <c r="AV183" s="113"/>
      <c r="AW183" s="113"/>
      <c r="AX183" s="113"/>
      <c r="AY183" s="113"/>
      <c r="AZ183" s="113"/>
      <c r="BA183" s="113"/>
    </row>
    <row r="184" spans="2:53" x14ac:dyDescent="0.25">
      <c r="B184" s="47">
        <f t="shared" si="282"/>
        <v>1</v>
      </c>
      <c r="C184" s="47">
        <f t="shared" si="186"/>
        <v>8</v>
      </c>
      <c r="D184" s="47" t="str">
        <f t="shared" si="311"/>
        <v>PacifiCorp</v>
      </c>
      <c r="E184" s="48">
        <v>2005</v>
      </c>
      <c r="F184" s="207">
        <v>1003.14</v>
      </c>
      <c r="G184" s="50">
        <f t="shared" si="275"/>
        <v>0.33742416392436425</v>
      </c>
      <c r="H184" s="49"/>
      <c r="I184" s="49"/>
      <c r="J184" s="207">
        <v>33757.212</v>
      </c>
      <c r="K184" s="50">
        <f t="shared" ref="K184" si="314">J184/$J$470</f>
        <v>3.6336754084892377E-2</v>
      </c>
      <c r="L184" s="50"/>
      <c r="M184" s="207">
        <v>2965117</v>
      </c>
      <c r="N184" s="207">
        <v>222225.91019137442</v>
      </c>
      <c r="O184" s="49">
        <f t="shared" si="277"/>
        <v>188468.69819137442</v>
      </c>
      <c r="P184" s="50">
        <f t="shared" si="278"/>
        <v>0.84809506699318149</v>
      </c>
      <c r="Q184" s="50">
        <f t="shared" si="279"/>
        <v>0.15190493300681851</v>
      </c>
      <c r="R184" s="50">
        <f t="shared" si="280"/>
        <v>0</v>
      </c>
      <c r="S184" s="50">
        <f t="shared" si="281"/>
        <v>0.15190493300681851</v>
      </c>
      <c r="T184" s="50">
        <f t="shared" si="162"/>
        <v>-0.15190493300681851</v>
      </c>
      <c r="U184" s="298"/>
      <c r="V184" s="298"/>
      <c r="W184" s="298"/>
      <c r="X184" s="113"/>
      <c r="Y184" s="113"/>
      <c r="Z184" s="113"/>
      <c r="AA184" s="113"/>
      <c r="AB184" s="113"/>
      <c r="AC184" s="113"/>
      <c r="AD184" s="113"/>
      <c r="AE184" s="113"/>
      <c r="AF184" s="113"/>
      <c r="AG184" s="113"/>
      <c r="AH184" s="113"/>
      <c r="AI184" s="113"/>
      <c r="AJ184" s="113"/>
      <c r="AK184" s="113"/>
      <c r="AL184" s="113"/>
      <c r="AM184" s="113"/>
      <c r="AN184" s="113"/>
      <c r="AO184" s="113"/>
      <c r="AP184" s="113"/>
      <c r="AQ184" s="113"/>
      <c r="AR184" s="113"/>
      <c r="AS184" s="113"/>
      <c r="AT184" s="113"/>
      <c r="AU184" s="113"/>
      <c r="AV184" s="113"/>
      <c r="AW184" s="113"/>
      <c r="AX184" s="113"/>
      <c r="AY184" s="113"/>
      <c r="AZ184" s="113"/>
      <c r="BA184" s="113"/>
    </row>
    <row r="185" spans="2:53" x14ac:dyDescent="0.25">
      <c r="B185" s="47">
        <f t="shared" si="282"/>
        <v>1</v>
      </c>
      <c r="C185" s="47">
        <f t="shared" si="186"/>
        <v>8</v>
      </c>
      <c r="D185" s="47" t="str">
        <f t="shared" si="311"/>
        <v>PacifiCorp</v>
      </c>
      <c r="E185" s="48">
        <v>2006</v>
      </c>
      <c r="F185" s="207">
        <v>1010.77</v>
      </c>
      <c r="G185" s="50">
        <f t="shared" si="275"/>
        <v>0.48001257055123631</v>
      </c>
      <c r="H185" s="49"/>
      <c r="I185" s="49"/>
      <c r="J185" s="207">
        <v>32041.006799999996</v>
      </c>
      <c r="K185" s="50">
        <f t="shared" ref="K185" si="315">J185/$J$471</f>
        <v>3.2549577857343331E-2</v>
      </c>
      <c r="L185" s="50"/>
      <c r="M185" s="207">
        <v>4250197</v>
      </c>
      <c r="N185" s="207">
        <v>264706.93056707387</v>
      </c>
      <c r="O185" s="49">
        <f t="shared" si="277"/>
        <v>232665.92376707387</v>
      </c>
      <c r="P185" s="50">
        <f t="shared" si="278"/>
        <v>0.8789566758552203</v>
      </c>
      <c r="Q185" s="50">
        <f t="shared" si="279"/>
        <v>0.1210433241447797</v>
      </c>
      <c r="R185" s="50">
        <f t="shared" si="280"/>
        <v>0</v>
      </c>
      <c r="S185" s="50">
        <f t="shared" si="281"/>
        <v>0.1210433241447797</v>
      </c>
      <c r="T185" s="50">
        <f t="shared" si="162"/>
        <v>-0.1210433241447797</v>
      </c>
      <c r="U185" s="298"/>
      <c r="V185" s="298"/>
      <c r="W185" s="298"/>
      <c r="X185" s="113"/>
      <c r="Y185" s="113"/>
      <c r="Z185" s="113"/>
      <c r="AA185" s="113"/>
      <c r="AB185" s="113"/>
      <c r="AC185" s="113"/>
      <c r="AD185" s="113"/>
      <c r="AE185" s="113"/>
      <c r="AF185" s="113"/>
      <c r="AG185" s="113"/>
      <c r="AH185" s="113"/>
      <c r="AI185" s="113"/>
      <c r="AJ185" s="113"/>
      <c r="AK185" s="113"/>
      <c r="AL185" s="113"/>
      <c r="AM185" s="113"/>
      <c r="AN185" s="113"/>
      <c r="AO185" s="113"/>
      <c r="AP185" s="113"/>
      <c r="AQ185" s="113"/>
      <c r="AR185" s="113"/>
      <c r="AS185" s="113"/>
      <c r="AT185" s="113"/>
      <c r="AU185" s="113"/>
      <c r="AV185" s="113"/>
      <c r="AW185" s="113"/>
      <c r="AX185" s="113"/>
      <c r="AY185" s="113"/>
      <c r="AZ185" s="113"/>
      <c r="BA185" s="113"/>
    </row>
    <row r="186" spans="2:53" x14ac:dyDescent="0.25">
      <c r="B186" s="47">
        <f t="shared" si="282"/>
        <v>1</v>
      </c>
      <c r="C186" s="47">
        <f t="shared" si="186"/>
        <v>8</v>
      </c>
      <c r="D186" s="47" t="str">
        <f t="shared" si="311"/>
        <v>PacifiCorp</v>
      </c>
      <c r="E186" s="48">
        <v>2007</v>
      </c>
      <c r="F186" s="207">
        <v>1010.77</v>
      </c>
      <c r="G186" s="50">
        <f t="shared" si="275"/>
        <v>0.38891910380905415</v>
      </c>
      <c r="H186" s="49"/>
      <c r="I186" s="49"/>
      <c r="J186" s="207">
        <v>34691.903999999995</v>
      </c>
      <c r="K186" s="50">
        <f t="shared" ref="K186" si="316">J186/$J$472</f>
        <v>3.2546220765605628E-2</v>
      </c>
      <c r="L186" s="50"/>
      <c r="M186" s="207">
        <v>3443624</v>
      </c>
      <c r="N186" s="207">
        <v>236484.01963294848</v>
      </c>
      <c r="O186" s="49">
        <f t="shared" si="277"/>
        <v>201792.11563294847</v>
      </c>
      <c r="P186" s="50">
        <f t="shared" si="278"/>
        <v>0.85330127568938485</v>
      </c>
      <c r="Q186" s="50">
        <f t="shared" si="279"/>
        <v>0.14669872431061515</v>
      </c>
      <c r="R186" s="50">
        <f t="shared" si="280"/>
        <v>0</v>
      </c>
      <c r="S186" s="50">
        <f t="shared" si="281"/>
        <v>0.14669872431061515</v>
      </c>
      <c r="T186" s="50">
        <f t="shared" si="162"/>
        <v>-0.14669872431061515</v>
      </c>
      <c r="U186" s="298"/>
      <c r="V186" s="298"/>
      <c r="W186" s="298"/>
      <c r="X186" s="113"/>
      <c r="Y186" s="113"/>
      <c r="Z186" s="113"/>
      <c r="AA186" s="113"/>
      <c r="AB186" s="113"/>
      <c r="AC186" s="113"/>
      <c r="AD186" s="113"/>
      <c r="AE186" s="113"/>
      <c r="AF186" s="113"/>
      <c r="AG186" s="113"/>
      <c r="AH186" s="113"/>
      <c r="AI186" s="113"/>
      <c r="AJ186" s="113"/>
      <c r="AK186" s="113"/>
      <c r="AL186" s="113"/>
      <c r="AM186" s="113"/>
      <c r="AN186" s="113"/>
      <c r="AO186" s="113"/>
      <c r="AP186" s="113"/>
      <c r="AQ186" s="113"/>
      <c r="AR186" s="113"/>
      <c r="AS186" s="113"/>
      <c r="AT186" s="113"/>
      <c r="AU186" s="113"/>
      <c r="AV186" s="113"/>
      <c r="AW186" s="113"/>
      <c r="AX186" s="113"/>
      <c r="AY186" s="113"/>
      <c r="AZ186" s="113"/>
      <c r="BA186" s="113"/>
    </row>
    <row r="187" spans="2:53" x14ac:dyDescent="0.25">
      <c r="B187" s="47">
        <f t="shared" si="282"/>
        <v>1</v>
      </c>
      <c r="C187" s="47">
        <f t="shared" si="186"/>
        <v>8</v>
      </c>
      <c r="D187" s="47" t="str">
        <f t="shared" si="311"/>
        <v>PacifiCorp</v>
      </c>
      <c r="E187" s="48">
        <v>2008</v>
      </c>
      <c r="F187" s="207">
        <v>1010.77</v>
      </c>
      <c r="G187" s="50">
        <f t="shared" si="275"/>
        <v>0.38864070942253304</v>
      </c>
      <c r="H187" s="49"/>
      <c r="I187" s="49"/>
      <c r="J187" s="207">
        <v>35382.145199999992</v>
      </c>
      <c r="K187" s="50">
        <f t="shared" ref="K187" si="317">J187/$J$473</f>
        <v>3.0552624002560196E-2</v>
      </c>
      <c r="L187" s="50"/>
      <c r="M187" s="207">
        <v>3441159</v>
      </c>
      <c r="N187" s="207">
        <v>280903.788284746</v>
      </c>
      <c r="O187" s="49">
        <f t="shared" si="277"/>
        <v>245521.643084746</v>
      </c>
      <c r="P187" s="50">
        <f t="shared" si="278"/>
        <v>0.87404176563067959</v>
      </c>
      <c r="Q187" s="50">
        <f t="shared" si="279"/>
        <v>0.12595823436932041</v>
      </c>
      <c r="R187" s="50">
        <f t="shared" si="280"/>
        <v>0</v>
      </c>
      <c r="S187" s="50">
        <f t="shared" si="281"/>
        <v>0.12595823436932041</v>
      </c>
      <c r="T187" s="50">
        <f t="shared" si="162"/>
        <v>-0.12595823436932041</v>
      </c>
      <c r="U187" s="298"/>
      <c r="V187" s="298"/>
      <c r="W187" s="298"/>
      <c r="X187" s="113"/>
      <c r="Y187" s="113"/>
      <c r="Z187" s="113"/>
      <c r="AA187" s="113"/>
      <c r="AB187" s="113"/>
      <c r="AC187" s="113"/>
      <c r="AD187" s="113"/>
      <c r="AE187" s="113"/>
      <c r="AF187" s="113"/>
      <c r="AG187" s="113"/>
      <c r="AH187" s="113"/>
      <c r="AI187" s="113"/>
      <c r="AJ187" s="113"/>
      <c r="AK187" s="113"/>
      <c r="AL187" s="113"/>
      <c r="AM187" s="113"/>
      <c r="AN187" s="113"/>
      <c r="AO187" s="113"/>
      <c r="AP187" s="113"/>
      <c r="AQ187" s="113"/>
      <c r="AR187" s="113"/>
      <c r="AS187" s="113"/>
      <c r="AT187" s="113"/>
      <c r="AU187" s="113"/>
      <c r="AV187" s="113"/>
      <c r="AW187" s="113"/>
      <c r="AX187" s="113"/>
      <c r="AY187" s="113"/>
      <c r="AZ187" s="113"/>
      <c r="BA187" s="113"/>
    </row>
    <row r="188" spans="2:53" x14ac:dyDescent="0.25">
      <c r="B188" s="47">
        <f t="shared" si="282"/>
        <v>1</v>
      </c>
      <c r="C188" s="47">
        <f t="shared" si="186"/>
        <v>8</v>
      </c>
      <c r="D188" s="47" t="str">
        <f t="shared" si="311"/>
        <v>PacifiCorp</v>
      </c>
      <c r="E188" s="48">
        <v>2009</v>
      </c>
      <c r="F188" s="207">
        <v>1010.77</v>
      </c>
      <c r="G188" s="50">
        <f t="shared" si="275"/>
        <v>0.36298471850860303</v>
      </c>
      <c r="H188" s="49"/>
      <c r="I188" s="49"/>
      <c r="J188" s="207">
        <v>36334.546799999996</v>
      </c>
      <c r="K188" s="50">
        <f t="shared" ref="K188" si="318">J188/$J$474</f>
        <v>3.0792375657965949E-2</v>
      </c>
      <c r="L188" s="50"/>
      <c r="M188" s="207">
        <v>3213992</v>
      </c>
      <c r="N188" s="207">
        <v>132366.79035448944</v>
      </c>
      <c r="O188" s="49">
        <f t="shared" si="277"/>
        <v>96032.24355448944</v>
      </c>
      <c r="P188" s="50">
        <f t="shared" si="278"/>
        <v>0.72550103615345651</v>
      </c>
      <c r="Q188" s="50">
        <f t="shared" si="279"/>
        <v>0.27449896384654349</v>
      </c>
      <c r="R188" s="50">
        <f t="shared" si="280"/>
        <v>0</v>
      </c>
      <c r="S188" s="50">
        <f t="shared" si="281"/>
        <v>0.27449896384654349</v>
      </c>
      <c r="T188" s="50">
        <f t="shared" si="162"/>
        <v>-0.27449896384654349</v>
      </c>
      <c r="U188" s="298"/>
      <c r="V188" s="298"/>
      <c r="W188" s="298"/>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row>
    <row r="189" spans="2:53" x14ac:dyDescent="0.25">
      <c r="B189" s="47">
        <f t="shared" si="282"/>
        <v>1</v>
      </c>
      <c r="C189" s="47">
        <f t="shared" si="186"/>
        <v>8</v>
      </c>
      <c r="D189" s="47" t="str">
        <f t="shared" si="311"/>
        <v>PacifiCorp</v>
      </c>
      <c r="E189" s="48">
        <v>2010</v>
      </c>
      <c r="F189" s="207">
        <v>1010.77</v>
      </c>
      <c r="G189" s="50">
        <f t="shared" si="275"/>
        <v>0.38798939079086281</v>
      </c>
      <c r="H189" s="49"/>
      <c r="I189" s="49"/>
      <c r="J189" s="207">
        <v>34722.896399999991</v>
      </c>
      <c r="K189" s="50">
        <f t="shared" ref="K189" si="319">J189/$J$475</f>
        <v>2.8375632037284847E-2</v>
      </c>
      <c r="L189" s="50"/>
      <c r="M189" s="207">
        <v>3435392</v>
      </c>
      <c r="N189" s="207">
        <v>146313.0799275125</v>
      </c>
      <c r="O189" s="49">
        <f t="shared" si="277"/>
        <v>111590.1835275125</v>
      </c>
      <c r="P189" s="50">
        <f t="shared" si="278"/>
        <v>0.76268084564139671</v>
      </c>
      <c r="Q189" s="50">
        <f t="shared" si="279"/>
        <v>0.23731915435860329</v>
      </c>
      <c r="R189" s="50">
        <f t="shared" si="280"/>
        <v>0</v>
      </c>
      <c r="S189" s="50">
        <f t="shared" si="281"/>
        <v>0.23731915435860329</v>
      </c>
      <c r="T189" s="50">
        <f t="shared" si="162"/>
        <v>-0.23731915435860329</v>
      </c>
      <c r="U189" s="298"/>
      <c r="V189" s="298"/>
      <c r="W189" s="298"/>
      <c r="X189" s="113"/>
      <c r="Y189" s="113"/>
      <c r="Z189" s="113"/>
      <c r="AA189" s="113"/>
      <c r="AB189" s="113"/>
      <c r="AC189" s="113"/>
      <c r="AD189" s="113"/>
      <c r="AE189" s="113"/>
      <c r="AF189" s="113"/>
      <c r="AG189" s="113"/>
      <c r="AH189" s="113"/>
      <c r="AI189" s="113"/>
      <c r="AJ189" s="113"/>
      <c r="AK189" s="113"/>
      <c r="AL189" s="113"/>
      <c r="AM189" s="113"/>
      <c r="AN189" s="113"/>
      <c r="AO189" s="113"/>
      <c r="AP189" s="113"/>
      <c r="AQ189" s="113"/>
      <c r="AR189" s="113"/>
      <c r="AS189" s="113"/>
      <c r="AT189" s="113"/>
      <c r="AU189" s="113"/>
      <c r="AV189" s="113"/>
      <c r="AW189" s="113"/>
      <c r="AX189" s="113"/>
      <c r="AY189" s="113"/>
      <c r="AZ189" s="113"/>
      <c r="BA189" s="113"/>
    </row>
    <row r="190" spans="2:53" x14ac:dyDescent="0.25">
      <c r="B190" s="47">
        <f t="shared" si="282"/>
        <v>1</v>
      </c>
      <c r="C190" s="47">
        <f t="shared" si="186"/>
        <v>8</v>
      </c>
      <c r="D190" s="47" t="str">
        <f t="shared" si="311"/>
        <v>PacifiCorp</v>
      </c>
      <c r="E190" s="48">
        <v>2011</v>
      </c>
      <c r="F190" s="207">
        <v>1016.27</v>
      </c>
      <c r="G190" s="50">
        <f t="shared" si="275"/>
        <v>0.48741990643284</v>
      </c>
      <c r="H190" s="49"/>
      <c r="I190" s="49"/>
      <c r="J190" s="207">
        <v>37845.6564</v>
      </c>
      <c r="K190" s="50">
        <f t="shared" ref="K190" si="320">J190/$J$476</f>
        <v>3.1355879122761915E-2</v>
      </c>
      <c r="L190" s="50"/>
      <c r="M190" s="207">
        <v>4339268</v>
      </c>
      <c r="N190" s="207">
        <v>150558.21232716439</v>
      </c>
      <c r="O190" s="49">
        <f t="shared" si="277"/>
        <v>112712.55592716439</v>
      </c>
      <c r="P190" s="50">
        <f t="shared" si="278"/>
        <v>0.74863107222765746</v>
      </c>
      <c r="Q190" s="50">
        <f t="shared" si="279"/>
        <v>0.25136892777234254</v>
      </c>
      <c r="R190" s="50">
        <f t="shared" si="280"/>
        <v>0</v>
      </c>
      <c r="S190" s="50">
        <f t="shared" si="281"/>
        <v>0.25136892777234254</v>
      </c>
      <c r="T190" s="50">
        <f t="shared" si="162"/>
        <v>-0.25136892777234254</v>
      </c>
      <c r="U190" s="298"/>
      <c r="V190" s="298"/>
      <c r="W190" s="298"/>
      <c r="X190" s="113"/>
      <c r="Y190" s="113"/>
      <c r="Z190" s="113"/>
      <c r="AA190" s="113"/>
      <c r="AB190" s="113"/>
      <c r="AC190" s="113"/>
      <c r="AD190" s="113"/>
      <c r="AE190" s="113"/>
      <c r="AF190" s="113"/>
      <c r="AG190" s="113"/>
      <c r="AH190" s="113"/>
      <c r="AI190" s="113"/>
      <c r="AJ190" s="113"/>
      <c r="AK190" s="113"/>
      <c r="AL190" s="113"/>
      <c r="AM190" s="113"/>
      <c r="AN190" s="113"/>
      <c r="AO190" s="113"/>
      <c r="AP190" s="113"/>
      <c r="AQ190" s="113"/>
      <c r="AR190" s="113"/>
      <c r="AS190" s="113"/>
      <c r="AT190" s="113"/>
      <c r="AU190" s="113"/>
      <c r="AV190" s="113"/>
      <c r="AW190" s="113"/>
      <c r="AX190" s="113"/>
      <c r="AY190" s="113"/>
      <c r="AZ190" s="113"/>
      <c r="BA190" s="113"/>
    </row>
    <row r="191" spans="2:53" x14ac:dyDescent="0.25">
      <c r="B191" s="47">
        <f t="shared" si="282"/>
        <v>1</v>
      </c>
      <c r="C191" s="47">
        <f t="shared" ref="C191:C274" si="321">IF(D191=D190,C190,C190+1)</f>
        <v>8</v>
      </c>
      <c r="D191" s="47" t="str">
        <f t="shared" si="311"/>
        <v>PacifiCorp</v>
      </c>
      <c r="E191" s="48">
        <v>2012</v>
      </c>
      <c r="F191" s="207">
        <v>1016.27</v>
      </c>
      <c r="G191" s="50">
        <f t="shared" si="275"/>
        <v>0.45839207509348023</v>
      </c>
      <c r="H191" s="49"/>
      <c r="I191" s="49"/>
      <c r="J191" s="207">
        <v>36792.788399999998</v>
      </c>
      <c r="K191" s="50">
        <f t="shared" ref="K191" si="322">J191/$J$477</f>
        <v>2.9550367154212394E-2</v>
      </c>
      <c r="L191" s="50"/>
      <c r="M191" s="207">
        <v>4080847</v>
      </c>
      <c r="N191" s="207">
        <v>113494.68544084058</v>
      </c>
      <c r="O191" s="49">
        <f t="shared" si="277"/>
        <v>76701.897040840588</v>
      </c>
      <c r="P191" s="50">
        <f t="shared" si="278"/>
        <v>0.67581928389784973</v>
      </c>
      <c r="Q191" s="50">
        <f t="shared" si="279"/>
        <v>0.32418071610215027</v>
      </c>
      <c r="R191" s="50">
        <f t="shared" si="280"/>
        <v>0</v>
      </c>
      <c r="S191" s="50">
        <f t="shared" si="281"/>
        <v>0.32418071610215027</v>
      </c>
      <c r="T191" s="50">
        <f t="shared" ref="T191:T274" si="323">R191-S191</f>
        <v>-0.32418071610215027</v>
      </c>
      <c r="U191" s="298"/>
      <c r="V191" s="298"/>
      <c r="W191" s="298"/>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3"/>
      <c r="BA191" s="113"/>
    </row>
    <row r="192" spans="2:53" x14ac:dyDescent="0.25">
      <c r="B192" s="47">
        <f t="shared" si="282"/>
        <v>1</v>
      </c>
      <c r="C192" s="47">
        <f t="shared" si="321"/>
        <v>8</v>
      </c>
      <c r="D192" s="47" t="str">
        <f t="shared" si="311"/>
        <v>PacifiCorp</v>
      </c>
      <c r="E192" s="48">
        <v>2013</v>
      </c>
      <c r="F192" s="207">
        <v>1016.27</v>
      </c>
      <c r="G192" s="50">
        <f t="shared" si="275"/>
        <v>0.33436580443490349</v>
      </c>
      <c r="H192" s="47"/>
      <c r="I192" s="47"/>
      <c r="J192" s="207">
        <v>39195.271200000003</v>
      </c>
      <c r="K192" s="50">
        <f t="shared" ref="K192" si="324">J192/$J$478</f>
        <v>3.152970001721668E-2</v>
      </c>
      <c r="L192" s="47"/>
      <c r="M192" s="207">
        <v>2976700</v>
      </c>
      <c r="N192" s="207">
        <v>131467.76201521757</v>
      </c>
      <c r="O192" s="49">
        <f t="shared" si="277"/>
        <v>92272.490815217563</v>
      </c>
      <c r="P192" s="50">
        <f t="shared" si="278"/>
        <v>0.70186401138050025</v>
      </c>
      <c r="Q192" s="50">
        <f t="shared" si="279"/>
        <v>0.29813598861949975</v>
      </c>
      <c r="R192" s="50">
        <f t="shared" si="280"/>
        <v>0</v>
      </c>
      <c r="S192" s="50">
        <f t="shared" si="281"/>
        <v>0.29813598861949975</v>
      </c>
      <c r="T192" s="50">
        <f t="shared" si="323"/>
        <v>-0.29813598861949975</v>
      </c>
      <c r="U192" s="298"/>
      <c r="V192" s="298"/>
      <c r="W192" s="298"/>
      <c r="X192" s="113"/>
      <c r="Y192" s="113"/>
      <c r="Z192" s="113"/>
      <c r="AA192" s="113"/>
      <c r="AB192" s="113"/>
      <c r="AC192" s="113"/>
      <c r="AD192" s="113"/>
      <c r="AE192" s="113"/>
      <c r="AF192" s="113"/>
      <c r="AG192" s="113"/>
      <c r="AH192" s="113"/>
      <c r="AI192" s="113"/>
      <c r="AJ192" s="113"/>
      <c r="AK192" s="113"/>
      <c r="AL192" s="113"/>
      <c r="AM192" s="113"/>
      <c r="AN192" s="113"/>
      <c r="AO192" s="113"/>
      <c r="AP192" s="113"/>
      <c r="AQ192" s="113"/>
      <c r="AR192" s="113"/>
      <c r="AS192" s="113"/>
      <c r="AT192" s="113"/>
      <c r="AU192" s="113"/>
      <c r="AV192" s="113"/>
      <c r="AW192" s="113"/>
      <c r="AX192" s="113"/>
      <c r="AY192" s="113"/>
      <c r="AZ192" s="113"/>
      <c r="BA192" s="113"/>
    </row>
    <row r="193" spans="2:53" x14ac:dyDescent="0.25">
      <c r="B193" s="47">
        <f t="shared" si="282"/>
        <v>1</v>
      </c>
      <c r="C193" s="47">
        <f t="shared" si="321"/>
        <v>8</v>
      </c>
      <c r="D193" s="47" t="str">
        <f>D190</f>
        <v>PacifiCorp</v>
      </c>
      <c r="E193" s="48">
        <v>2014</v>
      </c>
      <c r="F193" s="207">
        <v>1016.27</v>
      </c>
      <c r="G193" s="50">
        <f t="shared" si="275"/>
        <v>0.4038629399218101</v>
      </c>
      <c r="H193" s="47"/>
      <c r="I193" s="47"/>
      <c r="J193" s="207">
        <v>37858.965599999996</v>
      </c>
      <c r="K193" s="50">
        <f t="shared" ref="K193" si="325">J193/$J$479</f>
        <v>3.0343414421261435E-2</v>
      </c>
      <c r="L193" s="47"/>
      <c r="M193" s="207">
        <v>3595400</v>
      </c>
      <c r="N193" s="207">
        <v>170100.14134504396</v>
      </c>
      <c r="O193" s="49">
        <f t="shared" si="277"/>
        <v>132241.17574504396</v>
      </c>
      <c r="P193" s="50">
        <f t="shared" si="278"/>
        <v>0.77743131016449885</v>
      </c>
      <c r="Q193" s="50">
        <f t="shared" si="279"/>
        <v>0.22256868983550115</v>
      </c>
      <c r="R193" s="50">
        <f t="shared" si="280"/>
        <v>0</v>
      </c>
      <c r="S193" s="50">
        <f t="shared" si="281"/>
        <v>0.22256868983550115</v>
      </c>
      <c r="T193" s="50">
        <f t="shared" si="323"/>
        <v>-0.22256868983550115</v>
      </c>
      <c r="U193" s="298"/>
      <c r="V193" s="298"/>
      <c r="W193" s="298"/>
      <c r="X193" s="113"/>
      <c r="Y193" s="113"/>
      <c r="Z193" s="113"/>
      <c r="AA193" s="113"/>
      <c r="AB193" s="113"/>
      <c r="AC193" s="113"/>
      <c r="AD193" s="113"/>
      <c r="AE193" s="113"/>
      <c r="AF193" s="113"/>
      <c r="AG193" s="113"/>
      <c r="AH193" s="113"/>
      <c r="AI193" s="113"/>
      <c r="AJ193" s="113"/>
      <c r="AK193" s="113"/>
      <c r="AL193" s="113"/>
      <c r="AM193" s="113"/>
      <c r="AN193" s="113"/>
      <c r="AO193" s="113"/>
      <c r="AP193" s="113"/>
      <c r="AQ193" s="113"/>
      <c r="AR193" s="113"/>
      <c r="AS193" s="113"/>
      <c r="AT193" s="113"/>
      <c r="AU193" s="113"/>
      <c r="AV193" s="113"/>
      <c r="AW193" s="113"/>
      <c r="AX193" s="113"/>
      <c r="AY193" s="113"/>
      <c r="AZ193" s="113"/>
      <c r="BA193" s="113"/>
    </row>
    <row r="194" spans="2:53" x14ac:dyDescent="0.25">
      <c r="B194" s="47">
        <f t="shared" si="282"/>
        <v>1</v>
      </c>
      <c r="C194" s="47">
        <f t="shared" si="321"/>
        <v>8</v>
      </c>
      <c r="D194" s="47" t="str">
        <f>D191</f>
        <v>PacifiCorp</v>
      </c>
      <c r="E194" s="48">
        <v>2015</v>
      </c>
      <c r="F194" s="207">
        <v>1016.72</v>
      </c>
      <c r="G194" s="50">
        <f t="shared" si="275"/>
        <v>0.3092849205125911</v>
      </c>
      <c r="H194" s="47"/>
      <c r="I194" s="47"/>
      <c r="J194" s="207">
        <v>40560.601199999997</v>
      </c>
      <c r="K194" s="50">
        <f t="shared" ref="K194" si="326">J194/$J$480</f>
        <v>3.077536327413866E-2</v>
      </c>
      <c r="L194" s="47"/>
      <c r="M194" s="207">
        <v>2754636</v>
      </c>
      <c r="N194" s="207">
        <v>86913.772696147309</v>
      </c>
      <c r="O194" s="49">
        <f t="shared" si="277"/>
        <v>46353.171496147312</v>
      </c>
      <c r="P194" s="50">
        <f t="shared" si="278"/>
        <v>0.53332366158122191</v>
      </c>
      <c r="Q194" s="50">
        <f t="shared" si="279"/>
        <v>0.46667633841877809</v>
      </c>
      <c r="R194" s="50">
        <f t="shared" si="280"/>
        <v>0</v>
      </c>
      <c r="S194" s="50">
        <f t="shared" si="281"/>
        <v>0.46667633841877809</v>
      </c>
      <c r="T194" s="50">
        <f t="shared" si="323"/>
        <v>-0.46667633841877809</v>
      </c>
      <c r="U194" s="298"/>
      <c r="V194" s="298"/>
      <c r="W194" s="298"/>
      <c r="X194" s="113"/>
      <c r="Y194" s="113"/>
      <c r="Z194" s="113"/>
      <c r="AA194" s="113"/>
      <c r="AB194" s="113"/>
      <c r="AC194" s="113"/>
      <c r="AD194" s="113"/>
      <c r="AE194" s="113"/>
      <c r="AF194" s="113"/>
      <c r="AG194" s="113"/>
      <c r="AH194" s="113"/>
      <c r="AI194" s="113"/>
      <c r="AJ194" s="113"/>
      <c r="AK194" s="113"/>
      <c r="AL194" s="113"/>
      <c r="AM194" s="113"/>
      <c r="AN194" s="113"/>
      <c r="AO194" s="113"/>
      <c r="AP194" s="113"/>
      <c r="AQ194" s="113"/>
      <c r="AR194" s="113"/>
      <c r="AS194" s="113"/>
      <c r="AT194" s="113"/>
      <c r="AU194" s="113"/>
      <c r="AV194" s="113"/>
      <c r="AW194" s="113"/>
      <c r="AX194" s="113"/>
      <c r="AY194" s="113"/>
      <c r="AZ194" s="113"/>
      <c r="BA194" s="113"/>
    </row>
    <row r="195" spans="2:53" x14ac:dyDescent="0.25">
      <c r="B195" s="47">
        <f t="shared" si="282"/>
        <v>1</v>
      </c>
      <c r="C195" s="47">
        <f t="shared" si="321"/>
        <v>8</v>
      </c>
      <c r="D195" s="47" t="str">
        <f>D192</f>
        <v>PacifiCorp</v>
      </c>
      <c r="E195" s="48">
        <v>2016</v>
      </c>
      <c r="F195" s="207">
        <v>1006.42</v>
      </c>
      <c r="G195" s="50">
        <f t="shared" si="275"/>
        <v>0.41730480724706293</v>
      </c>
      <c r="H195" s="47"/>
      <c r="I195" s="47"/>
      <c r="J195" s="207">
        <v>40815.760799999996</v>
      </c>
      <c r="K195" s="50">
        <f t="shared" ref="K195" si="327">J195/$J$481</f>
        <v>3.0668104540939583E-2</v>
      </c>
      <c r="L195" s="47"/>
      <c r="M195" s="207">
        <v>3679059</v>
      </c>
      <c r="N195" s="207">
        <v>99124.648221912517</v>
      </c>
      <c r="O195" s="49">
        <f t="shared" si="277"/>
        <v>58308.887421912521</v>
      </c>
      <c r="P195" s="50">
        <f t="shared" si="278"/>
        <v>0.58823802624121435</v>
      </c>
      <c r="Q195" s="50">
        <f t="shared" si="279"/>
        <v>0.41176197375878565</v>
      </c>
      <c r="R195" s="50">
        <f t="shared" si="280"/>
        <v>0</v>
      </c>
      <c r="S195" s="50">
        <f t="shared" si="281"/>
        <v>0.41176197375878565</v>
      </c>
      <c r="T195" s="50">
        <f t="shared" si="323"/>
        <v>-0.41176197375878565</v>
      </c>
      <c r="U195" s="298"/>
      <c r="V195" s="298"/>
      <c r="W195" s="298"/>
      <c r="X195" s="113"/>
      <c r="Y195" s="113"/>
      <c r="Z195" s="113"/>
      <c r="AA195" s="113"/>
      <c r="AB195" s="113"/>
      <c r="AC195" s="113"/>
      <c r="AD195" s="113"/>
      <c r="AE195" s="113"/>
      <c r="AF195" s="113"/>
      <c r="AG195" s="113"/>
      <c r="AH195" s="113"/>
      <c r="AI195" s="113"/>
      <c r="AJ195" s="113"/>
      <c r="AK195" s="113"/>
      <c r="AL195" s="113"/>
      <c r="AM195" s="113"/>
      <c r="AN195" s="113"/>
      <c r="AO195" s="113"/>
      <c r="AP195" s="113"/>
      <c r="AQ195" s="113"/>
      <c r="AR195" s="113"/>
      <c r="AS195" s="113"/>
      <c r="AT195" s="113"/>
      <c r="AU195" s="113"/>
      <c r="AV195" s="113"/>
      <c r="AW195" s="113"/>
      <c r="AX195" s="113"/>
      <c r="AY195" s="113"/>
      <c r="AZ195" s="113"/>
      <c r="BA195" s="113"/>
    </row>
    <row r="196" spans="2:53" x14ac:dyDescent="0.25">
      <c r="B196" s="47">
        <f t="shared" si="282"/>
        <v>1</v>
      </c>
      <c r="C196" s="47">
        <f t="shared" si="321"/>
        <v>8</v>
      </c>
      <c r="D196" s="47" t="str">
        <f t="shared" ref="D196:D202" si="328">D195</f>
        <v>PacifiCorp</v>
      </c>
      <c r="E196" s="48">
        <v>2017</v>
      </c>
      <c r="F196" s="207">
        <v>1006.42</v>
      </c>
      <c r="G196" s="50">
        <f t="shared" si="275"/>
        <v>0.51267744641048307</v>
      </c>
      <c r="H196" s="47"/>
      <c r="I196" s="47"/>
      <c r="J196" s="207">
        <v>39350.265599999999</v>
      </c>
      <c r="K196" s="50">
        <f t="shared" ref="K196" si="329">J196/$J$482</f>
        <v>3.0223491031392002E-2</v>
      </c>
      <c r="L196" s="47"/>
      <c r="M196" s="207">
        <v>4519887</v>
      </c>
      <c r="N196" s="207">
        <v>141164.19242819207</v>
      </c>
      <c r="O196" s="49">
        <f t="shared" si="277"/>
        <v>101813.92682819207</v>
      </c>
      <c r="P196" s="50">
        <f t="shared" si="278"/>
        <v>0.72124470856859224</v>
      </c>
      <c r="Q196" s="50">
        <f t="shared" si="279"/>
        <v>0.27875529143140776</v>
      </c>
      <c r="R196" s="50">
        <f t="shared" si="280"/>
        <v>0</v>
      </c>
      <c r="S196" s="50">
        <f t="shared" si="281"/>
        <v>0.27875529143140776</v>
      </c>
      <c r="T196" s="50">
        <f t="shared" si="323"/>
        <v>-0.27875529143140776</v>
      </c>
      <c r="U196" s="298"/>
      <c r="V196" s="298"/>
      <c r="W196" s="298"/>
      <c r="X196" s="113"/>
      <c r="Y196" s="113"/>
      <c r="Z196" s="113"/>
      <c r="AA196" s="113"/>
      <c r="AB196" s="113"/>
      <c r="AC196" s="113"/>
      <c r="AD196" s="113"/>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113"/>
    </row>
    <row r="197" spans="2:53" x14ac:dyDescent="0.25">
      <c r="B197" s="47">
        <f t="shared" si="282"/>
        <v>1</v>
      </c>
      <c r="C197" s="47">
        <f t="shared" si="321"/>
        <v>8</v>
      </c>
      <c r="D197" s="47" t="str">
        <f t="shared" si="328"/>
        <v>PacifiCorp</v>
      </c>
      <c r="E197" s="48">
        <v>2018</v>
      </c>
      <c r="F197" s="207">
        <v>1006.42</v>
      </c>
      <c r="G197" s="50">
        <f t="shared" ref="G197" si="330">M197/(F197*8760)</f>
        <v>0.35114791350035063</v>
      </c>
      <c r="H197" s="47"/>
      <c r="I197" s="47"/>
      <c r="J197" s="207">
        <v>40015.916400000002</v>
      </c>
      <c r="K197" s="50">
        <f t="shared" ref="K197" si="331">J197/$J$483</f>
        <v>2.8519576380175934E-2</v>
      </c>
      <c r="L197" s="47"/>
      <c r="M197" s="208">
        <v>3095804</v>
      </c>
      <c r="N197" s="207">
        <v>121261.47515085762</v>
      </c>
      <c r="O197" s="49">
        <f t="shared" ref="O197:O198" si="332">N197-J197</f>
        <v>81245.558750857614</v>
      </c>
      <c r="P197" s="50">
        <f t="shared" ref="P197:P198" si="333">O197/N197</f>
        <v>0.67000305455448694</v>
      </c>
      <c r="Q197" s="50">
        <f t="shared" ref="Q197:Q198" si="334">1-P197</f>
        <v>0.32999694544551306</v>
      </c>
      <c r="R197" s="50">
        <f t="shared" ref="R197:R198" si="335">Q197*L197</f>
        <v>0</v>
      </c>
      <c r="S197" s="50">
        <f t="shared" ref="S197:S198" si="336">Q197-R197</f>
        <v>0.32999694544551306</v>
      </c>
      <c r="T197" s="50">
        <f t="shared" ref="T197:T198" si="337">R197-S197</f>
        <v>-0.32999694544551306</v>
      </c>
      <c r="U197" s="298"/>
      <c r="V197" s="298"/>
      <c r="W197" s="298"/>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3"/>
      <c r="BA197" s="113"/>
    </row>
    <row r="198" spans="2:53" x14ac:dyDescent="0.25">
      <c r="B198" s="47">
        <f t="shared" si="282"/>
        <v>1</v>
      </c>
      <c r="C198" s="47">
        <f t="shared" si="321"/>
        <v>8</v>
      </c>
      <c r="D198" s="47" t="str">
        <f t="shared" ref="D198:D200" si="338">D195</f>
        <v>PacifiCorp</v>
      </c>
      <c r="E198" s="48">
        <v>2019</v>
      </c>
      <c r="F198" s="207">
        <v>1006.42</v>
      </c>
      <c r="G198" s="50">
        <f t="shared" si="275"/>
        <v>0.30073787017938447</v>
      </c>
      <c r="H198" s="47"/>
      <c r="I198" s="47"/>
      <c r="J198" s="207">
        <v>43464.502800000002</v>
      </c>
      <c r="K198" s="50">
        <f t="shared" ref="K198" si="339">J198/$J$484</f>
        <v>3.156507210428481E-2</v>
      </c>
      <c r="L198" s="47"/>
      <c r="M198" s="207">
        <v>2651377</v>
      </c>
      <c r="N198" s="207">
        <v>96313.732978528162</v>
      </c>
      <c r="O198" s="49">
        <f t="shared" si="332"/>
        <v>52849.23017852816</v>
      </c>
      <c r="P198" s="50">
        <f t="shared" si="333"/>
        <v>0.54871957034735819</v>
      </c>
      <c r="Q198" s="50">
        <f t="shared" si="334"/>
        <v>0.45128042965264181</v>
      </c>
      <c r="R198" s="50">
        <f t="shared" si="335"/>
        <v>0</v>
      </c>
      <c r="S198" s="50">
        <f t="shared" si="336"/>
        <v>0.45128042965264181</v>
      </c>
      <c r="T198" s="50">
        <f t="shared" si="337"/>
        <v>-0.45128042965264181</v>
      </c>
      <c r="U198" s="298"/>
      <c r="V198" s="298"/>
      <c r="W198" s="298"/>
      <c r="X198" s="113"/>
      <c r="Y198" s="113"/>
      <c r="Z198" s="113"/>
      <c r="AA198" s="113"/>
      <c r="AB198" s="113"/>
      <c r="AC198" s="113"/>
      <c r="AD198" s="113"/>
      <c r="AE198" s="113"/>
      <c r="AF198" s="113"/>
      <c r="AG198" s="113"/>
      <c r="AH198" s="113"/>
      <c r="AI198" s="113"/>
      <c r="AJ198" s="113"/>
      <c r="AK198" s="113"/>
      <c r="AL198" s="113"/>
      <c r="AM198" s="113"/>
      <c r="AN198" s="113"/>
      <c r="AO198" s="113"/>
      <c r="AP198" s="113"/>
      <c r="AQ198" s="113"/>
      <c r="AR198" s="113"/>
      <c r="AS198" s="113"/>
      <c r="AT198" s="113"/>
      <c r="AU198" s="113"/>
      <c r="AV198" s="113"/>
      <c r="AW198" s="113"/>
      <c r="AX198" s="113"/>
      <c r="AY198" s="113"/>
      <c r="AZ198" s="113"/>
      <c r="BA198" s="113"/>
    </row>
    <row r="199" spans="2:53" x14ac:dyDescent="0.25">
      <c r="B199" s="47">
        <f t="shared" si="282"/>
        <v>1</v>
      </c>
      <c r="C199" s="47">
        <f t="shared" si="321"/>
        <v>8</v>
      </c>
      <c r="D199" s="47" t="str">
        <f t="shared" si="338"/>
        <v>PacifiCorp</v>
      </c>
      <c r="E199" s="48">
        <v>2020</v>
      </c>
      <c r="F199" s="207">
        <v>1006.42</v>
      </c>
      <c r="G199" s="50">
        <f t="shared" si="275"/>
        <v>0.32487310462266045</v>
      </c>
      <c r="H199" s="47"/>
      <c r="I199" s="47"/>
      <c r="J199" s="207">
        <v>41818.462799999994</v>
      </c>
      <c r="K199" s="50">
        <f t="shared" ref="K199" si="340">J199/$J$485</f>
        <v>3.0194622225513487E-2</v>
      </c>
      <c r="L199" s="47"/>
      <c r="M199" s="207">
        <v>2864159</v>
      </c>
      <c r="N199" s="207">
        <v>69368.842083758209</v>
      </c>
      <c r="O199" s="49">
        <f t="shared" ref="O199:O202" si="341">N199-J199</f>
        <v>27550.379283758215</v>
      </c>
      <c r="P199" s="50">
        <f t="shared" ref="P199:P202" si="342">O199/N199</f>
        <v>0.39715783709482977</v>
      </c>
      <c r="Q199" s="50">
        <f t="shared" ref="Q199:Q202" si="343">1-P199</f>
        <v>0.60284216290517023</v>
      </c>
      <c r="R199" s="50">
        <f t="shared" ref="R199:R202" si="344">Q199*L199</f>
        <v>0</v>
      </c>
      <c r="S199" s="50">
        <f t="shared" ref="S199:S202" si="345">Q199-R199</f>
        <v>0.60284216290517023</v>
      </c>
      <c r="T199" s="50">
        <f t="shared" ref="T199:T202" si="346">R199-S199</f>
        <v>-0.60284216290517023</v>
      </c>
      <c r="U199" s="298"/>
      <c r="V199" s="298"/>
      <c r="W199" s="298"/>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row>
    <row r="200" spans="2:53" x14ac:dyDescent="0.25">
      <c r="B200" s="47">
        <f t="shared" si="282"/>
        <v>1</v>
      </c>
      <c r="C200" s="47">
        <f t="shared" si="321"/>
        <v>8</v>
      </c>
      <c r="D200" s="47" t="str">
        <f t="shared" si="338"/>
        <v>PacifiCorp</v>
      </c>
      <c r="E200" s="48">
        <v>2021</v>
      </c>
      <c r="F200" s="207">
        <v>1006.42</v>
      </c>
      <c r="G200" s="50">
        <f t="shared" si="275"/>
        <v>0.3028080272595145</v>
      </c>
      <c r="H200" s="47"/>
      <c r="I200" s="47"/>
      <c r="J200" s="207">
        <v>42795.573600000003</v>
      </c>
      <c r="K200" s="50">
        <f t="shared" ref="K200" si="347">J200/$J$486</f>
        <v>2.9534874346948677E-2</v>
      </c>
      <c r="L200" s="47"/>
      <c r="M200" s="207">
        <v>2669628</v>
      </c>
      <c r="N200" s="207">
        <v>146177.65363752324</v>
      </c>
      <c r="O200" s="49">
        <f t="shared" si="341"/>
        <v>103382.08003752324</v>
      </c>
      <c r="P200" s="50">
        <f t="shared" si="342"/>
        <v>0.70723586994958754</v>
      </c>
      <c r="Q200" s="50">
        <f t="shared" si="343"/>
        <v>0.29276413005041246</v>
      </c>
      <c r="R200" s="50">
        <f t="shared" si="344"/>
        <v>0</v>
      </c>
      <c r="S200" s="50">
        <f t="shared" si="345"/>
        <v>0.29276413005041246</v>
      </c>
      <c r="T200" s="50">
        <f t="shared" si="346"/>
        <v>-0.29276413005041246</v>
      </c>
      <c r="U200" s="298"/>
      <c r="V200" s="298"/>
      <c r="W200" s="298"/>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row>
    <row r="201" spans="2:53" x14ac:dyDescent="0.25">
      <c r="B201" s="47">
        <f t="shared" si="282"/>
        <v>1</v>
      </c>
      <c r="C201" s="47">
        <f t="shared" si="321"/>
        <v>8</v>
      </c>
      <c r="D201" s="47" t="str">
        <f t="shared" si="328"/>
        <v>PacifiCorp</v>
      </c>
      <c r="E201" s="48">
        <v>2022</v>
      </c>
      <c r="F201" s="207">
        <v>1006.42</v>
      </c>
      <c r="G201" s="50">
        <f t="shared" si="275"/>
        <v>0.32153732852438943</v>
      </c>
      <c r="H201" s="47"/>
      <c r="I201" s="47"/>
      <c r="J201" s="207">
        <v>46800.719999999994</v>
      </c>
      <c r="K201" s="50">
        <f t="shared" ref="K201" si="348">J201/$J$487</f>
        <v>3.1834087975858301E-2</v>
      </c>
      <c r="L201" s="47"/>
      <c r="M201" s="207">
        <v>2834750</v>
      </c>
      <c r="N201" s="207">
        <v>239115.43015947507</v>
      </c>
      <c r="O201" s="49">
        <f t="shared" si="341"/>
        <v>192314.71015947507</v>
      </c>
      <c r="P201" s="50">
        <f t="shared" si="342"/>
        <v>0.80427561714111528</v>
      </c>
      <c r="Q201" s="50">
        <f t="shared" si="343"/>
        <v>0.19572438285888472</v>
      </c>
      <c r="R201" s="50">
        <f t="shared" si="344"/>
        <v>0</v>
      </c>
      <c r="S201" s="50">
        <f t="shared" si="345"/>
        <v>0.19572438285888472</v>
      </c>
      <c r="T201" s="50">
        <f t="shared" si="346"/>
        <v>-0.19572438285888472</v>
      </c>
      <c r="U201" s="298"/>
      <c r="V201" s="298"/>
      <c r="W201" s="298"/>
      <c r="X201" s="113"/>
      <c r="Y201" s="113"/>
      <c r="Z201" s="113"/>
      <c r="AA201" s="113"/>
      <c r="AB201" s="113"/>
      <c r="AC201" s="113"/>
      <c r="AD201" s="113"/>
      <c r="AE201" s="113"/>
      <c r="AF201" s="113"/>
      <c r="AG201" s="113"/>
      <c r="AH201" s="113"/>
      <c r="AI201" s="113"/>
      <c r="AJ201" s="113"/>
      <c r="AK201" s="113"/>
      <c r="AL201" s="113"/>
      <c r="AM201" s="113"/>
      <c r="AN201" s="113"/>
      <c r="AO201" s="113"/>
      <c r="AP201" s="113"/>
      <c r="AQ201" s="113"/>
      <c r="AR201" s="113"/>
      <c r="AS201" s="113"/>
      <c r="AT201" s="113"/>
      <c r="AU201" s="113"/>
      <c r="AV201" s="113"/>
      <c r="AW201" s="113"/>
      <c r="AX201" s="113"/>
      <c r="AY201" s="113"/>
      <c r="AZ201" s="113"/>
      <c r="BA201" s="113"/>
    </row>
    <row r="202" spans="2:53" x14ac:dyDescent="0.25">
      <c r="B202" s="47">
        <f t="shared" si="282"/>
        <v>1</v>
      </c>
      <c r="C202" s="47">
        <f t="shared" si="321"/>
        <v>8</v>
      </c>
      <c r="D202" s="47" t="str">
        <f t="shared" si="328"/>
        <v>PacifiCorp</v>
      </c>
      <c r="E202" s="48">
        <v>2023</v>
      </c>
      <c r="F202" s="207">
        <v>1006.42</v>
      </c>
      <c r="G202" s="50">
        <f t="shared" si="275"/>
        <v>0.32649431744093332</v>
      </c>
      <c r="H202" s="47"/>
      <c r="I202" s="47"/>
      <c r="J202" s="207">
        <v>52953.568800000001</v>
      </c>
      <c r="K202" s="50">
        <f t="shared" ref="K202" si="349">J202/$J$488</f>
        <v>3.3151399743850112E-2</v>
      </c>
      <c r="L202" s="47"/>
      <c r="M202" s="208">
        <v>2878452</v>
      </c>
      <c r="N202" s="207">
        <v>243217.85707635892</v>
      </c>
      <c r="O202" s="49">
        <f t="shared" si="341"/>
        <v>190264.28827635892</v>
      </c>
      <c r="P202" s="50">
        <f t="shared" si="342"/>
        <v>0.78227927243280049</v>
      </c>
      <c r="Q202" s="50">
        <f t="shared" si="343"/>
        <v>0.21772072756719951</v>
      </c>
      <c r="R202" s="50">
        <f t="shared" si="344"/>
        <v>0</v>
      </c>
      <c r="S202" s="50">
        <f t="shared" si="345"/>
        <v>0.21772072756719951</v>
      </c>
      <c r="T202" s="50">
        <f t="shared" si="346"/>
        <v>-0.21772072756719951</v>
      </c>
      <c r="U202" s="298"/>
      <c r="V202" s="298"/>
      <c r="W202" s="298"/>
      <c r="X202" s="113"/>
      <c r="Y202" s="113"/>
      <c r="Z202" s="113"/>
      <c r="AA202" s="113"/>
      <c r="AB202" s="113"/>
      <c r="AC202" s="113"/>
      <c r="AD202" s="113"/>
      <c r="AE202" s="113"/>
      <c r="AF202" s="113"/>
      <c r="AG202" s="113"/>
      <c r="AH202" s="113"/>
      <c r="AI202" s="113"/>
      <c r="AJ202" s="113"/>
      <c r="AK202" s="113"/>
      <c r="AL202" s="113"/>
      <c r="AM202" s="113"/>
      <c r="AN202" s="113"/>
      <c r="AO202" s="113"/>
      <c r="AP202" s="113"/>
      <c r="AQ202" s="113"/>
      <c r="AR202" s="113"/>
      <c r="AS202" s="113"/>
      <c r="AT202" s="113"/>
      <c r="AU202" s="113"/>
      <c r="AV202" s="113"/>
      <c r="AW202" s="113"/>
      <c r="AX202" s="113"/>
      <c r="AY202" s="113"/>
      <c r="AZ202" s="113"/>
      <c r="BA202" s="113"/>
    </row>
    <row r="203" spans="2:53" x14ac:dyDescent="0.25">
      <c r="B203" s="44">
        <f t="shared" si="282"/>
        <v>1</v>
      </c>
      <c r="C203" s="44">
        <f t="shared" si="321"/>
        <v>9</v>
      </c>
      <c r="D203" s="44" t="str">
        <f>'OPG hydro peers'!D13</f>
        <v>Avista</v>
      </c>
      <c r="E203" s="45">
        <v>2002</v>
      </c>
      <c r="F203" s="206">
        <v>879.3</v>
      </c>
      <c r="G203" s="51">
        <f t="shared" si="275"/>
        <v>0.52055171013472212</v>
      </c>
      <c r="H203" s="46"/>
      <c r="I203" s="46"/>
      <c r="J203" s="206">
        <v>8710.9943999999996</v>
      </c>
      <c r="K203" s="51">
        <f t="shared" ref="K203" si="350">J203/$J$467</f>
        <v>1.135196064821742E-2</v>
      </c>
      <c r="L203" s="51"/>
      <c r="M203" s="206">
        <v>4009637</v>
      </c>
      <c r="N203" s="206">
        <v>102250.79627267999</v>
      </c>
      <c r="O203" s="46">
        <f t="shared" si="277"/>
        <v>93539.801872679993</v>
      </c>
      <c r="P203" s="51">
        <f t="shared" si="278"/>
        <v>0.9148075641702611</v>
      </c>
      <c r="Q203" s="51">
        <f t="shared" si="279"/>
        <v>8.5192435829738899E-2</v>
      </c>
      <c r="R203" s="51">
        <f t="shared" si="280"/>
        <v>0</v>
      </c>
      <c r="S203" s="51">
        <f t="shared" si="281"/>
        <v>8.5192435829738899E-2</v>
      </c>
      <c r="T203" s="51">
        <f t="shared" si="323"/>
        <v>-8.5192435829738899E-2</v>
      </c>
      <c r="U203" s="298"/>
      <c r="V203" s="298"/>
      <c r="W203" s="298"/>
      <c r="X203" s="113"/>
      <c r="Y203" s="113"/>
      <c r="Z203" s="113"/>
      <c r="AA203" s="113"/>
      <c r="AB203" s="113"/>
      <c r="AC203" s="113"/>
      <c r="AD203" s="113"/>
      <c r="AE203" s="113"/>
      <c r="AF203" s="113"/>
      <c r="AG203" s="113"/>
      <c r="AH203" s="113"/>
      <c r="AI203" s="113"/>
      <c r="AJ203" s="113"/>
      <c r="AK203" s="113"/>
      <c r="AL203" s="113"/>
      <c r="AM203" s="113"/>
      <c r="AN203" s="113"/>
      <c r="AO203" s="113"/>
      <c r="AP203" s="113"/>
      <c r="AQ203" s="113"/>
      <c r="AR203" s="113"/>
      <c r="AS203" s="113"/>
      <c r="AT203" s="113"/>
      <c r="AU203" s="113"/>
      <c r="AV203" s="113"/>
      <c r="AW203" s="113"/>
      <c r="AX203" s="113"/>
      <c r="AY203" s="113"/>
      <c r="AZ203" s="113"/>
      <c r="BA203" s="113"/>
    </row>
    <row r="204" spans="2:53" x14ac:dyDescent="0.25">
      <c r="B204" s="44">
        <f t="shared" si="282"/>
        <v>1</v>
      </c>
      <c r="C204" s="44">
        <f t="shared" si="321"/>
        <v>9</v>
      </c>
      <c r="D204" s="44" t="str">
        <f t="shared" ref="D204:D211" si="351">D203</f>
        <v>Avista</v>
      </c>
      <c r="E204" s="45">
        <v>2003</v>
      </c>
      <c r="F204" s="206">
        <v>879.3</v>
      </c>
      <c r="G204" s="51">
        <f t="shared" si="275"/>
        <v>0.45953051591993838</v>
      </c>
      <c r="H204" s="46"/>
      <c r="I204" s="46"/>
      <c r="J204" s="206">
        <v>11971.859999999999</v>
      </c>
      <c r="K204" s="51">
        <f t="shared" ref="K204" si="352">J204/$J$468</f>
        <v>1.411624341730373E-2</v>
      </c>
      <c r="L204" s="51"/>
      <c r="M204" s="206">
        <v>3539611</v>
      </c>
      <c r="N204" s="206">
        <v>164655.46550496001</v>
      </c>
      <c r="O204" s="46">
        <f t="shared" si="277"/>
        <v>152683.60550496003</v>
      </c>
      <c r="P204" s="51">
        <f t="shared" si="278"/>
        <v>0.92729145088937637</v>
      </c>
      <c r="Q204" s="51">
        <f t="shared" si="279"/>
        <v>7.2708549110623633E-2</v>
      </c>
      <c r="R204" s="51">
        <f t="shared" si="280"/>
        <v>0</v>
      </c>
      <c r="S204" s="51">
        <f t="shared" si="281"/>
        <v>7.2708549110623633E-2</v>
      </c>
      <c r="T204" s="51">
        <f t="shared" si="323"/>
        <v>-7.2708549110623633E-2</v>
      </c>
      <c r="U204" s="298"/>
      <c r="V204" s="298"/>
      <c r="W204" s="298"/>
      <c r="X204" s="113"/>
      <c r="Y204" s="113"/>
      <c r="Z204" s="113"/>
      <c r="AA204" s="113"/>
      <c r="AB204" s="113"/>
      <c r="AC204" s="113"/>
      <c r="AD204" s="113"/>
      <c r="AE204" s="113"/>
      <c r="AF204" s="113"/>
      <c r="AG204" s="113"/>
      <c r="AH204" s="113"/>
      <c r="AI204" s="113"/>
      <c r="AJ204" s="113"/>
      <c r="AK204" s="113"/>
      <c r="AL204" s="113"/>
      <c r="AM204" s="113"/>
      <c r="AN204" s="113"/>
      <c r="AO204" s="113"/>
      <c r="AP204" s="113"/>
      <c r="AQ204" s="113"/>
      <c r="AR204" s="113"/>
      <c r="AS204" s="113"/>
      <c r="AT204" s="113"/>
      <c r="AU204" s="113"/>
      <c r="AV204" s="113"/>
      <c r="AW204" s="113"/>
      <c r="AX204" s="113"/>
      <c r="AY204" s="113"/>
      <c r="AZ204" s="113"/>
      <c r="BA204" s="113"/>
    </row>
    <row r="205" spans="2:53" x14ac:dyDescent="0.25">
      <c r="B205" s="44">
        <f t="shared" si="282"/>
        <v>1</v>
      </c>
      <c r="C205" s="44">
        <f t="shared" si="321"/>
        <v>9</v>
      </c>
      <c r="D205" s="44" t="str">
        <f t="shared" si="351"/>
        <v>Avista</v>
      </c>
      <c r="E205" s="45">
        <v>2004</v>
      </c>
      <c r="F205" s="206">
        <v>879.3</v>
      </c>
      <c r="G205" s="51">
        <f t="shared" si="275"/>
        <v>0.49191306181182937</v>
      </c>
      <c r="H205" s="46"/>
      <c r="I205" s="46"/>
      <c r="J205" s="206">
        <v>12921.57</v>
      </c>
      <c r="K205" s="51">
        <f t="shared" ref="K205" si="353">J205/$J$469</f>
        <v>1.4623495652659789E-2</v>
      </c>
      <c r="L205" s="51"/>
      <c r="M205" s="206">
        <v>3789043</v>
      </c>
      <c r="N205" s="206">
        <v>198424.35160111202</v>
      </c>
      <c r="O205" s="46">
        <f t="shared" si="277"/>
        <v>185502.78160111202</v>
      </c>
      <c r="P205" s="51">
        <f t="shared" si="278"/>
        <v>0.93487911188453343</v>
      </c>
      <c r="Q205" s="51">
        <f t="shared" si="279"/>
        <v>6.5120888115466569E-2</v>
      </c>
      <c r="R205" s="51">
        <f t="shared" si="280"/>
        <v>0</v>
      </c>
      <c r="S205" s="51">
        <f t="shared" si="281"/>
        <v>6.5120888115466569E-2</v>
      </c>
      <c r="T205" s="51">
        <f t="shared" si="323"/>
        <v>-6.5120888115466569E-2</v>
      </c>
      <c r="U205" s="298"/>
      <c r="V205" s="298"/>
      <c r="W205" s="298"/>
      <c r="X205" s="113"/>
      <c r="Y205" s="113"/>
      <c r="Z205" s="113"/>
      <c r="AA205" s="113"/>
      <c r="AB205" s="113"/>
      <c r="AC205" s="113"/>
      <c r="AD205" s="113"/>
      <c r="AE205" s="113"/>
      <c r="AF205" s="113"/>
      <c r="AG205" s="113"/>
      <c r="AH205" s="113"/>
      <c r="AI205" s="113"/>
      <c r="AJ205" s="113"/>
      <c r="AK205" s="113"/>
      <c r="AL205" s="113"/>
      <c r="AM205" s="113"/>
      <c r="AN205" s="113"/>
      <c r="AO205" s="113"/>
      <c r="AP205" s="113"/>
      <c r="AQ205" s="113"/>
      <c r="AR205" s="113"/>
      <c r="AS205" s="113"/>
      <c r="AT205" s="113"/>
      <c r="AU205" s="113"/>
      <c r="AV205" s="113"/>
      <c r="AW205" s="113"/>
      <c r="AX205" s="113"/>
      <c r="AY205" s="113"/>
      <c r="AZ205" s="113"/>
      <c r="BA205" s="113"/>
    </row>
    <row r="206" spans="2:53" x14ac:dyDescent="0.25">
      <c r="B206" s="44">
        <f t="shared" si="282"/>
        <v>1</v>
      </c>
      <c r="C206" s="44">
        <f t="shared" si="321"/>
        <v>9</v>
      </c>
      <c r="D206" s="44" t="str">
        <f t="shared" si="351"/>
        <v>Avista</v>
      </c>
      <c r="E206" s="45">
        <v>2005</v>
      </c>
      <c r="F206" s="206">
        <v>899.2</v>
      </c>
      <c r="G206" s="51">
        <f t="shared" si="275"/>
        <v>0.45840125266091419</v>
      </c>
      <c r="H206" s="46"/>
      <c r="I206" s="46"/>
      <c r="J206" s="206">
        <v>11050.986000000001</v>
      </c>
      <c r="K206" s="51">
        <f t="shared" ref="K206" si="354">J206/$J$470</f>
        <v>1.1895442096272302E-2</v>
      </c>
      <c r="L206" s="51"/>
      <c r="M206" s="206">
        <v>3610823</v>
      </c>
      <c r="N206" s="206">
        <v>245776.71304058802</v>
      </c>
      <c r="O206" s="46">
        <f t="shared" si="277"/>
        <v>234725.72704058801</v>
      </c>
      <c r="P206" s="51">
        <f t="shared" si="278"/>
        <v>0.9550364806198095</v>
      </c>
      <c r="Q206" s="51">
        <f t="shared" si="279"/>
        <v>4.4963519380190498E-2</v>
      </c>
      <c r="R206" s="51">
        <f t="shared" si="280"/>
        <v>0</v>
      </c>
      <c r="S206" s="51">
        <f t="shared" si="281"/>
        <v>4.4963519380190498E-2</v>
      </c>
      <c r="T206" s="51">
        <f t="shared" si="323"/>
        <v>-4.4963519380190498E-2</v>
      </c>
      <c r="U206" s="298"/>
      <c r="V206" s="298"/>
      <c r="W206" s="298"/>
      <c r="X206" s="113"/>
      <c r="Y206" s="113"/>
      <c r="Z206" s="113"/>
      <c r="AA206" s="113"/>
      <c r="AB206" s="113"/>
      <c r="AC206" s="113"/>
      <c r="AD206" s="113"/>
      <c r="AE206" s="113"/>
      <c r="AF206" s="113"/>
      <c r="AG206" s="113"/>
      <c r="AH206" s="113"/>
      <c r="AI206" s="113"/>
      <c r="AJ206" s="113"/>
      <c r="AK206" s="113"/>
      <c r="AL206" s="113"/>
      <c r="AM206" s="113"/>
      <c r="AN206" s="113"/>
      <c r="AO206" s="113"/>
      <c r="AP206" s="113"/>
      <c r="AQ206" s="113"/>
      <c r="AR206" s="113"/>
      <c r="AS206" s="113"/>
      <c r="AT206" s="113"/>
      <c r="AU206" s="113"/>
      <c r="AV206" s="113"/>
      <c r="AW206" s="113"/>
      <c r="AX206" s="113"/>
      <c r="AY206" s="113"/>
      <c r="AZ206" s="113"/>
      <c r="BA206" s="113"/>
    </row>
    <row r="207" spans="2:53" x14ac:dyDescent="0.25">
      <c r="B207" s="44">
        <f t="shared" si="282"/>
        <v>1</v>
      </c>
      <c r="C207" s="44">
        <f t="shared" si="321"/>
        <v>9</v>
      </c>
      <c r="D207" s="44" t="str">
        <f t="shared" si="351"/>
        <v>Avista</v>
      </c>
      <c r="E207" s="45">
        <v>2006</v>
      </c>
      <c r="F207" s="206">
        <v>906.55</v>
      </c>
      <c r="G207" s="51">
        <f t="shared" si="275"/>
        <v>0.51976772796862203</v>
      </c>
      <c r="H207" s="46"/>
      <c r="I207" s="46"/>
      <c r="J207" s="206">
        <v>11830.278</v>
      </c>
      <c r="K207" s="51">
        <f t="shared" ref="K207" si="355">J207/$J$471</f>
        <v>1.2018054152874373E-2</v>
      </c>
      <c r="L207" s="51"/>
      <c r="M207" s="206">
        <v>4127672</v>
      </c>
      <c r="N207" s="206">
        <v>225025.1659725357</v>
      </c>
      <c r="O207" s="46">
        <f t="shared" si="277"/>
        <v>213194.88797253571</v>
      </c>
      <c r="P207" s="51">
        <f t="shared" si="278"/>
        <v>0.94742686690677136</v>
      </c>
      <c r="Q207" s="51">
        <f t="shared" si="279"/>
        <v>5.2573133093228641E-2</v>
      </c>
      <c r="R207" s="51">
        <f t="shared" si="280"/>
        <v>0</v>
      </c>
      <c r="S207" s="51">
        <f t="shared" si="281"/>
        <v>5.2573133093228641E-2</v>
      </c>
      <c r="T207" s="51">
        <f t="shared" si="323"/>
        <v>-5.2573133093228641E-2</v>
      </c>
      <c r="U207" s="298"/>
      <c r="V207" s="298"/>
      <c r="W207" s="298"/>
      <c r="X207" s="113"/>
      <c r="Y207" s="113"/>
      <c r="Z207" s="113"/>
      <c r="AA207" s="113"/>
      <c r="AB207" s="113"/>
      <c r="AC207" s="113"/>
      <c r="AD207" s="113"/>
      <c r="AE207" s="113"/>
      <c r="AF207" s="113"/>
      <c r="AG207" s="113"/>
      <c r="AH207" s="113"/>
      <c r="AI207" s="113"/>
      <c r="AJ207" s="113"/>
      <c r="AK207" s="113"/>
      <c r="AL207" s="113"/>
      <c r="AM207" s="113"/>
      <c r="AN207" s="113"/>
      <c r="AO207" s="113"/>
      <c r="AP207" s="113"/>
      <c r="AQ207" s="113"/>
      <c r="AR207" s="113"/>
      <c r="AS207" s="113"/>
      <c r="AT207" s="113"/>
      <c r="AU207" s="113"/>
      <c r="AV207" s="113"/>
      <c r="AW207" s="113"/>
      <c r="AX207" s="113"/>
      <c r="AY207" s="113"/>
      <c r="AZ207" s="113"/>
      <c r="BA207" s="113"/>
    </row>
    <row r="208" spans="2:53" x14ac:dyDescent="0.25">
      <c r="B208" s="44">
        <f t="shared" si="282"/>
        <v>1</v>
      </c>
      <c r="C208" s="44">
        <f t="shared" si="321"/>
        <v>9</v>
      </c>
      <c r="D208" s="44" t="str">
        <f t="shared" si="351"/>
        <v>Avista</v>
      </c>
      <c r="E208" s="45">
        <v>2007</v>
      </c>
      <c r="F208" s="206">
        <v>906.55</v>
      </c>
      <c r="G208" s="51">
        <f t="shared" si="275"/>
        <v>0.46450263417759485</v>
      </c>
      <c r="H208" s="46"/>
      <c r="I208" s="46"/>
      <c r="J208" s="206">
        <v>12295.490400000001</v>
      </c>
      <c r="K208" s="51">
        <f t="shared" ref="K208" si="356">J208/$J$472</f>
        <v>1.153501822730124E-2</v>
      </c>
      <c r="L208" s="51"/>
      <c r="M208" s="206">
        <v>3688791</v>
      </c>
      <c r="N208" s="206">
        <v>237197.92474694445</v>
      </c>
      <c r="O208" s="46">
        <f t="shared" si="277"/>
        <v>224902.43434694444</v>
      </c>
      <c r="P208" s="51">
        <f t="shared" si="278"/>
        <v>0.94816358358481634</v>
      </c>
      <c r="Q208" s="51">
        <f t="shared" si="279"/>
        <v>5.1836416415183661E-2</v>
      </c>
      <c r="R208" s="51">
        <f t="shared" si="280"/>
        <v>0</v>
      </c>
      <c r="S208" s="51">
        <f t="shared" si="281"/>
        <v>5.1836416415183661E-2</v>
      </c>
      <c r="T208" s="51">
        <f t="shared" si="323"/>
        <v>-5.1836416415183661E-2</v>
      </c>
      <c r="U208" s="298"/>
      <c r="V208" s="298"/>
      <c r="W208" s="298"/>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row>
    <row r="209" spans="2:53" x14ac:dyDescent="0.25">
      <c r="B209" s="44">
        <f t="shared" si="282"/>
        <v>1</v>
      </c>
      <c r="C209" s="44">
        <f t="shared" si="321"/>
        <v>9</v>
      </c>
      <c r="D209" s="44" t="str">
        <f t="shared" si="351"/>
        <v>Avista</v>
      </c>
      <c r="E209" s="45">
        <v>2008</v>
      </c>
      <c r="F209" s="206">
        <v>913.6</v>
      </c>
      <c r="G209" s="51">
        <f t="shared" si="275"/>
        <v>0.48121773764684245</v>
      </c>
      <c r="H209" s="46"/>
      <c r="I209" s="46"/>
      <c r="J209" s="206">
        <v>11640.7392</v>
      </c>
      <c r="K209" s="51">
        <f t="shared" ref="K209" si="357">J209/$J$473</f>
        <v>1.0051824893010259E-2</v>
      </c>
      <c r="L209" s="51"/>
      <c r="M209" s="206">
        <v>3851251</v>
      </c>
      <c r="N209" s="206">
        <v>282570.91006207134</v>
      </c>
      <c r="O209" s="46">
        <f t="shared" si="277"/>
        <v>270930.17086207133</v>
      </c>
      <c r="P209" s="51">
        <f t="shared" si="278"/>
        <v>0.95880418406323942</v>
      </c>
      <c r="Q209" s="51">
        <f t="shared" si="279"/>
        <v>4.1195815936760583E-2</v>
      </c>
      <c r="R209" s="51">
        <f t="shared" si="280"/>
        <v>0</v>
      </c>
      <c r="S209" s="51">
        <f t="shared" si="281"/>
        <v>4.1195815936760583E-2</v>
      </c>
      <c r="T209" s="51">
        <f t="shared" si="323"/>
        <v>-4.1195815936760583E-2</v>
      </c>
      <c r="U209" s="298"/>
      <c r="V209" s="298"/>
      <c r="W209" s="298"/>
      <c r="X209" s="113"/>
      <c r="Y209" s="113"/>
      <c r="Z209" s="113"/>
      <c r="AA209" s="113"/>
      <c r="AB209" s="113"/>
      <c r="AC209" s="113"/>
      <c r="AD209" s="113"/>
      <c r="AE209" s="113"/>
      <c r="AF209" s="113"/>
      <c r="AG209" s="113"/>
      <c r="AH209" s="113"/>
      <c r="AI209" s="113"/>
      <c r="AJ209" s="113"/>
      <c r="AK209" s="113"/>
      <c r="AL209" s="113"/>
      <c r="AM209" s="113"/>
      <c r="AN209" s="113"/>
      <c r="AO209" s="113"/>
      <c r="AP209" s="113"/>
      <c r="AQ209" s="113"/>
      <c r="AR209" s="113"/>
      <c r="AS209" s="113"/>
      <c r="AT209" s="113"/>
      <c r="AU209" s="113"/>
      <c r="AV209" s="113"/>
      <c r="AW209" s="113"/>
      <c r="AX209" s="113"/>
      <c r="AY209" s="113"/>
      <c r="AZ209" s="113"/>
      <c r="BA209" s="113"/>
    </row>
    <row r="210" spans="2:53" x14ac:dyDescent="0.25">
      <c r="B210" s="44">
        <f t="shared" si="282"/>
        <v>1</v>
      </c>
      <c r="C210" s="44">
        <f t="shared" si="321"/>
        <v>9</v>
      </c>
      <c r="D210" s="44" t="str">
        <f t="shared" si="351"/>
        <v>Avista</v>
      </c>
      <c r="E210" s="45">
        <v>2009</v>
      </c>
      <c r="F210" s="206">
        <v>913.6</v>
      </c>
      <c r="G210" s="51">
        <f t="shared" si="275"/>
        <v>0.47053567501539395</v>
      </c>
      <c r="H210" s="46"/>
      <c r="I210" s="46"/>
      <c r="J210" s="206">
        <v>13678.8444</v>
      </c>
      <c r="K210" s="51">
        <f t="shared" ref="K210" si="358">J210/$J$474</f>
        <v>1.159238665202407E-2</v>
      </c>
      <c r="L210" s="51"/>
      <c r="M210" s="206">
        <v>3765761</v>
      </c>
      <c r="N210" s="206">
        <v>144249.93920054199</v>
      </c>
      <c r="O210" s="46">
        <f t="shared" si="277"/>
        <v>130571.09480054199</v>
      </c>
      <c r="P210" s="51">
        <f t="shared" si="278"/>
        <v>0.90517261583741027</v>
      </c>
      <c r="Q210" s="51">
        <f t="shared" si="279"/>
        <v>9.4827384162589734E-2</v>
      </c>
      <c r="R210" s="51">
        <f t="shared" si="280"/>
        <v>0</v>
      </c>
      <c r="S210" s="51">
        <f t="shared" si="281"/>
        <v>9.4827384162589734E-2</v>
      </c>
      <c r="T210" s="51">
        <f t="shared" si="323"/>
        <v>-9.4827384162589734E-2</v>
      </c>
      <c r="U210" s="298"/>
      <c r="V210" s="298"/>
      <c r="W210" s="298"/>
      <c r="X210" s="113"/>
      <c r="Y210" s="113"/>
      <c r="Z210" s="113"/>
      <c r="AA210" s="113"/>
      <c r="AB210" s="113"/>
      <c r="AC210" s="113"/>
      <c r="AD210" s="113"/>
      <c r="AE210" s="113"/>
      <c r="AF210" s="113"/>
      <c r="AG210" s="113"/>
      <c r="AH210" s="113"/>
      <c r="AI210" s="113"/>
      <c r="AJ210" s="113"/>
      <c r="AK210" s="113"/>
      <c r="AL210" s="113"/>
      <c r="AM210" s="113"/>
      <c r="AN210" s="113"/>
      <c r="AO210" s="113"/>
      <c r="AP210" s="113"/>
      <c r="AQ210" s="113"/>
      <c r="AR210" s="113"/>
      <c r="AS210" s="113"/>
      <c r="AT210" s="113"/>
      <c r="AU210" s="113"/>
      <c r="AV210" s="113"/>
      <c r="AW210" s="113"/>
      <c r="AX210" s="113"/>
      <c r="AY210" s="113"/>
      <c r="AZ210" s="113"/>
      <c r="BA210" s="113"/>
    </row>
    <row r="211" spans="2:53" x14ac:dyDescent="0.25">
      <c r="B211" s="44">
        <f t="shared" si="282"/>
        <v>1</v>
      </c>
      <c r="C211" s="44">
        <f t="shared" si="321"/>
        <v>9</v>
      </c>
      <c r="D211" s="44" t="str">
        <f t="shared" si="351"/>
        <v>Avista</v>
      </c>
      <c r="E211" s="45">
        <v>2010</v>
      </c>
      <c r="F211" s="206">
        <v>913.8</v>
      </c>
      <c r="G211" s="51">
        <f t="shared" si="275"/>
        <v>0.43643184014567099</v>
      </c>
      <c r="H211" s="46"/>
      <c r="I211" s="46"/>
      <c r="J211" s="206">
        <v>13003.066799999999</v>
      </c>
      <c r="K211" s="51">
        <f t="shared" ref="K211" si="359">J211/$J$475</f>
        <v>1.0626136559075613E-2</v>
      </c>
      <c r="L211" s="51"/>
      <c r="M211" s="206">
        <v>3493588</v>
      </c>
      <c r="N211" s="206">
        <v>138136.93218714264</v>
      </c>
      <c r="O211" s="46">
        <f t="shared" si="277"/>
        <v>125133.86538714264</v>
      </c>
      <c r="P211" s="51">
        <f t="shared" si="278"/>
        <v>0.90586828160926625</v>
      </c>
      <c r="Q211" s="51">
        <f t="shared" si="279"/>
        <v>9.4131718390733754E-2</v>
      </c>
      <c r="R211" s="51">
        <f t="shared" si="280"/>
        <v>0</v>
      </c>
      <c r="S211" s="51">
        <f t="shared" si="281"/>
        <v>9.4131718390733754E-2</v>
      </c>
      <c r="T211" s="51">
        <f t="shared" si="323"/>
        <v>-9.4131718390733754E-2</v>
      </c>
      <c r="U211" s="298"/>
      <c r="V211" s="298"/>
      <c r="W211" s="298"/>
      <c r="X211" s="113"/>
      <c r="Y211" s="113"/>
      <c r="Z211" s="113"/>
      <c r="AA211" s="113"/>
      <c r="AB211" s="113"/>
      <c r="AC211" s="113"/>
      <c r="AD211" s="113"/>
      <c r="AE211" s="113"/>
      <c r="AF211" s="113"/>
      <c r="AG211" s="113"/>
      <c r="AH211" s="113"/>
      <c r="AI211" s="113"/>
      <c r="AJ211" s="113"/>
      <c r="AK211" s="113"/>
      <c r="AL211" s="113"/>
      <c r="AM211" s="113"/>
      <c r="AN211" s="113"/>
      <c r="AO211" s="113"/>
      <c r="AP211" s="113"/>
      <c r="AQ211" s="113"/>
      <c r="AR211" s="113"/>
      <c r="AS211" s="113"/>
      <c r="AT211" s="113"/>
      <c r="AU211" s="113"/>
      <c r="AV211" s="113"/>
      <c r="AW211" s="113"/>
      <c r="AX211" s="113"/>
      <c r="AY211" s="113"/>
      <c r="AZ211" s="113"/>
      <c r="BA211" s="113"/>
    </row>
    <row r="212" spans="2:53" x14ac:dyDescent="0.25">
      <c r="B212" s="44">
        <f t="shared" si="282"/>
        <v>1</v>
      </c>
      <c r="C212" s="44">
        <f t="shared" si="321"/>
        <v>9</v>
      </c>
      <c r="D212" s="44" t="str">
        <f>D211</f>
        <v>Avista</v>
      </c>
      <c r="E212" s="45">
        <v>2011</v>
      </c>
      <c r="F212" s="206">
        <v>913.6</v>
      </c>
      <c r="G212" s="51">
        <f t="shared" si="275"/>
        <v>0.56656453170357224</v>
      </c>
      <c r="H212" s="46"/>
      <c r="I212" s="46"/>
      <c r="J212" s="206">
        <v>15876.436799999996</v>
      </c>
      <c r="K212" s="51">
        <f t="shared" ref="K212" si="360">J212/$J$476</f>
        <v>1.315394369011311E-2</v>
      </c>
      <c r="L212" s="51"/>
      <c r="M212" s="206">
        <v>4534293</v>
      </c>
      <c r="N212" s="206">
        <v>150170.68920668482</v>
      </c>
      <c r="O212" s="46">
        <f t="shared" si="277"/>
        <v>134294.25240668483</v>
      </c>
      <c r="P212" s="51">
        <f t="shared" si="278"/>
        <v>0.8942773927197688</v>
      </c>
      <c r="Q212" s="51">
        <f t="shared" si="279"/>
        <v>0.1057226072802312</v>
      </c>
      <c r="R212" s="51">
        <f t="shared" si="280"/>
        <v>0</v>
      </c>
      <c r="S212" s="51">
        <f t="shared" si="281"/>
        <v>0.1057226072802312</v>
      </c>
      <c r="T212" s="51">
        <f t="shared" si="323"/>
        <v>-0.1057226072802312</v>
      </c>
      <c r="U212" s="298"/>
      <c r="V212" s="298"/>
      <c r="W212" s="298"/>
      <c r="X212" s="113"/>
      <c r="Y212" s="113"/>
      <c r="Z212" s="113"/>
      <c r="AA212" s="113"/>
      <c r="AB212" s="113"/>
      <c r="AC212" s="113"/>
      <c r="AD212" s="113"/>
      <c r="AE212" s="113"/>
      <c r="AF212" s="113"/>
      <c r="AG212" s="113"/>
      <c r="AH212" s="113"/>
      <c r="AI212" s="113"/>
      <c r="AJ212" s="113"/>
      <c r="AK212" s="113"/>
      <c r="AL212" s="113"/>
      <c r="AM212" s="113"/>
      <c r="AN212" s="113"/>
      <c r="AO212" s="113"/>
      <c r="AP212" s="113"/>
      <c r="AQ212" s="113"/>
      <c r="AR212" s="113"/>
      <c r="AS212" s="113"/>
      <c r="AT212" s="113"/>
      <c r="AU212" s="113"/>
      <c r="AV212" s="113"/>
      <c r="AW212" s="113"/>
      <c r="AX212" s="113"/>
      <c r="AY212" s="113"/>
      <c r="AZ212" s="113"/>
      <c r="BA212" s="113"/>
    </row>
    <row r="213" spans="2:53" x14ac:dyDescent="0.25">
      <c r="B213" s="44">
        <f t="shared" si="282"/>
        <v>1</v>
      </c>
      <c r="C213" s="44">
        <f t="shared" si="321"/>
        <v>9</v>
      </c>
      <c r="D213" s="44" t="str">
        <f>D212</f>
        <v>Avista</v>
      </c>
      <c r="E213" s="45">
        <v>2012</v>
      </c>
      <c r="F213" s="206">
        <v>913.6</v>
      </c>
      <c r="G213" s="51">
        <f t="shared" si="275"/>
        <v>0.51083587733608427</v>
      </c>
      <c r="H213" s="46"/>
      <c r="I213" s="46"/>
      <c r="J213" s="206">
        <v>15383.581199999999</v>
      </c>
      <c r="K213" s="51">
        <f t="shared" ref="K213" si="361">J213/$J$477</f>
        <v>1.2355423233065948E-2</v>
      </c>
      <c r="L213" s="51"/>
      <c r="M213" s="206">
        <v>4088289</v>
      </c>
      <c r="N213" s="206">
        <v>96455.233777444621</v>
      </c>
      <c r="O213" s="46">
        <f t="shared" si="277"/>
        <v>81071.65257744462</v>
      </c>
      <c r="P213" s="51">
        <f t="shared" si="278"/>
        <v>0.84051066388481099</v>
      </c>
      <c r="Q213" s="51">
        <f t="shared" si="279"/>
        <v>0.15948933611518901</v>
      </c>
      <c r="R213" s="51">
        <f t="shared" si="280"/>
        <v>0</v>
      </c>
      <c r="S213" s="51">
        <f t="shared" si="281"/>
        <v>0.15948933611518901</v>
      </c>
      <c r="T213" s="51">
        <f t="shared" si="323"/>
        <v>-0.15948933611518901</v>
      </c>
      <c r="U213" s="298"/>
      <c r="V213" s="298"/>
      <c r="W213" s="298"/>
      <c r="X213" s="113"/>
      <c r="Y213" s="113"/>
      <c r="Z213" s="113"/>
      <c r="AA213" s="113"/>
      <c r="AB213" s="113"/>
      <c r="AC213" s="113"/>
      <c r="AD213" s="113"/>
      <c r="AE213" s="113"/>
      <c r="AF213" s="113"/>
      <c r="AG213" s="113"/>
      <c r="AH213" s="113"/>
      <c r="AI213" s="113"/>
      <c r="AJ213" s="113"/>
      <c r="AK213" s="113"/>
      <c r="AL213" s="113"/>
      <c r="AM213" s="113"/>
      <c r="AN213" s="113"/>
      <c r="AO213" s="113"/>
      <c r="AP213" s="113"/>
      <c r="AQ213" s="113"/>
      <c r="AR213" s="113"/>
      <c r="AS213" s="113"/>
      <c r="AT213" s="113"/>
      <c r="AU213" s="113"/>
      <c r="AV213" s="113"/>
      <c r="AW213" s="113"/>
      <c r="AX213" s="113"/>
      <c r="AY213" s="113"/>
      <c r="AZ213" s="113"/>
      <c r="BA213" s="113"/>
    </row>
    <row r="214" spans="2:53" x14ac:dyDescent="0.25">
      <c r="B214" s="44">
        <f t="shared" si="282"/>
        <v>1</v>
      </c>
      <c r="C214" s="44">
        <f t="shared" si="321"/>
        <v>9</v>
      </c>
      <c r="D214" s="44" t="str">
        <f>D213</f>
        <v>Avista</v>
      </c>
      <c r="E214" s="45">
        <v>2013</v>
      </c>
      <c r="F214" s="206">
        <v>920.8</v>
      </c>
      <c r="G214" s="51">
        <f t="shared" si="275"/>
        <v>0.45198834446123881</v>
      </c>
      <c r="H214" s="44"/>
      <c r="I214" s="44"/>
      <c r="J214" s="206">
        <v>18246.844800000003</v>
      </c>
      <c r="K214" s="51">
        <f t="shared" ref="K214" si="362">J214/$J$478</f>
        <v>1.4678238603556598E-2</v>
      </c>
      <c r="L214" s="44"/>
      <c r="M214" s="206">
        <v>3645832</v>
      </c>
      <c r="N214" s="206">
        <v>155497.77457318013</v>
      </c>
      <c r="O214" s="46">
        <f t="shared" si="277"/>
        <v>137250.92977318013</v>
      </c>
      <c r="P214" s="51">
        <f t="shared" si="278"/>
        <v>0.88265526725327703</v>
      </c>
      <c r="Q214" s="51">
        <f t="shared" si="279"/>
        <v>0.11734473274672297</v>
      </c>
      <c r="R214" s="51">
        <f t="shared" si="280"/>
        <v>0</v>
      </c>
      <c r="S214" s="51">
        <f t="shared" si="281"/>
        <v>0.11734473274672297</v>
      </c>
      <c r="T214" s="51">
        <f t="shared" si="323"/>
        <v>-0.11734473274672297</v>
      </c>
      <c r="U214" s="298"/>
      <c r="V214" s="298"/>
      <c r="W214" s="298"/>
      <c r="X214" s="113"/>
      <c r="Y214" s="113"/>
      <c r="Z214" s="113"/>
      <c r="AA214" s="113"/>
      <c r="AB214" s="113"/>
      <c r="AC214" s="113"/>
      <c r="AD214" s="113"/>
      <c r="AE214" s="113"/>
      <c r="AF214" s="113"/>
      <c r="AG214" s="113"/>
      <c r="AH214" s="113"/>
      <c r="AI214" s="113"/>
      <c r="AJ214" s="113"/>
      <c r="AK214" s="113"/>
      <c r="AL214" s="113"/>
      <c r="AM214" s="113"/>
      <c r="AN214" s="113"/>
      <c r="AO214" s="113"/>
      <c r="AP214" s="113"/>
      <c r="AQ214" s="113"/>
      <c r="AR214" s="113"/>
      <c r="AS214" s="113"/>
      <c r="AT214" s="113"/>
      <c r="AU214" s="113"/>
      <c r="AV214" s="113"/>
      <c r="AW214" s="113"/>
      <c r="AX214" s="113"/>
      <c r="AY214" s="113"/>
      <c r="AZ214" s="113"/>
      <c r="BA214" s="113"/>
    </row>
    <row r="215" spans="2:53" x14ac:dyDescent="0.25">
      <c r="B215" s="44">
        <f t="shared" si="282"/>
        <v>1</v>
      </c>
      <c r="C215" s="44">
        <f t="shared" si="321"/>
        <v>9</v>
      </c>
      <c r="D215" s="44" t="str">
        <f>D212</f>
        <v>Avista</v>
      </c>
      <c r="E215" s="45">
        <v>2014</v>
      </c>
      <c r="F215" s="206">
        <v>920.8</v>
      </c>
      <c r="G215" s="51">
        <f t="shared" si="275"/>
        <v>0.51366230575755056</v>
      </c>
      <c r="H215" s="44"/>
      <c r="I215" s="44"/>
      <c r="J215" s="206">
        <v>14803.0512</v>
      </c>
      <c r="K215" s="51">
        <f t="shared" ref="K215" si="363">J215/$J$479</f>
        <v>1.1864431849684541E-2</v>
      </c>
      <c r="L215" s="44"/>
      <c r="M215" s="206">
        <v>4143307</v>
      </c>
      <c r="N215" s="206">
        <v>182695.74794199946</v>
      </c>
      <c r="O215" s="46">
        <f t="shared" si="277"/>
        <v>167892.69674199948</v>
      </c>
      <c r="P215" s="51">
        <f t="shared" si="278"/>
        <v>0.91897429816100851</v>
      </c>
      <c r="Q215" s="51">
        <f t="shared" si="279"/>
        <v>8.1025701838991493E-2</v>
      </c>
      <c r="R215" s="51">
        <f t="shared" si="280"/>
        <v>0</v>
      </c>
      <c r="S215" s="51">
        <f t="shared" si="281"/>
        <v>8.1025701838991493E-2</v>
      </c>
      <c r="T215" s="51">
        <f t="shared" si="323"/>
        <v>-8.1025701838991493E-2</v>
      </c>
      <c r="U215" s="298"/>
      <c r="V215" s="298"/>
      <c r="W215" s="298"/>
      <c r="X215" s="113"/>
      <c r="Y215" s="113"/>
      <c r="Z215" s="113"/>
      <c r="AA215" s="113"/>
      <c r="AB215" s="113"/>
      <c r="AC215" s="113"/>
      <c r="AD215" s="113"/>
      <c r="AE215" s="113"/>
      <c r="AF215" s="113"/>
      <c r="AG215" s="113"/>
      <c r="AH215" s="113"/>
      <c r="AI215" s="113"/>
      <c r="AJ215" s="113"/>
      <c r="AK215" s="113"/>
      <c r="AL215" s="113"/>
      <c r="AM215" s="113"/>
      <c r="AN215" s="113"/>
      <c r="AO215" s="113"/>
      <c r="AP215" s="113"/>
      <c r="AQ215" s="113"/>
      <c r="AR215" s="113"/>
      <c r="AS215" s="113"/>
      <c r="AT215" s="113"/>
      <c r="AU215" s="113"/>
      <c r="AV215" s="113"/>
      <c r="AW215" s="113"/>
      <c r="AX215" s="113"/>
      <c r="AY215" s="113"/>
      <c r="AZ215" s="113"/>
      <c r="BA215" s="113"/>
    </row>
    <row r="216" spans="2:53" x14ac:dyDescent="0.25">
      <c r="B216" s="44">
        <f t="shared" si="282"/>
        <v>1</v>
      </c>
      <c r="C216" s="44">
        <f t="shared" si="321"/>
        <v>9</v>
      </c>
      <c r="D216" s="44" t="str">
        <f>D213</f>
        <v>Avista</v>
      </c>
      <c r="E216" s="45">
        <v>2015</v>
      </c>
      <c r="F216" s="206">
        <v>920.8</v>
      </c>
      <c r="G216" s="51">
        <f t="shared" si="275"/>
        <v>0.42579474766829717</v>
      </c>
      <c r="H216" s="44"/>
      <c r="I216" s="44"/>
      <c r="J216" s="206">
        <v>16233.208800000002</v>
      </c>
      <c r="K216" s="51">
        <f t="shared" ref="K216" si="364">J216/$J$480</f>
        <v>1.2316950024028358E-2</v>
      </c>
      <c r="L216" s="44"/>
      <c r="M216" s="206">
        <v>3434549</v>
      </c>
      <c r="N216" s="206">
        <v>103867.32189701748</v>
      </c>
      <c r="O216" s="46">
        <f t="shared" si="277"/>
        <v>87634.113097017471</v>
      </c>
      <c r="P216" s="51">
        <f t="shared" si="278"/>
        <v>0.84371206936388587</v>
      </c>
      <c r="Q216" s="51">
        <f t="shared" si="279"/>
        <v>0.15628793063611413</v>
      </c>
      <c r="R216" s="51">
        <f t="shared" si="280"/>
        <v>0</v>
      </c>
      <c r="S216" s="51">
        <f t="shared" si="281"/>
        <v>0.15628793063611413</v>
      </c>
      <c r="T216" s="51">
        <f t="shared" si="323"/>
        <v>-0.15628793063611413</v>
      </c>
      <c r="U216" s="298"/>
      <c r="V216" s="298"/>
      <c r="W216" s="298"/>
      <c r="X216" s="113"/>
      <c r="Y216" s="113"/>
      <c r="Z216" s="113"/>
      <c r="AA216" s="113"/>
      <c r="AB216" s="113"/>
      <c r="AC216" s="113"/>
      <c r="AD216" s="113"/>
      <c r="AE216" s="113"/>
      <c r="AF216" s="113"/>
      <c r="AG216" s="113"/>
      <c r="AH216" s="113"/>
      <c r="AI216" s="113"/>
      <c r="AJ216" s="113"/>
      <c r="AK216" s="113"/>
      <c r="AL216" s="113"/>
      <c r="AM216" s="113"/>
      <c r="AN216" s="113"/>
      <c r="AO216" s="113"/>
      <c r="AP216" s="113"/>
      <c r="AQ216" s="113"/>
      <c r="AR216" s="113"/>
      <c r="AS216" s="113"/>
      <c r="AT216" s="113"/>
      <c r="AU216" s="113"/>
      <c r="AV216" s="113"/>
      <c r="AW216" s="113"/>
      <c r="AX216" s="113"/>
      <c r="AY216" s="113"/>
      <c r="AZ216" s="113"/>
      <c r="BA216" s="113"/>
    </row>
    <row r="217" spans="2:53" x14ac:dyDescent="0.25">
      <c r="B217" s="44">
        <f t="shared" si="282"/>
        <v>1</v>
      </c>
      <c r="C217" s="44">
        <f t="shared" si="321"/>
        <v>9</v>
      </c>
      <c r="D217" s="44" t="str">
        <f>D214</f>
        <v>Avista</v>
      </c>
      <c r="E217" s="45">
        <v>2016</v>
      </c>
      <c r="F217" s="206">
        <v>931.2</v>
      </c>
      <c r="G217" s="51">
        <f t="shared" si="275"/>
        <v>0.47026716643914074</v>
      </c>
      <c r="H217" s="44"/>
      <c r="I217" s="44"/>
      <c r="J217" s="206">
        <v>17560.443599999999</v>
      </c>
      <c r="K217" s="51">
        <f t="shared" ref="K217" si="365">J217/$J$481</f>
        <v>1.3194548124411622E-2</v>
      </c>
      <c r="L217" s="44"/>
      <c r="M217" s="206">
        <v>3836116</v>
      </c>
      <c r="N217" s="206">
        <v>95532.549198807552</v>
      </c>
      <c r="O217" s="46">
        <f t="shared" si="277"/>
        <v>77972.105598807553</v>
      </c>
      <c r="P217" s="51">
        <f t="shared" si="278"/>
        <v>0.8161836594200379</v>
      </c>
      <c r="Q217" s="51">
        <f t="shared" si="279"/>
        <v>0.1838163405799621</v>
      </c>
      <c r="R217" s="51">
        <f t="shared" si="280"/>
        <v>0</v>
      </c>
      <c r="S217" s="51">
        <f t="shared" si="281"/>
        <v>0.1838163405799621</v>
      </c>
      <c r="T217" s="51">
        <f t="shared" si="323"/>
        <v>-0.1838163405799621</v>
      </c>
      <c r="U217" s="298"/>
      <c r="V217" s="298"/>
      <c r="W217" s="298"/>
      <c r="X217" s="113"/>
      <c r="Y217" s="113"/>
      <c r="Z217" s="113"/>
      <c r="AA217" s="113"/>
      <c r="AB217" s="113"/>
      <c r="AC217" s="113"/>
      <c r="AD217" s="113"/>
      <c r="AE217" s="113"/>
      <c r="AF217" s="113"/>
      <c r="AG217" s="113"/>
      <c r="AH217" s="113"/>
      <c r="AI217" s="113"/>
      <c r="AJ217" s="113"/>
      <c r="AK217" s="113"/>
      <c r="AL217" s="113"/>
      <c r="AM217" s="113"/>
      <c r="AN217" s="113"/>
      <c r="AO217" s="113"/>
      <c r="AP217" s="113"/>
      <c r="AQ217" s="113"/>
      <c r="AR217" s="113"/>
      <c r="AS217" s="113"/>
      <c r="AT217" s="113"/>
      <c r="AU217" s="113"/>
      <c r="AV217" s="113"/>
      <c r="AW217" s="113"/>
      <c r="AX217" s="113"/>
      <c r="AY217" s="113"/>
      <c r="AZ217" s="113"/>
      <c r="BA217" s="113"/>
    </row>
    <row r="218" spans="2:53" x14ac:dyDescent="0.25">
      <c r="B218" s="44">
        <f t="shared" si="282"/>
        <v>1</v>
      </c>
      <c r="C218" s="44">
        <f t="shared" si="321"/>
        <v>9</v>
      </c>
      <c r="D218" s="44" t="str">
        <f t="shared" ref="D218:D219" si="366">D217</f>
        <v>Avista</v>
      </c>
      <c r="E218" s="45">
        <v>2017</v>
      </c>
      <c r="F218" s="206">
        <v>940.4</v>
      </c>
      <c r="G218" s="51">
        <f t="shared" si="275"/>
        <v>0.4828971058657639</v>
      </c>
      <c r="H218" s="44"/>
      <c r="I218" s="44"/>
      <c r="J218" s="206">
        <v>18743.201999999997</v>
      </c>
      <c r="K218" s="51">
        <f t="shared" ref="K218" si="367">J218/$J$482</f>
        <v>1.4395963760574174E-2</v>
      </c>
      <c r="L218" s="44"/>
      <c r="M218" s="206">
        <v>3978060</v>
      </c>
      <c r="N218" s="206">
        <v>117989.28789543081</v>
      </c>
      <c r="O218" s="46">
        <f t="shared" si="277"/>
        <v>99246.085895430821</v>
      </c>
      <c r="P218" s="51">
        <f t="shared" si="278"/>
        <v>0.84114488413040223</v>
      </c>
      <c r="Q218" s="51">
        <f t="shared" si="279"/>
        <v>0.15885511586959777</v>
      </c>
      <c r="R218" s="51">
        <f t="shared" si="280"/>
        <v>0</v>
      </c>
      <c r="S218" s="51">
        <f t="shared" si="281"/>
        <v>0.15885511586959777</v>
      </c>
      <c r="T218" s="51">
        <f t="shared" si="323"/>
        <v>-0.15885511586959777</v>
      </c>
      <c r="U218" s="298"/>
      <c r="V218" s="298"/>
      <c r="W218" s="298"/>
      <c r="X218" s="113"/>
      <c r="Y218" s="113"/>
      <c r="Z218" s="113"/>
      <c r="AA218" s="113"/>
      <c r="AB218" s="113"/>
      <c r="AC218" s="113"/>
      <c r="AD218" s="113"/>
      <c r="AE218" s="113"/>
      <c r="AF218" s="113"/>
      <c r="AG218" s="113"/>
      <c r="AH218" s="113"/>
      <c r="AI218" s="113"/>
      <c r="AJ218" s="113"/>
      <c r="AK218" s="113"/>
      <c r="AL218" s="113"/>
      <c r="AM218" s="113"/>
      <c r="AN218" s="113"/>
      <c r="AO218" s="113"/>
      <c r="AP218" s="113"/>
      <c r="AQ218" s="113"/>
      <c r="AR218" s="113"/>
      <c r="AS218" s="113"/>
      <c r="AT218" s="113"/>
      <c r="AU218" s="113"/>
      <c r="AV218" s="113"/>
      <c r="AW218" s="113"/>
      <c r="AX218" s="113"/>
      <c r="AY218" s="113"/>
      <c r="AZ218" s="113"/>
      <c r="BA218" s="113"/>
    </row>
    <row r="219" spans="2:53" x14ac:dyDescent="0.25">
      <c r="B219" s="44">
        <f t="shared" si="282"/>
        <v>1</v>
      </c>
      <c r="C219" s="44">
        <f t="shared" si="321"/>
        <v>9</v>
      </c>
      <c r="D219" s="44" t="str">
        <f t="shared" si="366"/>
        <v>Avista</v>
      </c>
      <c r="E219" s="45">
        <v>2018</v>
      </c>
      <c r="F219" s="206">
        <v>940.4</v>
      </c>
      <c r="G219" s="51">
        <f t="shared" ref="G219" si="368">M219/(F219*8760)</f>
        <v>0.48912623890737256</v>
      </c>
      <c r="H219" s="44"/>
      <c r="I219" s="44"/>
      <c r="J219" s="206">
        <v>15817.8264</v>
      </c>
      <c r="K219" s="51">
        <f t="shared" ref="K219" si="369">J219/$J$483</f>
        <v>1.1273456883350628E-2</v>
      </c>
      <c r="L219" s="44"/>
      <c r="M219" s="206">
        <v>4029375</v>
      </c>
      <c r="N219" s="206">
        <v>158819.26594364765</v>
      </c>
      <c r="O219" s="46">
        <f t="shared" ref="O219:O221" si="370">N219-J219</f>
        <v>143001.43954364766</v>
      </c>
      <c r="P219" s="51">
        <f t="shared" ref="P219:P221" si="371">O219/N219</f>
        <v>0.90040360465075764</v>
      </c>
      <c r="Q219" s="51">
        <f t="shared" ref="Q219:Q221" si="372">1-P219</f>
        <v>9.9596395349242361E-2</v>
      </c>
      <c r="R219" s="51">
        <f t="shared" ref="R219:R221" si="373">Q219*L219</f>
        <v>0</v>
      </c>
      <c r="S219" s="51">
        <f t="shared" ref="S219:S221" si="374">Q219-R219</f>
        <v>9.9596395349242361E-2</v>
      </c>
      <c r="T219" s="51">
        <f t="shared" ref="T219:T221" si="375">R219-S219</f>
        <v>-9.9596395349242361E-2</v>
      </c>
      <c r="U219" s="298"/>
      <c r="V219" s="298"/>
      <c r="W219" s="298"/>
      <c r="X219" s="113"/>
      <c r="Y219" s="113"/>
      <c r="Z219" s="113"/>
      <c r="AA219" s="113"/>
      <c r="AB219" s="113"/>
      <c r="AC219" s="113"/>
      <c r="AD219" s="113"/>
      <c r="AE219" s="113"/>
      <c r="AF219" s="113"/>
      <c r="AG219" s="113"/>
      <c r="AH219" s="113"/>
      <c r="AI219" s="113"/>
      <c r="AJ219" s="113"/>
      <c r="AK219" s="113"/>
      <c r="AL219" s="113"/>
      <c r="AM219" s="113"/>
      <c r="AN219" s="113"/>
      <c r="AO219" s="113"/>
      <c r="AP219" s="113"/>
      <c r="AQ219" s="113"/>
      <c r="AR219" s="113"/>
      <c r="AS219" s="113"/>
      <c r="AT219" s="113"/>
      <c r="AU219" s="113"/>
      <c r="AV219" s="113"/>
      <c r="AW219" s="113"/>
      <c r="AX219" s="113"/>
      <c r="AY219" s="113"/>
      <c r="AZ219" s="113"/>
      <c r="BA219" s="113"/>
    </row>
    <row r="220" spans="2:53" x14ac:dyDescent="0.25">
      <c r="B220" s="44">
        <f t="shared" si="282"/>
        <v>1</v>
      </c>
      <c r="C220" s="44">
        <f t="shared" si="321"/>
        <v>9</v>
      </c>
      <c r="D220" s="44" t="str">
        <f>D219</f>
        <v>Avista</v>
      </c>
      <c r="E220" s="45">
        <v>2019</v>
      </c>
      <c r="F220" s="206">
        <v>940.4</v>
      </c>
      <c r="G220" s="51">
        <f t="shared" si="275"/>
        <v>0.42727907487147215</v>
      </c>
      <c r="H220" s="44"/>
      <c r="I220" s="44"/>
      <c r="J220" s="206">
        <v>15191.692800000001</v>
      </c>
      <c r="K220" s="51">
        <f t="shared" ref="K220" si="376">J220/$J$484</f>
        <v>1.1032609318566606E-2</v>
      </c>
      <c r="L220" s="44"/>
      <c r="M220" s="206">
        <v>3519884</v>
      </c>
      <c r="N220" s="206">
        <v>116100.01908849462</v>
      </c>
      <c r="O220" s="46">
        <f t="shared" si="370"/>
        <v>100908.32628849462</v>
      </c>
      <c r="P220" s="51">
        <f t="shared" si="371"/>
        <v>0.86914995433014974</v>
      </c>
      <c r="Q220" s="51">
        <f t="shared" si="372"/>
        <v>0.13085004566985026</v>
      </c>
      <c r="R220" s="51">
        <f t="shared" si="373"/>
        <v>0</v>
      </c>
      <c r="S220" s="51">
        <f t="shared" si="374"/>
        <v>0.13085004566985026</v>
      </c>
      <c r="T220" s="51">
        <f t="shared" si="375"/>
        <v>-0.13085004566985026</v>
      </c>
      <c r="U220" s="298"/>
      <c r="V220" s="298"/>
      <c r="W220" s="298"/>
      <c r="X220" s="113"/>
      <c r="Y220" s="113"/>
      <c r="Z220" s="113"/>
      <c r="AA220" s="113"/>
      <c r="AB220" s="113"/>
      <c r="AC220" s="113"/>
      <c r="AD220" s="113"/>
      <c r="AE220" s="113"/>
      <c r="AF220" s="113"/>
      <c r="AG220" s="113"/>
      <c r="AH220" s="113"/>
      <c r="AI220" s="113"/>
      <c r="AJ220" s="113"/>
      <c r="AK220" s="113"/>
      <c r="AL220" s="113"/>
      <c r="AM220" s="113"/>
      <c r="AN220" s="113"/>
      <c r="AO220" s="113"/>
      <c r="AP220" s="113"/>
      <c r="AQ220" s="113"/>
      <c r="AR220" s="113"/>
      <c r="AS220" s="113"/>
      <c r="AT220" s="113"/>
      <c r="AU220" s="113"/>
      <c r="AV220" s="113"/>
      <c r="AW220" s="113"/>
      <c r="AX220" s="113"/>
      <c r="AY220" s="113"/>
      <c r="AZ220" s="113"/>
      <c r="BA220" s="113"/>
    </row>
    <row r="221" spans="2:53" x14ac:dyDescent="0.25">
      <c r="B221" s="44">
        <f t="shared" si="282"/>
        <v>1</v>
      </c>
      <c r="C221" s="44">
        <f t="shared" si="321"/>
        <v>9</v>
      </c>
      <c r="D221" s="44" t="str">
        <f>D220</f>
        <v>Avista</v>
      </c>
      <c r="E221" s="45">
        <v>2020</v>
      </c>
      <c r="F221" s="206">
        <v>944.30000000000007</v>
      </c>
      <c r="G221" s="51">
        <f t="shared" si="275"/>
        <v>0.44131020199543808</v>
      </c>
      <c r="H221" s="44"/>
      <c r="I221" s="44"/>
      <c r="J221" s="206">
        <v>15523.125599999999</v>
      </c>
      <c r="K221" s="51">
        <f t="shared" ref="K221" si="377">J221/$J$485</f>
        <v>1.120832478928894E-2</v>
      </c>
      <c r="L221" s="44"/>
      <c r="M221" s="206">
        <v>3650548</v>
      </c>
      <c r="N221" s="206">
        <v>66774.066222384266</v>
      </c>
      <c r="O221" s="46">
        <f t="shared" si="370"/>
        <v>51250.940622384267</v>
      </c>
      <c r="P221" s="51">
        <f t="shared" si="371"/>
        <v>0.76752762744293868</v>
      </c>
      <c r="Q221" s="51">
        <f t="shared" si="372"/>
        <v>0.23247237255706132</v>
      </c>
      <c r="R221" s="51">
        <f t="shared" si="373"/>
        <v>0</v>
      </c>
      <c r="S221" s="51">
        <f t="shared" si="374"/>
        <v>0.23247237255706132</v>
      </c>
      <c r="T221" s="51">
        <f t="shared" si="375"/>
        <v>-0.23247237255706132</v>
      </c>
      <c r="U221" s="298"/>
      <c r="V221" s="298"/>
      <c r="W221" s="298"/>
      <c r="X221" s="113"/>
      <c r="Y221" s="113"/>
      <c r="Z221" s="113"/>
      <c r="AA221" s="113"/>
      <c r="AB221" s="113"/>
      <c r="AC221" s="113"/>
      <c r="AD221" s="113"/>
      <c r="AE221" s="113"/>
      <c r="AF221" s="113"/>
      <c r="AG221" s="113"/>
      <c r="AH221" s="113"/>
      <c r="AI221" s="113"/>
      <c r="AJ221" s="113"/>
      <c r="AK221" s="113"/>
      <c r="AL221" s="113"/>
      <c r="AM221" s="113"/>
      <c r="AN221" s="113"/>
      <c r="AO221" s="113"/>
      <c r="AP221" s="113"/>
      <c r="AQ221" s="113"/>
      <c r="AR221" s="113"/>
      <c r="AS221" s="113"/>
      <c r="AT221" s="113"/>
      <c r="AU221" s="113"/>
      <c r="AV221" s="113"/>
      <c r="AW221" s="113"/>
      <c r="AX221" s="113"/>
      <c r="AY221" s="113"/>
      <c r="AZ221" s="113"/>
      <c r="BA221" s="113"/>
    </row>
    <row r="222" spans="2:53" x14ac:dyDescent="0.25">
      <c r="B222" s="44">
        <f t="shared" si="282"/>
        <v>1</v>
      </c>
      <c r="C222" s="44">
        <f t="shared" si="321"/>
        <v>9</v>
      </c>
      <c r="D222" s="44" t="str">
        <f>D221</f>
        <v>Avista</v>
      </c>
      <c r="E222" s="45">
        <v>2021</v>
      </c>
      <c r="F222" s="206">
        <v>944.30000000000007</v>
      </c>
      <c r="G222" s="51">
        <f t="shared" si="275"/>
        <v>0.43501673342143699</v>
      </c>
      <c r="H222" s="44"/>
      <c r="I222" s="44"/>
      <c r="J222" s="206">
        <v>15157.7256</v>
      </c>
      <c r="K222" s="51">
        <f t="shared" ref="K222" si="378">J222/$J$486</f>
        <v>1.0460930496361596E-2</v>
      </c>
      <c r="L222" s="44"/>
      <c r="M222" s="206">
        <v>3598488</v>
      </c>
      <c r="N222" s="206">
        <v>149040.17340199256</v>
      </c>
      <c r="O222" s="46">
        <f t="shared" ref="O222:O224" si="379">N222-J222</f>
        <v>133882.44780199256</v>
      </c>
      <c r="P222" s="51">
        <f t="shared" ref="P222:P224" si="380">O222/N222</f>
        <v>0.89829771897059962</v>
      </c>
      <c r="Q222" s="51">
        <f t="shared" ref="Q222:Q224" si="381">1-P222</f>
        <v>0.10170228102940038</v>
      </c>
      <c r="R222" s="51">
        <f t="shared" ref="R222:R224" si="382">Q222*L222</f>
        <v>0</v>
      </c>
      <c r="S222" s="51">
        <f t="shared" ref="S222:S224" si="383">Q222-R222</f>
        <v>0.10170228102940038</v>
      </c>
      <c r="T222" s="51">
        <f t="shared" ref="T222:T224" si="384">R222-S222</f>
        <v>-0.10170228102940038</v>
      </c>
      <c r="U222" s="298"/>
      <c r="V222" s="298"/>
      <c r="W222" s="298"/>
      <c r="X222" s="113"/>
      <c r="Y222" s="113"/>
      <c r="Z222" s="113"/>
      <c r="AA222" s="113"/>
      <c r="AB222" s="113"/>
      <c r="AC222" s="113"/>
      <c r="AD222" s="113"/>
      <c r="AE222" s="113"/>
      <c r="AF222" s="113"/>
      <c r="AG222" s="113"/>
      <c r="AH222" s="113"/>
      <c r="AI222" s="113"/>
      <c r="AJ222" s="113"/>
      <c r="AK222" s="113"/>
      <c r="AL222" s="113"/>
      <c r="AM222" s="113"/>
      <c r="AN222" s="113"/>
      <c r="AO222" s="113"/>
      <c r="AP222" s="113"/>
      <c r="AQ222" s="113"/>
      <c r="AR222" s="113"/>
      <c r="AS222" s="113"/>
      <c r="AT222" s="113"/>
      <c r="AU222" s="113"/>
      <c r="AV222" s="113"/>
      <c r="AW222" s="113"/>
      <c r="AX222" s="113"/>
      <c r="AY222" s="113"/>
      <c r="AZ222" s="113"/>
      <c r="BA222" s="113"/>
    </row>
    <row r="223" spans="2:53" x14ac:dyDescent="0.25">
      <c r="B223" s="44">
        <f t="shared" si="282"/>
        <v>1</v>
      </c>
      <c r="C223" s="44">
        <f t="shared" si="321"/>
        <v>9</v>
      </c>
      <c r="D223" s="44" t="str">
        <f>D220</f>
        <v>Avista</v>
      </c>
      <c r="E223" s="45">
        <v>2022</v>
      </c>
      <c r="F223" s="206">
        <v>945</v>
      </c>
      <c r="G223" s="51">
        <f t="shared" si="275"/>
        <v>0.47469172042231406</v>
      </c>
      <c r="H223" s="44"/>
      <c r="I223" s="44"/>
      <c r="J223" s="206">
        <v>17400.6168</v>
      </c>
      <c r="K223" s="51">
        <f t="shared" ref="K223" si="385">J223/$J$487</f>
        <v>1.1835988122520295E-2</v>
      </c>
      <c r="L223" s="44"/>
      <c r="M223" s="206">
        <v>3929593</v>
      </c>
      <c r="N223" s="206">
        <v>270306.78839602991</v>
      </c>
      <c r="O223" s="46">
        <f t="shared" si="379"/>
        <v>252906.17159602992</v>
      </c>
      <c r="P223" s="51">
        <f t="shared" si="380"/>
        <v>0.93562641580977934</v>
      </c>
      <c r="Q223" s="51">
        <f t="shared" si="381"/>
        <v>6.4373584190220656E-2</v>
      </c>
      <c r="R223" s="51">
        <f t="shared" si="382"/>
        <v>0</v>
      </c>
      <c r="S223" s="51">
        <f t="shared" si="383"/>
        <v>6.4373584190220656E-2</v>
      </c>
      <c r="T223" s="51">
        <f t="shared" si="384"/>
        <v>-6.4373584190220656E-2</v>
      </c>
      <c r="U223" s="298"/>
      <c r="V223" s="298"/>
      <c r="W223" s="298"/>
      <c r="X223" s="113"/>
      <c r="Y223" s="113"/>
      <c r="Z223" s="113"/>
      <c r="AA223" s="113"/>
      <c r="AB223" s="113"/>
      <c r="AC223" s="113"/>
      <c r="AD223" s="113"/>
      <c r="AE223" s="113"/>
      <c r="AF223" s="113"/>
      <c r="AG223" s="113"/>
      <c r="AH223" s="113"/>
      <c r="AI223" s="113"/>
      <c r="AJ223" s="113"/>
      <c r="AK223" s="113"/>
      <c r="AL223" s="113"/>
      <c r="AM223" s="113"/>
      <c r="AN223" s="113"/>
      <c r="AO223" s="113"/>
      <c r="AP223" s="113"/>
      <c r="AQ223" s="113"/>
      <c r="AR223" s="113"/>
      <c r="AS223" s="113"/>
      <c r="AT223" s="113"/>
      <c r="AU223" s="113"/>
      <c r="AV223" s="113"/>
      <c r="AW223" s="113"/>
      <c r="AX223" s="113"/>
      <c r="AY223" s="113"/>
      <c r="AZ223" s="113"/>
      <c r="BA223" s="113"/>
    </row>
    <row r="224" spans="2:53" x14ac:dyDescent="0.25">
      <c r="B224" s="44">
        <f t="shared" si="282"/>
        <v>1</v>
      </c>
      <c r="C224" s="44">
        <f t="shared" si="321"/>
        <v>9</v>
      </c>
      <c r="D224" s="44" t="str">
        <f>D221</f>
        <v>Avista</v>
      </c>
      <c r="E224" s="45">
        <v>2023</v>
      </c>
      <c r="F224" s="206">
        <v>945</v>
      </c>
      <c r="G224" s="51">
        <f t="shared" si="275"/>
        <v>0.36531178275470511</v>
      </c>
      <c r="H224" s="44"/>
      <c r="I224" s="44"/>
      <c r="J224" s="206">
        <v>16395.2196</v>
      </c>
      <c r="K224" s="51">
        <f t="shared" ref="K224" si="386">J224/$J$488</f>
        <v>1.0264170879599079E-2</v>
      </c>
      <c r="L224" s="44"/>
      <c r="M224" s="206">
        <v>3024124</v>
      </c>
      <c r="N224" s="206">
        <v>193620.40260308486</v>
      </c>
      <c r="O224" s="46">
        <f t="shared" si="379"/>
        <v>177225.18300308485</v>
      </c>
      <c r="P224" s="51">
        <f t="shared" si="380"/>
        <v>0.91532287207557539</v>
      </c>
      <c r="Q224" s="51">
        <f t="shared" si="381"/>
        <v>8.4677127924424611E-2</v>
      </c>
      <c r="R224" s="51">
        <f t="shared" si="382"/>
        <v>0</v>
      </c>
      <c r="S224" s="51">
        <f t="shared" si="383"/>
        <v>8.4677127924424611E-2</v>
      </c>
      <c r="T224" s="51">
        <f t="shared" si="384"/>
        <v>-8.4677127924424611E-2</v>
      </c>
      <c r="U224" s="298"/>
      <c r="V224" s="298"/>
      <c r="W224" s="298"/>
      <c r="X224" s="113"/>
      <c r="Y224" s="113"/>
      <c r="Z224" s="113"/>
      <c r="AA224" s="113"/>
      <c r="AB224" s="113"/>
      <c r="AC224" s="113"/>
      <c r="AD224" s="113"/>
      <c r="AE224" s="113"/>
      <c r="AF224" s="113"/>
      <c r="AG224" s="113"/>
      <c r="AH224" s="113"/>
      <c r="AI224" s="113"/>
      <c r="AJ224" s="113"/>
      <c r="AK224" s="113"/>
      <c r="AL224" s="113"/>
      <c r="AM224" s="113"/>
      <c r="AN224" s="113"/>
      <c r="AO224" s="113"/>
      <c r="AP224" s="113"/>
      <c r="AQ224" s="113"/>
      <c r="AR224" s="113"/>
      <c r="AS224" s="113"/>
      <c r="AT224" s="113"/>
      <c r="AU224" s="113"/>
      <c r="AV224" s="113"/>
      <c r="AW224" s="113"/>
      <c r="AX224" s="113"/>
      <c r="AY224" s="113"/>
      <c r="AZ224" s="113"/>
      <c r="BA224" s="113"/>
    </row>
    <row r="225" spans="2:53" x14ac:dyDescent="0.25">
      <c r="B225" s="47">
        <f t="shared" si="282"/>
        <v>1</v>
      </c>
      <c r="C225" s="47">
        <f t="shared" si="321"/>
        <v>10</v>
      </c>
      <c r="D225" s="47" t="str">
        <f>'OPG hydro peers'!D14</f>
        <v>Portland</v>
      </c>
      <c r="E225" s="48">
        <v>2002</v>
      </c>
      <c r="F225" s="207">
        <v>778.72</v>
      </c>
      <c r="G225" s="50">
        <f t="shared" si="275"/>
        <v>0.44956766073444021</v>
      </c>
      <c r="H225" s="49"/>
      <c r="I225" s="49"/>
      <c r="J225" s="207">
        <v>12478.292399999998</v>
      </c>
      <c r="K225" s="50">
        <f t="shared" ref="K225" si="387">J225/$J$467</f>
        <v>1.6261413769448698E-2</v>
      </c>
      <c r="L225" s="50"/>
      <c r="M225" s="207">
        <v>3066765</v>
      </c>
      <c r="N225" s="207">
        <v>67550.591968439985</v>
      </c>
      <c r="O225" s="49">
        <f t="shared" si="277"/>
        <v>55072.299568439987</v>
      </c>
      <c r="P225" s="50">
        <f t="shared" si="278"/>
        <v>0.81527486234569302</v>
      </c>
      <c r="Q225" s="50">
        <f t="shared" si="279"/>
        <v>0.18472513765430698</v>
      </c>
      <c r="R225" s="50">
        <f t="shared" si="280"/>
        <v>0</v>
      </c>
      <c r="S225" s="50">
        <f t="shared" si="281"/>
        <v>0.18472513765430698</v>
      </c>
      <c r="T225" s="50">
        <f t="shared" si="323"/>
        <v>-0.18472513765430698</v>
      </c>
      <c r="U225" s="298"/>
      <c r="V225" s="298"/>
      <c r="W225" s="298"/>
      <c r="X225" s="113"/>
      <c r="Y225" s="113"/>
      <c r="Z225" s="113"/>
      <c r="AA225" s="113"/>
      <c r="AB225" s="113"/>
      <c r="AC225" s="113"/>
      <c r="AD225" s="113"/>
      <c r="AE225" s="113"/>
      <c r="AF225" s="113"/>
      <c r="AG225" s="113"/>
      <c r="AH225" s="113"/>
      <c r="AI225" s="113"/>
      <c r="AJ225" s="113"/>
      <c r="AK225" s="113"/>
      <c r="AL225" s="113"/>
      <c r="AM225" s="113"/>
      <c r="AN225" s="113"/>
      <c r="AO225" s="113"/>
      <c r="AP225" s="113"/>
      <c r="AQ225" s="113"/>
      <c r="AR225" s="113"/>
      <c r="AS225" s="113"/>
      <c r="AT225" s="113"/>
      <c r="AU225" s="113"/>
      <c r="AV225" s="113"/>
      <c r="AW225" s="113"/>
      <c r="AX225" s="113"/>
      <c r="AY225" s="113"/>
      <c r="AZ225" s="113"/>
      <c r="BA225" s="113"/>
    </row>
    <row r="226" spans="2:53" x14ac:dyDescent="0.25">
      <c r="B226" s="47">
        <f t="shared" si="282"/>
        <v>1</v>
      </c>
      <c r="C226" s="47">
        <f t="shared" si="321"/>
        <v>10</v>
      </c>
      <c r="D226" s="47" t="str">
        <f t="shared" ref="D226:D236" si="388">D225</f>
        <v>Portland</v>
      </c>
      <c r="E226" s="48">
        <v>2003</v>
      </c>
      <c r="F226" s="207">
        <v>778.72</v>
      </c>
      <c r="G226" s="50">
        <f t="shared" si="275"/>
        <v>0.44265020903053176</v>
      </c>
      <c r="H226" s="49"/>
      <c r="I226" s="49"/>
      <c r="J226" s="207">
        <v>12537.940799999998</v>
      </c>
      <c r="K226" s="50">
        <f t="shared" ref="K226" si="389">J226/$J$468</f>
        <v>1.4783719846752624E-2</v>
      </c>
      <c r="L226" s="50"/>
      <c r="M226" s="207">
        <v>3019577</v>
      </c>
      <c r="N226" s="207">
        <v>109464.82223460001</v>
      </c>
      <c r="O226" s="49">
        <f t="shared" si="277"/>
        <v>96926.881434600014</v>
      </c>
      <c r="P226" s="50">
        <f t="shared" si="278"/>
        <v>0.88546146109725321</v>
      </c>
      <c r="Q226" s="50">
        <f t="shared" si="279"/>
        <v>0.11453853890274679</v>
      </c>
      <c r="R226" s="50">
        <f t="shared" si="280"/>
        <v>0</v>
      </c>
      <c r="S226" s="50">
        <f t="shared" si="281"/>
        <v>0.11453853890274679</v>
      </c>
      <c r="T226" s="50">
        <f t="shared" si="323"/>
        <v>-0.11453853890274679</v>
      </c>
      <c r="U226" s="298"/>
      <c r="V226" s="298"/>
      <c r="W226" s="298"/>
      <c r="X226" s="113"/>
      <c r="Y226" s="113"/>
      <c r="Z226" s="113"/>
      <c r="AA226" s="113"/>
      <c r="AB226" s="113"/>
      <c r="AC226" s="113"/>
      <c r="AD226" s="113"/>
      <c r="AE226" s="113"/>
      <c r="AF226" s="113"/>
      <c r="AG226" s="113"/>
      <c r="AH226" s="113"/>
      <c r="AI226" s="113"/>
      <c r="AJ226" s="113"/>
      <c r="AK226" s="113"/>
      <c r="AL226" s="113"/>
      <c r="AM226" s="113"/>
      <c r="AN226" s="113"/>
      <c r="AO226" s="113"/>
      <c r="AP226" s="113"/>
      <c r="AQ226" s="113"/>
      <c r="AR226" s="113"/>
      <c r="AS226" s="113"/>
      <c r="AT226" s="113"/>
      <c r="AU226" s="113"/>
      <c r="AV226" s="113"/>
      <c r="AW226" s="113"/>
      <c r="AX226" s="113"/>
      <c r="AY226" s="113"/>
      <c r="AZ226" s="113"/>
      <c r="BA226" s="113"/>
    </row>
    <row r="227" spans="2:53" x14ac:dyDescent="0.25">
      <c r="B227" s="47">
        <f t="shared" si="282"/>
        <v>1</v>
      </c>
      <c r="C227" s="47">
        <f t="shared" si="321"/>
        <v>10</v>
      </c>
      <c r="D227" s="47" t="str">
        <f t="shared" si="388"/>
        <v>Portland</v>
      </c>
      <c r="E227" s="48">
        <v>2004</v>
      </c>
      <c r="F227" s="207">
        <v>778.7</v>
      </c>
      <c r="G227" s="50">
        <f t="shared" si="275"/>
        <v>0.45413618177585519</v>
      </c>
      <c r="H227" s="49"/>
      <c r="I227" s="49"/>
      <c r="J227" s="207">
        <v>12011.4</v>
      </c>
      <c r="K227" s="50">
        <f t="shared" ref="K227" si="390">J227/$J$469</f>
        <v>1.3593445353959139E-2</v>
      </c>
      <c r="L227" s="50"/>
      <c r="M227" s="207">
        <v>3097850</v>
      </c>
      <c r="N227" s="207">
        <v>120237.59594675999</v>
      </c>
      <c r="O227" s="49">
        <f t="shared" si="277"/>
        <v>108226.19594676</v>
      </c>
      <c r="P227" s="50">
        <f t="shared" si="278"/>
        <v>0.90010279309544305</v>
      </c>
      <c r="Q227" s="50">
        <f t="shared" si="279"/>
        <v>9.9897206904556946E-2</v>
      </c>
      <c r="R227" s="50">
        <f t="shared" si="280"/>
        <v>0</v>
      </c>
      <c r="S227" s="50">
        <f t="shared" si="281"/>
        <v>9.9897206904556946E-2</v>
      </c>
      <c r="T227" s="50">
        <f t="shared" si="323"/>
        <v>-9.9897206904556946E-2</v>
      </c>
      <c r="U227" s="298"/>
      <c r="V227" s="298"/>
      <c r="W227" s="298"/>
      <c r="X227" s="113"/>
      <c r="Y227" s="113"/>
      <c r="Z227" s="113"/>
      <c r="AA227" s="113"/>
      <c r="AB227" s="113"/>
      <c r="AC227" s="113"/>
      <c r="AD227" s="113"/>
      <c r="AE227" s="113"/>
      <c r="AF227" s="113"/>
      <c r="AG227" s="113"/>
      <c r="AH227" s="113"/>
      <c r="AI227" s="113"/>
      <c r="AJ227" s="113"/>
      <c r="AK227" s="113"/>
      <c r="AL227" s="113"/>
      <c r="AM227" s="113"/>
      <c r="AN227" s="113"/>
      <c r="AO227" s="113"/>
      <c r="AP227" s="113"/>
      <c r="AQ227" s="113"/>
      <c r="AR227" s="113"/>
      <c r="AS227" s="113"/>
      <c r="AT227" s="113"/>
      <c r="AU227" s="113"/>
      <c r="AV227" s="113"/>
      <c r="AW227" s="113"/>
      <c r="AX227" s="113"/>
      <c r="AY227" s="113"/>
      <c r="AZ227" s="113"/>
      <c r="BA227" s="113"/>
    </row>
    <row r="228" spans="2:53" x14ac:dyDescent="0.25">
      <c r="B228" s="47">
        <f t="shared" si="282"/>
        <v>1</v>
      </c>
      <c r="C228" s="47">
        <f t="shared" si="321"/>
        <v>10</v>
      </c>
      <c r="D228" s="47" t="str">
        <f t="shared" si="388"/>
        <v>Portland</v>
      </c>
      <c r="E228" s="48">
        <v>2005</v>
      </c>
      <c r="F228" s="207">
        <v>778.7</v>
      </c>
      <c r="G228" s="50">
        <f t="shared" si="275"/>
        <v>0.41597634038231379</v>
      </c>
      <c r="H228" s="49"/>
      <c r="I228" s="49"/>
      <c r="J228" s="207">
        <v>13241.650800000001</v>
      </c>
      <c r="K228" s="50">
        <f t="shared" ref="K228" si="391">J228/$J$470</f>
        <v>1.4253505556016252E-2</v>
      </c>
      <c r="L228" s="50"/>
      <c r="M228" s="207">
        <v>2837546</v>
      </c>
      <c r="N228" s="207">
        <v>153352.92377328002</v>
      </c>
      <c r="O228" s="49">
        <f t="shared" si="277"/>
        <v>140111.27297328002</v>
      </c>
      <c r="P228" s="50">
        <f t="shared" si="278"/>
        <v>0.91365243991319844</v>
      </c>
      <c r="Q228" s="50">
        <f t="shared" si="279"/>
        <v>8.6347560086801556E-2</v>
      </c>
      <c r="R228" s="50">
        <f t="shared" si="280"/>
        <v>0</v>
      </c>
      <c r="S228" s="50">
        <f t="shared" si="281"/>
        <v>8.6347560086801556E-2</v>
      </c>
      <c r="T228" s="50">
        <f t="shared" si="323"/>
        <v>-8.6347560086801556E-2</v>
      </c>
      <c r="U228" s="298"/>
      <c r="V228" s="298"/>
      <c r="W228" s="298"/>
      <c r="X228" s="113"/>
      <c r="Y228" s="113"/>
      <c r="Z228" s="113"/>
      <c r="AA228" s="113"/>
      <c r="AB228" s="113"/>
      <c r="AC228" s="113"/>
      <c r="AD228" s="113"/>
      <c r="AE228" s="113"/>
      <c r="AF228" s="113"/>
      <c r="AG228" s="113"/>
      <c r="AH228" s="113"/>
      <c r="AI228" s="113"/>
      <c r="AJ228" s="113"/>
      <c r="AK228" s="113"/>
      <c r="AL228" s="113"/>
      <c r="AM228" s="113"/>
      <c r="AN228" s="113"/>
      <c r="AO228" s="113"/>
      <c r="AP228" s="113"/>
      <c r="AQ228" s="113"/>
      <c r="AR228" s="113"/>
      <c r="AS228" s="113"/>
      <c r="AT228" s="113"/>
      <c r="AU228" s="113"/>
      <c r="AV228" s="113"/>
      <c r="AW228" s="113"/>
      <c r="AX228" s="113"/>
      <c r="AY228" s="113"/>
      <c r="AZ228" s="113"/>
      <c r="BA228" s="113"/>
    </row>
    <row r="229" spans="2:53" x14ac:dyDescent="0.25">
      <c r="B229" s="47">
        <f t="shared" si="282"/>
        <v>1</v>
      </c>
      <c r="C229" s="47">
        <f t="shared" si="321"/>
        <v>10</v>
      </c>
      <c r="D229" s="47" t="str">
        <f t="shared" si="388"/>
        <v>Portland</v>
      </c>
      <c r="E229" s="48">
        <v>2006</v>
      </c>
      <c r="F229" s="207">
        <v>778.7</v>
      </c>
      <c r="G229" s="50">
        <f t="shared" si="275"/>
        <v>0.52856593327012058</v>
      </c>
      <c r="H229" s="49"/>
      <c r="I229" s="49"/>
      <c r="J229" s="207">
        <v>14797.423199999999</v>
      </c>
      <c r="K229" s="50">
        <f t="shared" ref="K229" si="392">J229/$J$471</f>
        <v>1.5032295381444087E-2</v>
      </c>
      <c r="L229" s="50"/>
      <c r="M229" s="207">
        <v>3605566</v>
      </c>
      <c r="N229" s="207">
        <v>156120.51057516001</v>
      </c>
      <c r="O229" s="49">
        <f t="shared" si="277"/>
        <v>141323.08737516002</v>
      </c>
      <c r="P229" s="50">
        <f t="shared" si="278"/>
        <v>0.90521794256574528</v>
      </c>
      <c r="Q229" s="50">
        <f t="shared" si="279"/>
        <v>9.4782057434254718E-2</v>
      </c>
      <c r="R229" s="50">
        <f t="shared" si="280"/>
        <v>0</v>
      </c>
      <c r="S229" s="50">
        <f t="shared" si="281"/>
        <v>9.4782057434254718E-2</v>
      </c>
      <c r="T229" s="50">
        <f t="shared" si="323"/>
        <v>-9.4782057434254718E-2</v>
      </c>
      <c r="U229" s="298"/>
      <c r="V229" s="298"/>
      <c r="W229" s="298"/>
      <c r="X229" s="113"/>
      <c r="Y229" s="113"/>
      <c r="Z229" s="113"/>
      <c r="AA229" s="113"/>
      <c r="AB229" s="113"/>
      <c r="AC229" s="113"/>
      <c r="AD229" s="113"/>
      <c r="AE229" s="113"/>
      <c r="AF229" s="113"/>
      <c r="AG229" s="113"/>
      <c r="AH229" s="113"/>
      <c r="AI229" s="113"/>
      <c r="AJ229" s="113"/>
      <c r="AK229" s="113"/>
      <c r="AL229" s="113"/>
      <c r="AM229" s="113"/>
      <c r="AN229" s="113"/>
      <c r="AO229" s="113"/>
      <c r="AP229" s="113"/>
      <c r="AQ229" s="113"/>
      <c r="AR229" s="113"/>
      <c r="AS229" s="113"/>
      <c r="AT229" s="113"/>
      <c r="AU229" s="113"/>
      <c r="AV229" s="113"/>
      <c r="AW229" s="113"/>
      <c r="AX229" s="113"/>
      <c r="AY229" s="113"/>
      <c r="AZ229" s="113"/>
      <c r="BA229" s="113"/>
    </row>
    <row r="230" spans="2:53" x14ac:dyDescent="0.25">
      <c r="B230" s="47">
        <f t="shared" si="282"/>
        <v>1</v>
      </c>
      <c r="C230" s="47">
        <f t="shared" si="321"/>
        <v>10</v>
      </c>
      <c r="D230" s="47" t="str">
        <f t="shared" si="388"/>
        <v>Portland</v>
      </c>
      <c r="E230" s="48">
        <v>2007</v>
      </c>
      <c r="F230" s="207">
        <v>778.7</v>
      </c>
      <c r="G230" s="50">
        <f t="shared" si="275"/>
        <v>0.46666760488884118</v>
      </c>
      <c r="H230" s="49"/>
      <c r="I230" s="49"/>
      <c r="J230" s="207">
        <v>19132.012800000004</v>
      </c>
      <c r="K230" s="50">
        <f t="shared" ref="K230" si="393">J230/$J$472</f>
        <v>1.7948703890083201E-2</v>
      </c>
      <c r="L230" s="50"/>
      <c r="M230" s="207">
        <v>3183332</v>
      </c>
      <c r="N230" s="207">
        <v>158452.50290820003</v>
      </c>
      <c r="O230" s="49">
        <f t="shared" si="277"/>
        <v>139320.49010820003</v>
      </c>
      <c r="P230" s="50">
        <f t="shared" si="278"/>
        <v>0.87925711207550827</v>
      </c>
      <c r="Q230" s="50">
        <f t="shared" si="279"/>
        <v>0.12074288792449173</v>
      </c>
      <c r="R230" s="50">
        <f t="shared" si="280"/>
        <v>0</v>
      </c>
      <c r="S230" s="50">
        <f t="shared" si="281"/>
        <v>0.12074288792449173</v>
      </c>
      <c r="T230" s="50">
        <f t="shared" si="323"/>
        <v>-0.12074288792449173</v>
      </c>
      <c r="U230" s="298"/>
      <c r="V230" s="298"/>
      <c r="W230" s="298"/>
      <c r="X230" s="113"/>
      <c r="Y230" s="113"/>
      <c r="Z230" s="113"/>
      <c r="AA230" s="113"/>
      <c r="AB230" s="113"/>
      <c r="AC230" s="113"/>
      <c r="AD230" s="113"/>
      <c r="AE230" s="113"/>
      <c r="AF230" s="113"/>
      <c r="AG230" s="113"/>
      <c r="AH230" s="113"/>
      <c r="AI230" s="113"/>
      <c r="AJ230" s="113"/>
      <c r="AK230" s="113"/>
      <c r="AL230" s="113"/>
      <c r="AM230" s="113"/>
      <c r="AN230" s="113"/>
      <c r="AO230" s="113"/>
      <c r="AP230" s="113"/>
      <c r="AQ230" s="113"/>
      <c r="AR230" s="113"/>
      <c r="AS230" s="113"/>
      <c r="AT230" s="113"/>
      <c r="AU230" s="113"/>
      <c r="AV230" s="113"/>
      <c r="AW230" s="113"/>
      <c r="AX230" s="113"/>
      <c r="AY230" s="113"/>
      <c r="AZ230" s="113"/>
      <c r="BA230" s="113"/>
    </row>
    <row r="231" spans="2:53" x14ac:dyDescent="0.25">
      <c r="B231" s="47">
        <f t="shared" si="282"/>
        <v>1</v>
      </c>
      <c r="C231" s="47">
        <f t="shared" si="321"/>
        <v>10</v>
      </c>
      <c r="D231" s="47" t="str">
        <f t="shared" si="388"/>
        <v>Portland</v>
      </c>
      <c r="E231" s="48">
        <v>2008</v>
      </c>
      <c r="F231" s="207">
        <v>778.7</v>
      </c>
      <c r="G231" s="50">
        <f t="shared" si="275"/>
        <v>0.46941674245742671</v>
      </c>
      <c r="H231" s="49"/>
      <c r="I231" s="49"/>
      <c r="J231" s="207">
        <v>20595.552</v>
      </c>
      <c r="K231" s="50">
        <f t="shared" ref="K231" si="394">J231/$J$473</f>
        <v>1.7784341588795945E-2</v>
      </c>
      <c r="L231" s="50"/>
      <c r="M231" s="207">
        <v>3202085</v>
      </c>
      <c r="N231" s="207">
        <v>189726.34545529555</v>
      </c>
      <c r="O231" s="49">
        <f t="shared" si="277"/>
        <v>169130.79345529556</v>
      </c>
      <c r="P231" s="50">
        <f t="shared" si="278"/>
        <v>0.89144600898427762</v>
      </c>
      <c r="Q231" s="50">
        <f t="shared" si="279"/>
        <v>0.10855399101572238</v>
      </c>
      <c r="R231" s="50">
        <f t="shared" si="280"/>
        <v>0</v>
      </c>
      <c r="S231" s="50">
        <f t="shared" si="281"/>
        <v>0.10855399101572238</v>
      </c>
      <c r="T231" s="50">
        <f t="shared" si="323"/>
        <v>-0.10855399101572238</v>
      </c>
      <c r="U231" s="298"/>
      <c r="V231" s="298"/>
      <c r="W231" s="298"/>
      <c r="X231" s="113"/>
      <c r="Y231" s="113"/>
      <c r="Z231" s="113"/>
      <c r="AA231" s="113"/>
      <c r="AB231" s="113"/>
      <c r="AC231" s="113"/>
      <c r="AD231" s="113"/>
      <c r="AE231" s="113"/>
      <c r="AF231" s="113"/>
      <c r="AG231" s="113"/>
      <c r="AH231" s="113"/>
      <c r="AI231" s="113"/>
      <c r="AJ231" s="113"/>
      <c r="AK231" s="113"/>
      <c r="AL231" s="113"/>
      <c r="AM231" s="113"/>
      <c r="AN231" s="113"/>
      <c r="AO231" s="113"/>
      <c r="AP231" s="113"/>
      <c r="AQ231" s="113"/>
      <c r="AR231" s="113"/>
      <c r="AS231" s="113"/>
      <c r="AT231" s="113"/>
      <c r="AU231" s="113"/>
      <c r="AV231" s="113"/>
      <c r="AW231" s="113"/>
      <c r="AX231" s="113"/>
      <c r="AY231" s="113"/>
      <c r="AZ231" s="113"/>
      <c r="BA231" s="113"/>
    </row>
    <row r="232" spans="2:53" x14ac:dyDescent="0.25">
      <c r="B232" s="47">
        <f t="shared" si="282"/>
        <v>1</v>
      </c>
      <c r="C232" s="47">
        <f t="shared" si="321"/>
        <v>10</v>
      </c>
      <c r="D232" s="47" t="str">
        <f t="shared" si="388"/>
        <v>Portland</v>
      </c>
      <c r="E232" s="48">
        <v>2009</v>
      </c>
      <c r="F232" s="207">
        <v>757.7</v>
      </c>
      <c r="G232" s="50">
        <f t="shared" si="275"/>
        <v>0.48083903280957813</v>
      </c>
      <c r="H232" s="49"/>
      <c r="I232" s="49"/>
      <c r="J232" s="207">
        <v>24877.441200000001</v>
      </c>
      <c r="K232" s="50">
        <f t="shared" ref="K232" si="395">J232/$J$474</f>
        <v>2.1082842151738612E-2</v>
      </c>
      <c r="L232" s="50"/>
      <c r="M232" s="207">
        <v>3191546</v>
      </c>
      <c r="N232" s="207">
        <v>97405.598784669928</v>
      </c>
      <c r="O232" s="49">
        <f t="shared" si="277"/>
        <v>72528.157584669927</v>
      </c>
      <c r="P232" s="50">
        <f t="shared" si="278"/>
        <v>0.74459947364016088</v>
      </c>
      <c r="Q232" s="50">
        <f t="shared" si="279"/>
        <v>0.25540052635983912</v>
      </c>
      <c r="R232" s="50">
        <f t="shared" si="280"/>
        <v>0</v>
      </c>
      <c r="S232" s="50">
        <f t="shared" si="281"/>
        <v>0.25540052635983912</v>
      </c>
      <c r="T232" s="50">
        <f t="shared" si="323"/>
        <v>-0.25540052635983912</v>
      </c>
      <c r="U232" s="298"/>
      <c r="V232" s="298"/>
      <c r="W232" s="298"/>
      <c r="X232" s="113"/>
      <c r="Y232" s="113"/>
      <c r="Z232" s="113"/>
      <c r="AA232" s="113"/>
      <c r="AB232" s="113"/>
      <c r="AC232" s="113"/>
      <c r="AD232" s="113"/>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3"/>
      <c r="BA232" s="113"/>
    </row>
    <row r="233" spans="2:53" x14ac:dyDescent="0.25">
      <c r="B233" s="47">
        <f t="shared" si="282"/>
        <v>1</v>
      </c>
      <c r="C233" s="47">
        <f t="shared" si="321"/>
        <v>10</v>
      </c>
      <c r="D233" s="47" t="str">
        <f t="shared" si="388"/>
        <v>Portland</v>
      </c>
      <c r="E233" s="48">
        <v>2010</v>
      </c>
      <c r="F233" s="207">
        <v>757.7</v>
      </c>
      <c r="G233" s="50">
        <f t="shared" si="275"/>
        <v>0.4903652787244262</v>
      </c>
      <c r="H233" s="49"/>
      <c r="I233" s="49"/>
      <c r="J233" s="207">
        <v>21134.501999999997</v>
      </c>
      <c r="K233" s="50">
        <f t="shared" ref="K233" si="396">J233/$J$475</f>
        <v>1.7271164396391217E-2</v>
      </c>
      <c r="L233" s="50"/>
      <c r="M233" s="207">
        <v>3254776</v>
      </c>
      <c r="N233" s="207">
        <v>101437.12742632526</v>
      </c>
      <c r="O233" s="49">
        <f t="shared" si="277"/>
        <v>80302.625426325263</v>
      </c>
      <c r="P233" s="50">
        <f t="shared" si="278"/>
        <v>0.79164924583111662</v>
      </c>
      <c r="Q233" s="50">
        <f t="shared" si="279"/>
        <v>0.20835075416888338</v>
      </c>
      <c r="R233" s="50">
        <f t="shared" si="280"/>
        <v>0</v>
      </c>
      <c r="S233" s="50">
        <f t="shared" si="281"/>
        <v>0.20835075416888338</v>
      </c>
      <c r="T233" s="50">
        <f t="shared" si="323"/>
        <v>-0.20835075416888338</v>
      </c>
      <c r="U233" s="298"/>
      <c r="V233" s="298"/>
      <c r="W233" s="298"/>
      <c r="X233" s="113"/>
      <c r="Y233" s="113"/>
      <c r="Z233" s="113"/>
      <c r="AA233" s="113"/>
      <c r="AB233" s="113"/>
      <c r="AC233" s="113"/>
      <c r="AD233" s="113"/>
      <c r="AE233" s="113"/>
      <c r="AF233" s="113"/>
      <c r="AG233" s="113"/>
      <c r="AH233" s="113"/>
      <c r="AI233" s="113"/>
      <c r="AJ233" s="113"/>
      <c r="AK233" s="113"/>
      <c r="AL233" s="113"/>
      <c r="AM233" s="113"/>
      <c r="AN233" s="113"/>
      <c r="AO233" s="113"/>
      <c r="AP233" s="113"/>
      <c r="AQ233" s="113"/>
      <c r="AR233" s="113"/>
      <c r="AS233" s="113"/>
      <c r="AT233" s="113"/>
      <c r="AU233" s="113"/>
      <c r="AV233" s="113"/>
      <c r="AW233" s="113"/>
      <c r="AX233" s="113"/>
      <c r="AY233" s="113"/>
      <c r="AZ233" s="113"/>
      <c r="BA233" s="113"/>
    </row>
    <row r="234" spans="2:53" x14ac:dyDescent="0.25">
      <c r="B234" s="47">
        <f t="shared" si="282"/>
        <v>1</v>
      </c>
      <c r="C234" s="47">
        <f t="shared" si="321"/>
        <v>10</v>
      </c>
      <c r="D234" s="47" t="str">
        <f t="shared" si="388"/>
        <v>Portland</v>
      </c>
      <c r="E234" s="48">
        <v>2011</v>
      </c>
      <c r="F234" s="207">
        <v>757.7</v>
      </c>
      <c r="G234" s="50">
        <f t="shared" si="275"/>
        <v>0.53057362976033573</v>
      </c>
      <c r="H234" s="49"/>
      <c r="I234" s="49"/>
      <c r="J234" s="207">
        <v>21836.874</v>
      </c>
      <c r="K234" s="50">
        <f t="shared" ref="K234" si="397">J234/$J$476</f>
        <v>1.8092284470536558E-2</v>
      </c>
      <c r="L234" s="50"/>
      <c r="M234" s="207">
        <v>3521657</v>
      </c>
      <c r="N234" s="207">
        <v>88123.673691005664</v>
      </c>
      <c r="O234" s="49">
        <f t="shared" si="277"/>
        <v>66286.799691005668</v>
      </c>
      <c r="P234" s="50">
        <f t="shared" si="278"/>
        <v>0.75220195566780168</v>
      </c>
      <c r="Q234" s="50">
        <f t="shared" si="279"/>
        <v>0.24779804433219832</v>
      </c>
      <c r="R234" s="50">
        <f t="shared" si="280"/>
        <v>0</v>
      </c>
      <c r="S234" s="50">
        <f t="shared" si="281"/>
        <v>0.24779804433219832</v>
      </c>
      <c r="T234" s="50">
        <f t="shared" si="323"/>
        <v>-0.24779804433219832</v>
      </c>
      <c r="U234" s="298"/>
      <c r="V234" s="298"/>
      <c r="W234" s="298"/>
      <c r="X234" s="113"/>
      <c r="Y234" s="113"/>
      <c r="Z234" s="113"/>
      <c r="AA234" s="113"/>
      <c r="AB234" s="113"/>
      <c r="AC234" s="113"/>
      <c r="AD234" s="113"/>
      <c r="AE234" s="113"/>
      <c r="AF234" s="113"/>
      <c r="AG234" s="113"/>
      <c r="AH234" s="113"/>
      <c r="AI234" s="113"/>
      <c r="AJ234" s="113"/>
      <c r="AK234" s="113"/>
      <c r="AL234" s="113"/>
      <c r="AM234" s="113"/>
      <c r="AN234" s="113"/>
      <c r="AO234" s="113"/>
      <c r="AP234" s="113"/>
      <c r="AQ234" s="113"/>
      <c r="AR234" s="113"/>
      <c r="AS234" s="113"/>
      <c r="AT234" s="113"/>
      <c r="AU234" s="113"/>
      <c r="AV234" s="113"/>
      <c r="AW234" s="113"/>
      <c r="AX234" s="113"/>
      <c r="AY234" s="113"/>
      <c r="AZ234" s="113"/>
      <c r="BA234" s="113"/>
    </row>
    <row r="235" spans="2:53" x14ac:dyDescent="0.25">
      <c r="B235" s="47">
        <f t="shared" si="282"/>
        <v>1</v>
      </c>
      <c r="C235" s="47">
        <f t="shared" si="321"/>
        <v>10</v>
      </c>
      <c r="D235" s="47" t="str">
        <f t="shared" si="388"/>
        <v>Portland</v>
      </c>
      <c r="E235" s="48">
        <v>2012</v>
      </c>
      <c r="F235" s="207">
        <v>807.9</v>
      </c>
      <c r="G235" s="50">
        <f t="shared" si="275"/>
        <v>0.48919262465798641</v>
      </c>
      <c r="H235" s="49"/>
      <c r="I235" s="49"/>
      <c r="J235" s="207">
        <v>25189.530000000002</v>
      </c>
      <c r="K235" s="50">
        <f t="shared" ref="K235" si="398">J235/$J$477</f>
        <v>2.0231134749820915E-2</v>
      </c>
      <c r="L235" s="50"/>
      <c r="M235" s="207">
        <v>3462116</v>
      </c>
      <c r="N235" s="207">
        <v>70201.405888860507</v>
      </c>
      <c r="O235" s="49">
        <f t="shared" si="277"/>
        <v>45011.875888860508</v>
      </c>
      <c r="P235" s="50">
        <f t="shared" si="278"/>
        <v>0.64118197234000052</v>
      </c>
      <c r="Q235" s="50">
        <f t="shared" si="279"/>
        <v>0.35881802765999948</v>
      </c>
      <c r="R235" s="50">
        <f t="shared" si="280"/>
        <v>0</v>
      </c>
      <c r="S235" s="50">
        <f t="shared" si="281"/>
        <v>0.35881802765999948</v>
      </c>
      <c r="T235" s="50">
        <f t="shared" si="323"/>
        <v>-0.35881802765999948</v>
      </c>
      <c r="U235" s="298"/>
      <c r="V235" s="298"/>
      <c r="W235" s="298"/>
      <c r="X235" s="113"/>
      <c r="Y235" s="113"/>
      <c r="Z235" s="113"/>
      <c r="AA235" s="113"/>
      <c r="AB235" s="113"/>
      <c r="AC235" s="113"/>
      <c r="AD235" s="113"/>
      <c r="AE235" s="113"/>
      <c r="AF235" s="113"/>
      <c r="AG235" s="113"/>
      <c r="AH235" s="113"/>
      <c r="AI235" s="113"/>
      <c r="AJ235" s="113"/>
      <c r="AK235" s="113"/>
      <c r="AL235" s="113"/>
      <c r="AM235" s="113"/>
      <c r="AN235" s="113"/>
      <c r="AO235" s="113"/>
      <c r="AP235" s="113"/>
      <c r="AQ235" s="113"/>
      <c r="AR235" s="113"/>
      <c r="AS235" s="113"/>
      <c r="AT235" s="113"/>
      <c r="AU235" s="113"/>
      <c r="AV235" s="113"/>
      <c r="AW235" s="113"/>
      <c r="AX235" s="113"/>
      <c r="AY235" s="113"/>
      <c r="AZ235" s="113"/>
      <c r="BA235" s="113"/>
    </row>
    <row r="236" spans="2:53" x14ac:dyDescent="0.25">
      <c r="B236" s="47">
        <f t="shared" si="282"/>
        <v>1</v>
      </c>
      <c r="C236" s="47">
        <f t="shared" si="321"/>
        <v>10</v>
      </c>
      <c r="D236" s="47" t="str">
        <f t="shared" si="388"/>
        <v>Portland</v>
      </c>
      <c r="E236" s="48">
        <v>2013</v>
      </c>
      <c r="F236" s="207">
        <v>807.9</v>
      </c>
      <c r="G236" s="50">
        <f t="shared" si="275"/>
        <v>0.42414490242191688</v>
      </c>
      <c r="H236" s="47"/>
      <c r="I236" s="47"/>
      <c r="J236" s="207">
        <v>26289.838800000001</v>
      </c>
      <c r="K236" s="50">
        <f t="shared" ref="K236" si="399">J236/$J$478</f>
        <v>2.1148233077284685E-2</v>
      </c>
      <c r="L236" s="47"/>
      <c r="M236" s="207">
        <v>3001760</v>
      </c>
      <c r="N236" s="207">
        <v>95248.646743366451</v>
      </c>
      <c r="O236" s="49">
        <f t="shared" si="277"/>
        <v>68958.807943366453</v>
      </c>
      <c r="P236" s="50">
        <f t="shared" si="278"/>
        <v>0.72398727227239124</v>
      </c>
      <c r="Q236" s="50">
        <f t="shared" si="279"/>
        <v>0.27601272772760876</v>
      </c>
      <c r="R236" s="50">
        <f t="shared" si="280"/>
        <v>0</v>
      </c>
      <c r="S236" s="50">
        <f t="shared" si="281"/>
        <v>0.27601272772760876</v>
      </c>
      <c r="T236" s="50">
        <f t="shared" si="323"/>
        <v>-0.27601272772760876</v>
      </c>
      <c r="U236" s="298"/>
      <c r="V236" s="298"/>
      <c r="W236" s="298"/>
      <c r="X236" s="113"/>
      <c r="Y236" s="113"/>
      <c r="Z236" s="113"/>
      <c r="AA236" s="113"/>
      <c r="AB236" s="113"/>
      <c r="AC236" s="113"/>
      <c r="AD236" s="113"/>
      <c r="AE236" s="113"/>
      <c r="AF236" s="113"/>
      <c r="AG236" s="113"/>
      <c r="AH236" s="113"/>
      <c r="AI236" s="113"/>
      <c r="AJ236" s="113"/>
      <c r="AK236" s="113"/>
      <c r="AL236" s="113"/>
      <c r="AM236" s="113"/>
      <c r="AN236" s="113"/>
      <c r="AO236" s="113"/>
      <c r="AP236" s="113"/>
      <c r="AQ236" s="113"/>
      <c r="AR236" s="113"/>
      <c r="AS236" s="113"/>
      <c r="AT236" s="113"/>
      <c r="AU236" s="113"/>
      <c r="AV236" s="113"/>
      <c r="AW236" s="113"/>
      <c r="AX236" s="113"/>
      <c r="AY236" s="113"/>
      <c r="AZ236" s="113"/>
      <c r="BA236" s="113"/>
    </row>
    <row r="237" spans="2:53" x14ac:dyDescent="0.25">
      <c r="B237" s="47">
        <f t="shared" si="282"/>
        <v>1</v>
      </c>
      <c r="C237" s="47">
        <f t="shared" si="321"/>
        <v>10</v>
      </c>
      <c r="D237" s="47" t="str">
        <f>D234</f>
        <v>Portland</v>
      </c>
      <c r="E237" s="48">
        <v>2014</v>
      </c>
      <c r="F237" s="207">
        <v>889.1</v>
      </c>
      <c r="G237" s="50">
        <f t="shared" si="275"/>
        <v>0.4064561207809036</v>
      </c>
      <c r="H237" s="47"/>
      <c r="I237" s="47"/>
      <c r="J237" s="207">
        <v>30343.953600000001</v>
      </c>
      <c r="K237" s="50">
        <f t="shared" ref="K237" si="400">J237/$J$479</f>
        <v>2.4320240785034232E-2</v>
      </c>
      <c r="L237" s="47"/>
      <c r="M237" s="207">
        <v>3165690</v>
      </c>
      <c r="N237" s="207">
        <v>109800.86179693973</v>
      </c>
      <c r="O237" s="49">
        <f t="shared" si="277"/>
        <v>79456.908196939738</v>
      </c>
      <c r="P237" s="50">
        <f t="shared" si="278"/>
        <v>0.72364557888337344</v>
      </c>
      <c r="Q237" s="50">
        <f t="shared" si="279"/>
        <v>0.27635442111662656</v>
      </c>
      <c r="R237" s="50">
        <f t="shared" si="280"/>
        <v>0</v>
      </c>
      <c r="S237" s="50">
        <f t="shared" si="281"/>
        <v>0.27635442111662656</v>
      </c>
      <c r="T237" s="50">
        <f t="shared" si="323"/>
        <v>-0.27635442111662656</v>
      </c>
      <c r="U237" s="298"/>
      <c r="V237" s="298"/>
      <c r="W237" s="298"/>
      <c r="X237" s="113"/>
      <c r="Y237" s="113"/>
      <c r="Z237" s="113"/>
      <c r="AA237" s="113"/>
      <c r="AB237" s="113"/>
      <c r="AC237" s="113"/>
      <c r="AD237" s="113"/>
      <c r="AE237" s="113"/>
      <c r="AF237" s="113"/>
      <c r="AG237" s="113"/>
      <c r="AH237" s="113"/>
      <c r="AI237" s="113"/>
      <c r="AJ237" s="113"/>
      <c r="AK237" s="113"/>
      <c r="AL237" s="113"/>
      <c r="AM237" s="113"/>
      <c r="AN237" s="113"/>
      <c r="AO237" s="113"/>
      <c r="AP237" s="113"/>
      <c r="AQ237" s="113"/>
      <c r="AR237" s="113"/>
      <c r="AS237" s="113"/>
      <c r="AT237" s="113"/>
      <c r="AU237" s="113"/>
      <c r="AV237" s="113"/>
      <c r="AW237" s="113"/>
      <c r="AX237" s="113"/>
      <c r="AY237" s="113"/>
      <c r="AZ237" s="113"/>
      <c r="BA237" s="113"/>
    </row>
    <row r="238" spans="2:53" x14ac:dyDescent="0.25">
      <c r="B238" s="47">
        <f t="shared" si="282"/>
        <v>1</v>
      </c>
      <c r="C238" s="47">
        <f t="shared" si="321"/>
        <v>10</v>
      </c>
      <c r="D238" s="47" t="str">
        <f>D235</f>
        <v>Portland</v>
      </c>
      <c r="E238" s="48">
        <v>2015</v>
      </c>
      <c r="F238" s="207">
        <v>889.1</v>
      </c>
      <c r="G238" s="50">
        <f t="shared" si="275"/>
        <v>0.35575365063126274</v>
      </c>
      <c r="H238" s="47"/>
      <c r="I238" s="47"/>
      <c r="J238" s="207">
        <v>28849.789200000003</v>
      </c>
      <c r="K238" s="50">
        <f t="shared" ref="K238" si="401">J238/$J$480</f>
        <v>2.1889782615261685E-2</v>
      </c>
      <c r="L238" s="47"/>
      <c r="M238" s="207">
        <v>2770793</v>
      </c>
      <c r="N238" s="207">
        <v>61853.488823509062</v>
      </c>
      <c r="O238" s="49">
        <f t="shared" si="277"/>
        <v>33003.699623509063</v>
      </c>
      <c r="P238" s="50">
        <f t="shared" si="278"/>
        <v>0.53357862670739331</v>
      </c>
      <c r="Q238" s="50">
        <f t="shared" si="279"/>
        <v>0.46642137329260669</v>
      </c>
      <c r="R238" s="50">
        <f t="shared" si="280"/>
        <v>0</v>
      </c>
      <c r="S238" s="50">
        <f t="shared" si="281"/>
        <v>0.46642137329260669</v>
      </c>
      <c r="T238" s="50">
        <f t="shared" si="323"/>
        <v>-0.46642137329260669</v>
      </c>
      <c r="U238" s="298"/>
      <c r="V238" s="298"/>
      <c r="W238" s="298"/>
      <c r="X238" s="113"/>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3"/>
    </row>
    <row r="239" spans="2:53" x14ac:dyDescent="0.25">
      <c r="B239" s="47">
        <f t="shared" si="282"/>
        <v>1</v>
      </c>
      <c r="C239" s="47">
        <f t="shared" si="321"/>
        <v>10</v>
      </c>
      <c r="D239" s="47" t="str">
        <f>D236</f>
        <v>Portland</v>
      </c>
      <c r="E239" s="48">
        <v>2016</v>
      </c>
      <c r="F239" s="207">
        <v>889.1</v>
      </c>
      <c r="G239" s="50">
        <f t="shared" si="275"/>
        <v>0.38021671907716437</v>
      </c>
      <c r="H239" s="47"/>
      <c r="I239" s="47"/>
      <c r="J239" s="207">
        <v>33725.7984</v>
      </c>
      <c r="K239" s="50">
        <f t="shared" ref="K239" si="402">J239/$J$481</f>
        <v>2.5340855855315893E-2</v>
      </c>
      <c r="L239" s="47"/>
      <c r="M239" s="207">
        <v>2961324</v>
      </c>
      <c r="N239" s="207">
        <v>57613.204533495351</v>
      </c>
      <c r="O239" s="49">
        <f t="shared" si="277"/>
        <v>23887.406133495351</v>
      </c>
      <c r="P239" s="50">
        <f t="shared" si="278"/>
        <v>0.41461686304235368</v>
      </c>
      <c r="Q239" s="50">
        <f t="shared" si="279"/>
        <v>0.58538313695764632</v>
      </c>
      <c r="R239" s="50">
        <f t="shared" si="280"/>
        <v>0</v>
      </c>
      <c r="S239" s="50">
        <f t="shared" si="281"/>
        <v>0.58538313695764632</v>
      </c>
      <c r="T239" s="50">
        <f t="shared" si="323"/>
        <v>-0.58538313695764632</v>
      </c>
      <c r="U239" s="298"/>
      <c r="V239" s="298"/>
      <c r="W239" s="298"/>
      <c r="X239" s="113"/>
      <c r="Y239" s="113"/>
      <c r="Z239" s="113"/>
      <c r="AA239" s="113"/>
      <c r="AB239" s="113"/>
      <c r="AC239" s="113"/>
      <c r="AD239" s="113"/>
      <c r="AE239" s="113"/>
      <c r="AF239" s="113"/>
      <c r="AG239" s="113"/>
      <c r="AH239" s="113"/>
      <c r="AI239" s="113"/>
      <c r="AJ239" s="113"/>
      <c r="AK239" s="113"/>
      <c r="AL239" s="113"/>
      <c r="AM239" s="113"/>
      <c r="AN239" s="113"/>
      <c r="AO239" s="113"/>
      <c r="AP239" s="113"/>
      <c r="AQ239" s="113"/>
      <c r="AR239" s="113"/>
      <c r="AS239" s="113"/>
      <c r="AT239" s="113"/>
      <c r="AU239" s="113"/>
      <c r="AV239" s="113"/>
      <c r="AW239" s="113"/>
      <c r="AX239" s="113"/>
      <c r="AY239" s="113"/>
      <c r="AZ239" s="113"/>
      <c r="BA239" s="113"/>
    </row>
    <row r="240" spans="2:53" x14ac:dyDescent="0.25">
      <c r="B240" s="47">
        <f t="shared" si="282"/>
        <v>1</v>
      </c>
      <c r="C240" s="47">
        <f t="shared" si="321"/>
        <v>10</v>
      </c>
      <c r="D240" s="47" t="str">
        <f>D236</f>
        <v>Portland</v>
      </c>
      <c r="E240" s="48">
        <v>2017</v>
      </c>
      <c r="F240" s="207">
        <v>889.1</v>
      </c>
      <c r="G240" s="50">
        <f t="shared" si="275"/>
        <v>0.4178457102739469</v>
      </c>
      <c r="H240" s="47"/>
      <c r="I240" s="47"/>
      <c r="J240" s="207">
        <v>31631.651999999998</v>
      </c>
      <c r="K240" s="50">
        <f t="shared" ref="K240" si="403">J240/$J$482</f>
        <v>2.429510794788925E-2</v>
      </c>
      <c r="L240" s="47"/>
      <c r="M240" s="207">
        <v>3254398</v>
      </c>
      <c r="N240" s="207">
        <v>74553.815378622356</v>
      </c>
      <c r="O240" s="49">
        <f t="shared" si="277"/>
        <v>42922.163378622354</v>
      </c>
      <c r="P240" s="50">
        <f t="shared" si="278"/>
        <v>0.57572054710602916</v>
      </c>
      <c r="Q240" s="50">
        <f t="shared" si="279"/>
        <v>0.42427945289397084</v>
      </c>
      <c r="R240" s="50">
        <f t="shared" si="280"/>
        <v>0</v>
      </c>
      <c r="S240" s="50">
        <f t="shared" si="281"/>
        <v>0.42427945289397084</v>
      </c>
      <c r="T240" s="50">
        <f t="shared" si="323"/>
        <v>-0.42427945289397084</v>
      </c>
      <c r="U240" s="298"/>
      <c r="V240" s="298"/>
      <c r="W240" s="298"/>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row>
    <row r="241" spans="2:53" x14ac:dyDescent="0.25">
      <c r="B241" s="47">
        <f t="shared" si="282"/>
        <v>1</v>
      </c>
      <c r="C241" s="47">
        <f t="shared" si="321"/>
        <v>10</v>
      </c>
      <c r="D241" s="47" t="str">
        <f t="shared" ref="D241:D242" si="404">D240</f>
        <v>Portland</v>
      </c>
      <c r="E241" s="48">
        <v>2018</v>
      </c>
      <c r="F241" s="207">
        <v>889.1</v>
      </c>
      <c r="G241" s="50">
        <f t="shared" ref="G241" si="405">M241/(F241*8760)</f>
        <v>0.34273262069436589</v>
      </c>
      <c r="H241" s="47"/>
      <c r="I241" s="47"/>
      <c r="J241" s="207">
        <v>31872.977999999992</v>
      </c>
      <c r="K241" s="50">
        <f t="shared" ref="K241" si="406">J241/$J$483</f>
        <v>2.271605681719854E-2</v>
      </c>
      <c r="L241" s="47"/>
      <c r="M241" s="208">
        <v>2669378.5</v>
      </c>
      <c r="N241" s="207">
        <v>74961.810060943826</v>
      </c>
      <c r="O241" s="49">
        <f t="shared" ref="O241:O243" si="407">N241-J241</f>
        <v>43088.832060943838</v>
      </c>
      <c r="P241" s="50">
        <f t="shared" ref="P241:P243" si="408">O241/N241</f>
        <v>0.57481045382859208</v>
      </c>
      <c r="Q241" s="50">
        <f t="shared" ref="Q241:Q243" si="409">1-P241</f>
        <v>0.42518954617140792</v>
      </c>
      <c r="R241" s="50">
        <f t="shared" ref="R241:R243" si="410">Q241*L241</f>
        <v>0</v>
      </c>
      <c r="S241" s="50">
        <f t="shared" ref="S241:S243" si="411">Q241-R241</f>
        <v>0.42518954617140792</v>
      </c>
      <c r="T241" s="50">
        <f t="shared" ref="T241:T243" si="412">R241-S241</f>
        <v>-0.42518954617140792</v>
      </c>
      <c r="U241" s="298"/>
      <c r="V241" s="298"/>
      <c r="W241" s="298"/>
      <c r="X241" s="113"/>
      <c r="Y241" s="113"/>
      <c r="Z241" s="113"/>
      <c r="AA241" s="113"/>
      <c r="AB241" s="113"/>
      <c r="AC241" s="113"/>
      <c r="AD241" s="113"/>
      <c r="AE241" s="113"/>
      <c r="AF241" s="113"/>
      <c r="AG241" s="113"/>
      <c r="AH241" s="113"/>
      <c r="AI241" s="113"/>
      <c r="AJ241" s="113"/>
      <c r="AK241" s="113"/>
      <c r="AL241" s="113"/>
      <c r="AM241" s="113"/>
      <c r="AN241" s="113"/>
      <c r="AO241" s="113"/>
      <c r="AP241" s="113"/>
      <c r="AQ241" s="113"/>
      <c r="AR241" s="113"/>
      <c r="AS241" s="113"/>
      <c r="AT241" s="113"/>
      <c r="AU241" s="113"/>
      <c r="AV241" s="113"/>
      <c r="AW241" s="113"/>
      <c r="AX241" s="113"/>
      <c r="AY241" s="113"/>
      <c r="AZ241" s="113"/>
      <c r="BA241" s="113"/>
    </row>
    <row r="242" spans="2:53" x14ac:dyDescent="0.25">
      <c r="B242" s="47">
        <f t="shared" si="282"/>
        <v>1</v>
      </c>
      <c r="C242" s="47">
        <f t="shared" si="321"/>
        <v>10</v>
      </c>
      <c r="D242" s="47" t="str">
        <f t="shared" si="404"/>
        <v>Portland</v>
      </c>
      <c r="E242" s="48">
        <v>2019</v>
      </c>
      <c r="F242" s="207">
        <v>978.56000000000006</v>
      </c>
      <c r="G242" s="50">
        <f t="shared" si="275"/>
        <v>0.3103290250738388</v>
      </c>
      <c r="H242" s="47"/>
      <c r="I242" s="47"/>
      <c r="J242" s="207">
        <v>34431.782400000004</v>
      </c>
      <c r="K242" s="50">
        <f t="shared" ref="K242" si="413">J242/$J$484</f>
        <v>2.5005271523203636E-2</v>
      </c>
      <c r="L242" s="47"/>
      <c r="M242" s="207">
        <v>2660198</v>
      </c>
      <c r="N242" s="207">
        <v>70900.457159823098</v>
      </c>
      <c r="O242" s="49">
        <f t="shared" si="407"/>
        <v>36468.674759823094</v>
      </c>
      <c r="P242" s="50">
        <f t="shared" si="408"/>
        <v>0.51436445152413857</v>
      </c>
      <c r="Q242" s="50">
        <f t="shared" si="409"/>
        <v>0.48563554847586143</v>
      </c>
      <c r="R242" s="50">
        <f t="shared" si="410"/>
        <v>0</v>
      </c>
      <c r="S242" s="50">
        <f t="shared" si="411"/>
        <v>0.48563554847586143</v>
      </c>
      <c r="T242" s="50">
        <f t="shared" si="412"/>
        <v>-0.48563554847586143</v>
      </c>
      <c r="U242" s="298"/>
      <c r="V242" s="298"/>
      <c r="W242" s="298"/>
      <c r="X242" s="113"/>
      <c r="Y242" s="113"/>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row>
    <row r="243" spans="2:53" x14ac:dyDescent="0.25">
      <c r="B243" s="47">
        <f t="shared" si="282"/>
        <v>1</v>
      </c>
      <c r="C243" s="47">
        <f t="shared" si="321"/>
        <v>10</v>
      </c>
      <c r="D243" s="47" t="str">
        <f>D240</f>
        <v>Portland</v>
      </c>
      <c r="E243" s="48">
        <v>2020</v>
      </c>
      <c r="F243" s="207">
        <v>978.56000000000006</v>
      </c>
      <c r="G243" s="50">
        <f t="shared" si="275"/>
        <v>0.27066446158141982</v>
      </c>
      <c r="H243" s="47"/>
      <c r="I243" s="47"/>
      <c r="J243" s="207">
        <v>34313.2068</v>
      </c>
      <c r="K243" s="50">
        <f t="shared" ref="K243" si="414">J243/$J$485</f>
        <v>2.4775523711309651E-2</v>
      </c>
      <c r="L243" s="47"/>
      <c r="M243" s="207">
        <v>2320186</v>
      </c>
      <c r="N243" s="207">
        <v>42309.512745884291</v>
      </c>
      <c r="O243" s="49">
        <f t="shared" si="407"/>
        <v>7996.3059458842908</v>
      </c>
      <c r="P243" s="50">
        <f t="shared" si="408"/>
        <v>0.18899546288587643</v>
      </c>
      <c r="Q243" s="50">
        <f t="shared" si="409"/>
        <v>0.81100453711412357</v>
      </c>
      <c r="R243" s="50">
        <f t="shared" si="410"/>
        <v>0</v>
      </c>
      <c r="S243" s="50">
        <f t="shared" si="411"/>
        <v>0.81100453711412357</v>
      </c>
      <c r="T243" s="50">
        <f t="shared" si="412"/>
        <v>-0.81100453711412357</v>
      </c>
      <c r="U243" s="298"/>
      <c r="V243" s="298"/>
      <c r="W243" s="298"/>
      <c r="X243" s="113"/>
      <c r="Y243" s="113"/>
      <c r="Z243" s="113"/>
      <c r="AA243" s="113"/>
      <c r="AB243" s="113"/>
      <c r="AC243" s="113"/>
      <c r="AD243" s="113"/>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row>
    <row r="244" spans="2:53" x14ac:dyDescent="0.25">
      <c r="B244" s="47">
        <f t="shared" si="282"/>
        <v>1</v>
      </c>
      <c r="C244" s="47">
        <f t="shared" si="321"/>
        <v>10</v>
      </c>
      <c r="D244" s="47" t="str">
        <f>D241</f>
        <v>Portland</v>
      </c>
      <c r="E244" s="48">
        <v>2021</v>
      </c>
      <c r="F244" s="207">
        <v>978.59999999999991</v>
      </c>
      <c r="G244" s="50">
        <f t="shared" si="275"/>
        <v>0.25100361199999627</v>
      </c>
      <c r="H244" s="47"/>
      <c r="I244" s="47"/>
      <c r="J244" s="207">
        <v>37134.367200000001</v>
      </c>
      <c r="K244" s="50">
        <f t="shared" ref="K244" si="415">J244/$J$486</f>
        <v>2.5627857671837638E-2</v>
      </c>
      <c r="L244" s="47"/>
      <c r="M244" s="207">
        <v>2151737.5</v>
      </c>
      <c r="N244" s="207">
        <v>135214.22551217632</v>
      </c>
      <c r="O244" s="49">
        <f t="shared" ref="O244:O246" si="416">N244-J244</f>
        <v>98079.858312176308</v>
      </c>
      <c r="P244" s="50">
        <f t="shared" ref="P244:P246" si="417">O244/N244</f>
        <v>0.72536641718473638</v>
      </c>
      <c r="Q244" s="50">
        <f t="shared" ref="Q244:Q246" si="418">1-P244</f>
        <v>0.27463358281526362</v>
      </c>
      <c r="R244" s="50">
        <f t="shared" ref="R244:R246" si="419">Q244*L244</f>
        <v>0</v>
      </c>
      <c r="S244" s="50">
        <f t="shared" ref="S244:S246" si="420">Q244-R244</f>
        <v>0.27463358281526362</v>
      </c>
      <c r="T244" s="50">
        <f t="shared" ref="T244:T246" si="421">R244-S244</f>
        <v>-0.27463358281526362</v>
      </c>
      <c r="U244" s="298"/>
      <c r="V244" s="298"/>
      <c r="W244" s="298"/>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row>
    <row r="245" spans="2:53" x14ac:dyDescent="0.25">
      <c r="B245" s="47">
        <f t="shared" si="282"/>
        <v>1</v>
      </c>
      <c r="C245" s="47">
        <f t="shared" si="321"/>
        <v>10</v>
      </c>
      <c r="D245" s="47" t="str">
        <f>D242</f>
        <v>Portland</v>
      </c>
      <c r="E245" s="48">
        <v>2022</v>
      </c>
      <c r="F245" s="207">
        <v>898.2</v>
      </c>
      <c r="G245" s="50">
        <f t="shared" si="275"/>
        <v>0.26928636344225743</v>
      </c>
      <c r="H245" s="47"/>
      <c r="I245" s="47"/>
      <c r="J245" s="207">
        <v>37771.900799999996</v>
      </c>
      <c r="K245" s="50">
        <f t="shared" ref="K245" si="422">J245/$J$487</f>
        <v>2.5692639196204514E-2</v>
      </c>
      <c r="L245" s="47"/>
      <c r="M245" s="207">
        <v>2118807.5819999999</v>
      </c>
      <c r="N245" s="207">
        <v>146182.36369086895</v>
      </c>
      <c r="O245" s="49">
        <f t="shared" si="416"/>
        <v>108410.46289086895</v>
      </c>
      <c r="P245" s="50">
        <f t="shared" si="417"/>
        <v>0.7416110955773294</v>
      </c>
      <c r="Q245" s="50">
        <f t="shared" si="418"/>
        <v>0.2583889044226706</v>
      </c>
      <c r="R245" s="50">
        <f t="shared" si="419"/>
        <v>0</v>
      </c>
      <c r="S245" s="50">
        <f t="shared" si="420"/>
        <v>0.2583889044226706</v>
      </c>
      <c r="T245" s="50">
        <f t="shared" si="421"/>
        <v>-0.2583889044226706</v>
      </c>
      <c r="U245" s="298"/>
      <c r="V245" s="298"/>
      <c r="W245" s="298"/>
      <c r="X245" s="113"/>
      <c r="Y245" s="113"/>
      <c r="Z245" s="113"/>
      <c r="AA245" s="113"/>
      <c r="AB245" s="113"/>
      <c r="AC245" s="113"/>
      <c r="AD245" s="113"/>
      <c r="AE245" s="113"/>
      <c r="AF245" s="113"/>
      <c r="AG245" s="113"/>
      <c r="AH245" s="113"/>
      <c r="AI245" s="113"/>
      <c r="AJ245" s="113"/>
      <c r="AK245" s="113"/>
      <c r="AL245" s="113"/>
      <c r="AM245" s="113"/>
      <c r="AN245" s="113"/>
      <c r="AO245" s="113"/>
      <c r="AP245" s="113"/>
      <c r="AQ245" s="113"/>
      <c r="AR245" s="113"/>
      <c r="AS245" s="113"/>
      <c r="AT245" s="113"/>
      <c r="AU245" s="113"/>
      <c r="AV245" s="113"/>
      <c r="AW245" s="113"/>
      <c r="AX245" s="113"/>
      <c r="AY245" s="113"/>
      <c r="AZ245" s="113"/>
      <c r="BA245" s="113"/>
    </row>
    <row r="246" spans="2:53" x14ac:dyDescent="0.25">
      <c r="B246" s="47">
        <f t="shared" si="282"/>
        <v>1</v>
      </c>
      <c r="C246" s="47">
        <f t="shared" si="321"/>
        <v>10</v>
      </c>
      <c r="D246" s="47" t="str">
        <f>D242</f>
        <v>Portland</v>
      </c>
      <c r="E246" s="48">
        <v>2023</v>
      </c>
      <c r="F246" s="207">
        <v>924.19999999999993</v>
      </c>
      <c r="G246" s="50">
        <f t="shared" si="275"/>
        <v>0.28149954619520379</v>
      </c>
      <c r="H246" s="47"/>
      <c r="I246" s="47"/>
      <c r="J246" s="207">
        <v>35612.446799999998</v>
      </c>
      <c r="K246" s="50">
        <f t="shared" ref="K246" si="423">J246/$J$488</f>
        <v>2.2295049917832838E-2</v>
      </c>
      <c r="L246" s="47"/>
      <c r="M246" s="208">
        <v>2279018.074</v>
      </c>
      <c r="N246" s="207">
        <v>159513.65716604414</v>
      </c>
      <c r="O246" s="49">
        <f t="shared" si="416"/>
        <v>123901.21036604414</v>
      </c>
      <c r="P246" s="50">
        <f t="shared" si="417"/>
        <v>0.77674358777361874</v>
      </c>
      <c r="Q246" s="50">
        <f t="shared" si="418"/>
        <v>0.22325641222638126</v>
      </c>
      <c r="R246" s="50">
        <f t="shared" si="419"/>
        <v>0</v>
      </c>
      <c r="S246" s="50">
        <f t="shared" si="420"/>
        <v>0.22325641222638126</v>
      </c>
      <c r="T246" s="50">
        <f t="shared" si="421"/>
        <v>-0.22325641222638126</v>
      </c>
      <c r="U246" s="298"/>
      <c r="V246" s="298"/>
      <c r="W246" s="298"/>
      <c r="X246" s="113"/>
      <c r="Y246" s="113"/>
      <c r="Z246" s="113"/>
      <c r="AA246" s="113"/>
      <c r="AB246" s="113"/>
      <c r="AC246" s="113"/>
      <c r="AD246" s="113"/>
      <c r="AE246" s="113"/>
      <c r="AF246" s="113"/>
      <c r="AG246" s="113"/>
      <c r="AH246" s="113"/>
      <c r="AI246" s="113"/>
      <c r="AJ246" s="113"/>
      <c r="AK246" s="113"/>
      <c r="AL246" s="113"/>
      <c r="AM246" s="113"/>
      <c r="AN246" s="113"/>
      <c r="AO246" s="113"/>
      <c r="AP246" s="113"/>
      <c r="AQ246" s="113"/>
      <c r="AR246" s="113"/>
      <c r="AS246" s="113"/>
      <c r="AT246" s="113"/>
      <c r="AU246" s="113"/>
      <c r="AV246" s="113"/>
      <c r="AW246" s="113"/>
      <c r="AX246" s="113"/>
      <c r="AY246" s="113"/>
      <c r="AZ246" s="113"/>
      <c r="BA246" s="113"/>
    </row>
    <row r="247" spans="2:53" x14ac:dyDescent="0.25">
      <c r="B247" s="44">
        <f t="shared" si="282"/>
        <v>1</v>
      </c>
      <c r="C247" s="44">
        <f t="shared" si="321"/>
        <v>11</v>
      </c>
      <c r="D247" s="44" t="str">
        <f>'OPG hydro peers'!D15</f>
        <v>Ameren MI - Union</v>
      </c>
      <c r="E247" s="45">
        <v>2002</v>
      </c>
      <c r="F247" s="206">
        <v>740.8</v>
      </c>
      <c r="G247" s="51">
        <f t="shared" si="275"/>
        <v>0.27237137809797135</v>
      </c>
      <c r="H247" s="46"/>
      <c r="I247" s="46"/>
      <c r="J247" s="206">
        <v>13236.5268</v>
      </c>
      <c r="K247" s="51">
        <f t="shared" ref="K247" si="424">J247/$J$467</f>
        <v>1.7249526799451881E-2</v>
      </c>
      <c r="L247" s="51"/>
      <c r="M247" s="206">
        <v>1767529</v>
      </c>
      <c r="N247" s="206">
        <v>30824.617554230284</v>
      </c>
      <c r="O247" s="46">
        <f t="shared" si="277"/>
        <v>17588.090754230285</v>
      </c>
      <c r="P247" s="51">
        <f t="shared" si="278"/>
        <v>0.57058585474052526</v>
      </c>
      <c r="Q247" s="51">
        <f t="shared" si="279"/>
        <v>0.42941414525947474</v>
      </c>
      <c r="R247" s="51">
        <f t="shared" si="280"/>
        <v>0</v>
      </c>
      <c r="S247" s="51">
        <f t="shared" si="281"/>
        <v>0.42941414525947474</v>
      </c>
      <c r="T247" s="51">
        <f t="shared" si="323"/>
        <v>-0.42941414525947474</v>
      </c>
      <c r="U247" s="298"/>
      <c r="V247" s="298"/>
      <c r="W247" s="298"/>
      <c r="X247" s="113"/>
      <c r="Y247" s="113"/>
      <c r="Z247" s="113"/>
      <c r="AA247" s="113"/>
      <c r="AB247" s="113"/>
      <c r="AC247" s="113"/>
      <c r="AD247" s="113"/>
      <c r="AE247" s="113"/>
      <c r="AF247" s="113"/>
      <c r="AG247" s="113"/>
      <c r="AH247" s="113"/>
      <c r="AI247" s="113"/>
      <c r="AJ247" s="113"/>
      <c r="AK247" s="113"/>
      <c r="AL247" s="113"/>
      <c r="AM247" s="113"/>
      <c r="AN247" s="113"/>
      <c r="AO247" s="113"/>
      <c r="AP247" s="113"/>
      <c r="AQ247" s="113"/>
      <c r="AR247" s="113"/>
      <c r="AS247" s="113"/>
      <c r="AT247" s="113"/>
      <c r="AU247" s="113"/>
      <c r="AV247" s="113"/>
      <c r="AW247" s="113"/>
      <c r="AX247" s="113"/>
      <c r="AY247" s="113"/>
      <c r="AZ247" s="113"/>
      <c r="BA247" s="113"/>
    </row>
    <row r="248" spans="2:53" x14ac:dyDescent="0.25">
      <c r="B248" s="44">
        <f t="shared" si="282"/>
        <v>1</v>
      </c>
      <c r="C248" s="44">
        <f t="shared" si="321"/>
        <v>11</v>
      </c>
      <c r="D248" s="44" t="str">
        <f t="shared" ref="D248:D255" si="425">D247</f>
        <v>Ameren MI - Union</v>
      </c>
      <c r="E248" s="45">
        <v>2003</v>
      </c>
      <c r="F248" s="206">
        <v>740.8</v>
      </c>
      <c r="G248" s="51">
        <f t="shared" si="275"/>
        <v>0.22520405559336076</v>
      </c>
      <c r="H248" s="46"/>
      <c r="I248" s="46"/>
      <c r="J248" s="206">
        <v>10504.508399999999</v>
      </c>
      <c r="K248" s="51">
        <f t="shared" ref="K248" si="426">J248/$J$468</f>
        <v>1.238606177766126E-2</v>
      </c>
      <c r="L248" s="51"/>
      <c r="M248" s="206">
        <v>1461441</v>
      </c>
      <c r="N248" s="206">
        <v>28587.622112966495</v>
      </c>
      <c r="O248" s="46">
        <f t="shared" si="277"/>
        <v>18083.113712966497</v>
      </c>
      <c r="P248" s="51">
        <f t="shared" si="278"/>
        <v>0.6325504668247498</v>
      </c>
      <c r="Q248" s="51">
        <f t="shared" si="279"/>
        <v>0.3674495331752502</v>
      </c>
      <c r="R248" s="51">
        <f t="shared" si="280"/>
        <v>0</v>
      </c>
      <c r="S248" s="51">
        <f t="shared" si="281"/>
        <v>0.3674495331752502</v>
      </c>
      <c r="T248" s="51">
        <f t="shared" si="323"/>
        <v>-0.3674495331752502</v>
      </c>
      <c r="U248" s="298"/>
      <c r="V248" s="298"/>
      <c r="W248" s="298"/>
      <c r="X248" s="113"/>
      <c r="Y248" s="113"/>
      <c r="Z248" s="113"/>
      <c r="AA248" s="113"/>
      <c r="AB248" s="113"/>
      <c r="AC248" s="113"/>
      <c r="AD248" s="113"/>
      <c r="AE248" s="113"/>
      <c r="AF248" s="113"/>
      <c r="AG248" s="113"/>
      <c r="AH248" s="113"/>
      <c r="AI248" s="113"/>
      <c r="AJ248" s="113"/>
      <c r="AK248" s="113"/>
      <c r="AL248" s="113"/>
      <c r="AM248" s="113"/>
      <c r="AN248" s="113"/>
      <c r="AO248" s="113"/>
      <c r="AP248" s="113"/>
      <c r="AQ248" s="113"/>
      <c r="AR248" s="113"/>
      <c r="AS248" s="113"/>
      <c r="AT248" s="113"/>
      <c r="AU248" s="113"/>
      <c r="AV248" s="113"/>
      <c r="AW248" s="113"/>
      <c r="AX248" s="113"/>
      <c r="AY248" s="113"/>
      <c r="AZ248" s="113"/>
      <c r="BA248" s="113"/>
    </row>
    <row r="249" spans="2:53" x14ac:dyDescent="0.25">
      <c r="B249" s="44">
        <f t="shared" si="282"/>
        <v>1</v>
      </c>
      <c r="C249" s="44">
        <f t="shared" si="321"/>
        <v>11</v>
      </c>
      <c r="D249" s="44" t="str">
        <f t="shared" si="425"/>
        <v>Ameren MI - Union</v>
      </c>
      <c r="E249" s="45">
        <v>2004</v>
      </c>
      <c r="F249" s="206">
        <v>740.8</v>
      </c>
      <c r="G249" s="51">
        <f t="shared" si="275"/>
        <v>0.32177465186346738</v>
      </c>
      <c r="H249" s="46"/>
      <c r="I249" s="46"/>
      <c r="J249" s="206">
        <v>12885.6024</v>
      </c>
      <c r="K249" s="51">
        <f t="shared" ref="K249" si="427">J249/$J$469</f>
        <v>1.4582790688616209E-2</v>
      </c>
      <c r="L249" s="51"/>
      <c r="M249" s="206">
        <v>2088127</v>
      </c>
      <c r="N249" s="206">
        <v>57540.663073577314</v>
      </c>
      <c r="O249" s="46">
        <f t="shared" si="277"/>
        <v>44655.060673577318</v>
      </c>
      <c r="P249" s="51">
        <f t="shared" si="278"/>
        <v>0.77606093305662538</v>
      </c>
      <c r="Q249" s="51">
        <f t="shared" si="279"/>
        <v>0.22393906694337462</v>
      </c>
      <c r="R249" s="51">
        <f t="shared" si="280"/>
        <v>0</v>
      </c>
      <c r="S249" s="51">
        <f t="shared" si="281"/>
        <v>0.22393906694337462</v>
      </c>
      <c r="T249" s="51">
        <f t="shared" si="323"/>
        <v>-0.22393906694337462</v>
      </c>
      <c r="U249" s="298"/>
      <c r="V249" s="298"/>
      <c r="W249" s="298"/>
      <c r="X249" s="113"/>
      <c r="Y249" s="113"/>
      <c r="Z249" s="113"/>
      <c r="AA249" s="113"/>
      <c r="AB249" s="113"/>
      <c r="AC249" s="113"/>
      <c r="AD249" s="113"/>
      <c r="AE249" s="113"/>
      <c r="AF249" s="113"/>
      <c r="AG249" s="113"/>
      <c r="AH249" s="113"/>
      <c r="AI249" s="113"/>
      <c r="AJ249" s="113"/>
      <c r="AK249" s="113"/>
      <c r="AL249" s="113"/>
      <c r="AM249" s="113"/>
      <c r="AN249" s="113"/>
      <c r="AO249" s="113"/>
      <c r="AP249" s="113"/>
      <c r="AQ249" s="113"/>
      <c r="AR249" s="113"/>
      <c r="AS249" s="113"/>
      <c r="AT249" s="113"/>
      <c r="AU249" s="113"/>
      <c r="AV249" s="113"/>
      <c r="AW249" s="113"/>
      <c r="AX249" s="113"/>
      <c r="AY249" s="113"/>
      <c r="AZ249" s="113"/>
      <c r="BA249" s="113"/>
    </row>
    <row r="250" spans="2:53" x14ac:dyDescent="0.25">
      <c r="B250" s="44">
        <f t="shared" si="282"/>
        <v>1</v>
      </c>
      <c r="C250" s="44">
        <f t="shared" si="321"/>
        <v>11</v>
      </c>
      <c r="D250" s="44" t="str">
        <f t="shared" si="425"/>
        <v>Ameren MI - Union</v>
      </c>
      <c r="E250" s="45">
        <v>2005</v>
      </c>
      <c r="F250" s="206">
        <v>740.8</v>
      </c>
      <c r="G250" s="51">
        <f t="shared" si="275"/>
        <v>0.31799988535163765</v>
      </c>
      <c r="H250" s="46"/>
      <c r="I250" s="46"/>
      <c r="J250" s="206">
        <v>10675.372799999999</v>
      </c>
      <c r="K250" s="51">
        <f t="shared" ref="K250" si="428">J250/$J$470</f>
        <v>1.1491126583503073E-2</v>
      </c>
      <c r="L250" s="51"/>
      <c r="M250" s="206">
        <v>2063631</v>
      </c>
      <c r="N250" s="206">
        <v>78204.204830981034</v>
      </c>
      <c r="O250" s="46">
        <f t="shared" si="277"/>
        <v>67528.832030981037</v>
      </c>
      <c r="P250" s="51">
        <f t="shared" si="278"/>
        <v>0.86349362130754781</v>
      </c>
      <c r="Q250" s="51">
        <f t="shared" si="279"/>
        <v>0.13650637869245219</v>
      </c>
      <c r="R250" s="51">
        <f t="shared" si="280"/>
        <v>0</v>
      </c>
      <c r="S250" s="51">
        <f t="shared" si="281"/>
        <v>0.13650637869245219</v>
      </c>
      <c r="T250" s="51">
        <f t="shared" si="323"/>
        <v>-0.13650637869245219</v>
      </c>
      <c r="U250" s="298"/>
      <c r="V250" s="298"/>
      <c r="W250" s="298"/>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3"/>
      <c r="AY250" s="113"/>
      <c r="AZ250" s="113"/>
      <c r="BA250" s="113"/>
    </row>
    <row r="251" spans="2:53" x14ac:dyDescent="0.25">
      <c r="B251" s="44">
        <f t="shared" si="282"/>
        <v>1</v>
      </c>
      <c r="C251" s="44">
        <f t="shared" si="321"/>
        <v>11</v>
      </c>
      <c r="D251" s="44" t="str">
        <f t="shared" si="425"/>
        <v>Ameren MI - Union</v>
      </c>
      <c r="E251" s="45">
        <v>2006</v>
      </c>
      <c r="F251" s="206">
        <v>740.8</v>
      </c>
      <c r="G251" s="51">
        <f t="shared" si="275"/>
        <v>0.14724964126157578</v>
      </c>
      <c r="H251" s="46"/>
      <c r="I251" s="46"/>
      <c r="J251" s="206">
        <v>10828.5108</v>
      </c>
      <c r="K251" s="51">
        <f t="shared" ref="K251" si="429">J251/$J$471</f>
        <v>1.1000386397461244E-2</v>
      </c>
      <c r="L251" s="51"/>
      <c r="M251" s="206">
        <v>955563</v>
      </c>
      <c r="N251" s="206">
        <v>48047.963919134818</v>
      </c>
      <c r="O251" s="46">
        <f t="shared" si="277"/>
        <v>37219.453119134821</v>
      </c>
      <c r="P251" s="51">
        <f t="shared" si="278"/>
        <v>0.77463122436937215</v>
      </c>
      <c r="Q251" s="51">
        <f t="shared" si="279"/>
        <v>0.22536877563062785</v>
      </c>
      <c r="R251" s="51">
        <f t="shared" si="280"/>
        <v>0</v>
      </c>
      <c r="S251" s="51">
        <f t="shared" si="281"/>
        <v>0.22536877563062785</v>
      </c>
      <c r="T251" s="51">
        <f t="shared" si="323"/>
        <v>-0.22536877563062785</v>
      </c>
      <c r="U251" s="298"/>
      <c r="V251" s="298"/>
      <c r="W251" s="298"/>
      <c r="X251" s="113"/>
      <c r="Y251" s="113"/>
      <c r="Z251" s="113"/>
      <c r="AA251" s="113"/>
      <c r="AB251" s="113"/>
      <c r="AC251" s="113"/>
      <c r="AD251" s="113"/>
      <c r="AE251" s="113"/>
      <c r="AF251" s="113"/>
      <c r="AG251" s="113"/>
      <c r="AH251" s="113"/>
      <c r="AI251" s="113"/>
      <c r="AJ251" s="113"/>
      <c r="AK251" s="113"/>
      <c r="AL251" s="113"/>
      <c r="AM251" s="113"/>
      <c r="AN251" s="113"/>
      <c r="AO251" s="113"/>
      <c r="AP251" s="113"/>
      <c r="AQ251" s="113"/>
      <c r="AR251" s="113"/>
      <c r="AS251" s="113"/>
      <c r="AT251" s="113"/>
      <c r="AU251" s="113"/>
      <c r="AV251" s="113"/>
      <c r="AW251" s="113"/>
      <c r="AX251" s="113"/>
      <c r="AY251" s="113"/>
      <c r="AZ251" s="113"/>
      <c r="BA251" s="113"/>
    </row>
    <row r="252" spans="2:53" x14ac:dyDescent="0.25">
      <c r="B252" s="44">
        <f t="shared" si="282"/>
        <v>1</v>
      </c>
      <c r="C252" s="44">
        <f t="shared" si="321"/>
        <v>11</v>
      </c>
      <c r="D252" s="44" t="str">
        <f t="shared" si="425"/>
        <v>Ameren MI - Union</v>
      </c>
      <c r="E252" s="45">
        <v>2007</v>
      </c>
      <c r="F252" s="206">
        <v>740.8</v>
      </c>
      <c r="G252" s="51">
        <f t="shared" si="275"/>
        <v>0.24530743020010454</v>
      </c>
      <c r="H252" s="46"/>
      <c r="I252" s="46"/>
      <c r="J252" s="206">
        <v>13877.412</v>
      </c>
      <c r="K252" s="51">
        <f t="shared" ref="K252" si="430">J252/$J$472</f>
        <v>1.3019098479209007E-2</v>
      </c>
      <c r="L252" s="51"/>
      <c r="M252" s="206">
        <v>1591900</v>
      </c>
      <c r="N252" s="206">
        <v>89795.092927767866</v>
      </c>
      <c r="O252" s="46">
        <f t="shared" si="277"/>
        <v>75917.680927767869</v>
      </c>
      <c r="P252" s="51">
        <f t="shared" si="278"/>
        <v>0.84545467299462418</v>
      </c>
      <c r="Q252" s="51">
        <f t="shared" si="279"/>
        <v>0.15454532700537582</v>
      </c>
      <c r="R252" s="51">
        <f t="shared" si="280"/>
        <v>0</v>
      </c>
      <c r="S252" s="51">
        <f t="shared" si="281"/>
        <v>0.15454532700537582</v>
      </c>
      <c r="T252" s="51">
        <f t="shared" si="323"/>
        <v>-0.15454532700537582</v>
      </c>
      <c r="U252" s="298"/>
      <c r="V252" s="298"/>
      <c r="W252" s="298"/>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3"/>
      <c r="AY252" s="113"/>
      <c r="AZ252" s="113"/>
      <c r="BA252" s="113"/>
    </row>
    <row r="253" spans="2:53" x14ac:dyDescent="0.25">
      <c r="B253" s="44">
        <f t="shared" si="282"/>
        <v>1</v>
      </c>
      <c r="C253" s="44">
        <f t="shared" si="321"/>
        <v>11</v>
      </c>
      <c r="D253" s="44" t="str">
        <f t="shared" si="425"/>
        <v>Ameren MI - Union</v>
      </c>
      <c r="E253" s="45">
        <v>2008</v>
      </c>
      <c r="F253" s="206">
        <v>740.8</v>
      </c>
      <c r="G253" s="51">
        <f t="shared" ref="G253:G336" si="431">M253/(F253*8760)</f>
        <v>0.26940593040228017</v>
      </c>
      <c r="H253" s="46"/>
      <c r="I253" s="46"/>
      <c r="J253" s="206">
        <v>17340.665999999997</v>
      </c>
      <c r="K253" s="51">
        <f t="shared" ref="K253" si="432">J253/$J$473</f>
        <v>1.4973734499624957E-2</v>
      </c>
      <c r="L253" s="51"/>
      <c r="M253" s="206">
        <v>1748285</v>
      </c>
      <c r="N253" s="206">
        <v>102982.29361136787</v>
      </c>
      <c r="O253" s="46">
        <f t="shared" ref="O253:O336" si="433">N253-J253</f>
        <v>85641.627611367876</v>
      </c>
      <c r="P253" s="51">
        <f t="shared" ref="P253:P336" si="434">O253/N253</f>
        <v>0.83161507292273185</v>
      </c>
      <c r="Q253" s="51">
        <f t="shared" ref="Q253:Q336" si="435">1-P253</f>
        <v>0.16838492707726815</v>
      </c>
      <c r="R253" s="51">
        <f t="shared" ref="R253:R336" si="436">Q253*L253</f>
        <v>0</v>
      </c>
      <c r="S253" s="51">
        <f t="shared" ref="S253:S336" si="437">Q253-R253</f>
        <v>0.16838492707726815</v>
      </c>
      <c r="T253" s="51">
        <f t="shared" si="323"/>
        <v>-0.16838492707726815</v>
      </c>
      <c r="U253" s="298"/>
      <c r="V253" s="298"/>
      <c r="W253" s="298"/>
      <c r="X253" s="113"/>
      <c r="Y253" s="113"/>
      <c r="Z253" s="113"/>
      <c r="AA253" s="113"/>
      <c r="AB253" s="113"/>
      <c r="AC253" s="113"/>
      <c r="AD253" s="113"/>
      <c r="AE253" s="113"/>
      <c r="AF253" s="113"/>
      <c r="AG253" s="113"/>
      <c r="AH253" s="113"/>
      <c r="AI253" s="113"/>
      <c r="AJ253" s="113"/>
      <c r="AK253" s="113"/>
      <c r="AL253" s="113"/>
      <c r="AM253" s="113"/>
      <c r="AN253" s="113"/>
      <c r="AO253" s="113"/>
      <c r="AP253" s="113"/>
      <c r="AQ253" s="113"/>
      <c r="AR253" s="113"/>
      <c r="AS253" s="113"/>
      <c r="AT253" s="113"/>
      <c r="AU253" s="113"/>
      <c r="AV253" s="113"/>
      <c r="AW253" s="113"/>
      <c r="AX253" s="113"/>
      <c r="AY253" s="113"/>
      <c r="AZ253" s="113"/>
      <c r="BA253" s="113"/>
    </row>
    <row r="254" spans="2:53" x14ac:dyDescent="0.25">
      <c r="B254" s="44">
        <f t="shared" ref="B254:B337" si="438">B253</f>
        <v>1</v>
      </c>
      <c r="C254" s="44">
        <f t="shared" si="321"/>
        <v>11</v>
      </c>
      <c r="D254" s="44" t="str">
        <f t="shared" si="425"/>
        <v>Ameren MI - Union</v>
      </c>
      <c r="E254" s="45">
        <v>2009</v>
      </c>
      <c r="F254" s="206">
        <v>779.01</v>
      </c>
      <c r="G254" s="51">
        <f t="shared" si="431"/>
        <v>0.27885776930665834</v>
      </c>
      <c r="H254" s="46"/>
      <c r="I254" s="46"/>
      <c r="J254" s="206">
        <v>19236.8832</v>
      </c>
      <c r="K254" s="51">
        <f t="shared" ref="K254" si="439">J254/$J$474</f>
        <v>1.6302648199889316E-2</v>
      </c>
      <c r="L254" s="51"/>
      <c r="M254" s="206">
        <v>1902961</v>
      </c>
      <c r="N254" s="206">
        <v>56104.136591710099</v>
      </c>
      <c r="O254" s="46">
        <f t="shared" si="433"/>
        <v>36867.253391710095</v>
      </c>
      <c r="P254" s="51">
        <f t="shared" si="434"/>
        <v>0.65712183862673634</v>
      </c>
      <c r="Q254" s="51">
        <f t="shared" si="435"/>
        <v>0.34287816137326366</v>
      </c>
      <c r="R254" s="51">
        <f t="shared" si="436"/>
        <v>0</v>
      </c>
      <c r="S254" s="51">
        <f t="shared" si="437"/>
        <v>0.34287816137326366</v>
      </c>
      <c r="T254" s="51">
        <f t="shared" si="323"/>
        <v>-0.34287816137326366</v>
      </c>
      <c r="U254" s="298"/>
      <c r="V254" s="298"/>
      <c r="W254" s="298"/>
      <c r="X254" s="113"/>
      <c r="Y254" s="113"/>
      <c r="Z254" s="113"/>
      <c r="AA254" s="113"/>
      <c r="AB254" s="113"/>
      <c r="AC254" s="113"/>
      <c r="AD254" s="113"/>
      <c r="AE254" s="113"/>
      <c r="AF254" s="113"/>
      <c r="AG254" s="113"/>
      <c r="AH254" s="113"/>
      <c r="AI254" s="113"/>
      <c r="AJ254" s="113"/>
      <c r="AK254" s="113"/>
      <c r="AL254" s="113"/>
      <c r="AM254" s="113"/>
      <c r="AN254" s="113"/>
      <c r="AO254" s="113"/>
      <c r="AP254" s="113"/>
      <c r="AQ254" s="113"/>
      <c r="AR254" s="113"/>
      <c r="AS254" s="113"/>
      <c r="AT254" s="113"/>
      <c r="AU254" s="113"/>
      <c r="AV254" s="113"/>
      <c r="AW254" s="113"/>
      <c r="AX254" s="113"/>
      <c r="AY254" s="113"/>
      <c r="AZ254" s="113"/>
      <c r="BA254" s="113"/>
    </row>
    <row r="255" spans="2:53" x14ac:dyDescent="0.25">
      <c r="B255" s="44">
        <f t="shared" si="438"/>
        <v>1</v>
      </c>
      <c r="C255" s="44">
        <f t="shared" si="321"/>
        <v>11</v>
      </c>
      <c r="D255" s="44" t="str">
        <f t="shared" si="425"/>
        <v>Ameren MI - Union</v>
      </c>
      <c r="E255" s="45">
        <v>2010</v>
      </c>
      <c r="F255" s="206">
        <v>779.01</v>
      </c>
      <c r="G255" s="51">
        <f t="shared" si="431"/>
        <v>0.31541042696798344</v>
      </c>
      <c r="H255" s="46"/>
      <c r="I255" s="46"/>
      <c r="J255" s="206">
        <v>22542.188399999999</v>
      </c>
      <c r="K255" s="51">
        <f t="shared" ref="K255" si="440">J255/$J$475</f>
        <v>1.8421529010280116E-2</v>
      </c>
      <c r="L255" s="51"/>
      <c r="M255" s="206">
        <v>2152401</v>
      </c>
      <c r="N255" s="206">
        <v>80081.079810261319</v>
      </c>
      <c r="O255" s="46">
        <f t="shared" si="433"/>
        <v>57538.89141026132</v>
      </c>
      <c r="P255" s="51">
        <f t="shared" si="434"/>
        <v>0.71850793653869394</v>
      </c>
      <c r="Q255" s="51">
        <f t="shared" si="435"/>
        <v>0.28149206346130606</v>
      </c>
      <c r="R255" s="51">
        <f t="shared" si="436"/>
        <v>0</v>
      </c>
      <c r="S255" s="51">
        <f t="shared" si="437"/>
        <v>0.28149206346130606</v>
      </c>
      <c r="T255" s="51">
        <f t="shared" si="323"/>
        <v>-0.28149206346130606</v>
      </c>
      <c r="U255" s="298"/>
      <c r="V255" s="298"/>
      <c r="W255" s="298"/>
      <c r="X255" s="113"/>
      <c r="Y255" s="113"/>
      <c r="Z255" s="113"/>
      <c r="AA255" s="113"/>
      <c r="AB255" s="113"/>
      <c r="AC255" s="113"/>
      <c r="AD255" s="113"/>
      <c r="AE255" s="113"/>
      <c r="AF255" s="113"/>
      <c r="AG255" s="113"/>
      <c r="AH255" s="113"/>
      <c r="AI255" s="113"/>
      <c r="AJ255" s="113"/>
      <c r="AK255" s="113"/>
      <c r="AL255" s="113"/>
      <c r="AM255" s="113"/>
      <c r="AN255" s="113"/>
      <c r="AO255" s="113"/>
      <c r="AP255" s="113"/>
      <c r="AQ255" s="113"/>
      <c r="AR255" s="113"/>
      <c r="AS255" s="113"/>
      <c r="AT255" s="113"/>
      <c r="AU255" s="113"/>
      <c r="AV255" s="113"/>
      <c r="AW255" s="113"/>
      <c r="AX255" s="113"/>
      <c r="AY255" s="113"/>
      <c r="AZ255" s="113"/>
      <c r="BA255" s="113"/>
    </row>
    <row r="256" spans="2:53" x14ac:dyDescent="0.25">
      <c r="B256" s="44">
        <f t="shared" si="438"/>
        <v>1</v>
      </c>
      <c r="C256" s="44">
        <f t="shared" si="321"/>
        <v>11</v>
      </c>
      <c r="D256" s="44" t="str">
        <f>D255</f>
        <v>Ameren MI - Union</v>
      </c>
      <c r="E256" s="45">
        <v>2011</v>
      </c>
      <c r="F256" s="206">
        <v>779.01</v>
      </c>
      <c r="G256" s="51">
        <f t="shared" si="431"/>
        <v>0.25729823692042336</v>
      </c>
      <c r="H256" s="46"/>
      <c r="I256" s="46"/>
      <c r="J256" s="206">
        <v>14326.3164</v>
      </c>
      <c r="K256" s="51">
        <f t="shared" ref="K256" si="441">J256/$J$476</f>
        <v>1.1869638104964712E-2</v>
      </c>
      <c r="L256" s="51"/>
      <c r="M256" s="206">
        <v>1755836</v>
      </c>
      <c r="N256" s="206">
        <v>46623.913155324604</v>
      </c>
      <c r="O256" s="46">
        <f t="shared" si="433"/>
        <v>32297.596755324605</v>
      </c>
      <c r="P256" s="51">
        <f t="shared" si="434"/>
        <v>0.69272599765976772</v>
      </c>
      <c r="Q256" s="51">
        <f t="shared" si="435"/>
        <v>0.30727400234023228</v>
      </c>
      <c r="R256" s="51">
        <f t="shared" si="436"/>
        <v>0</v>
      </c>
      <c r="S256" s="51">
        <f t="shared" si="437"/>
        <v>0.30727400234023228</v>
      </c>
      <c r="T256" s="51">
        <f t="shared" si="323"/>
        <v>-0.30727400234023228</v>
      </c>
      <c r="U256" s="298"/>
      <c r="V256" s="298"/>
      <c r="W256" s="298"/>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row>
    <row r="257" spans="2:53" x14ac:dyDescent="0.25">
      <c r="B257" s="44">
        <f t="shared" si="438"/>
        <v>1</v>
      </c>
      <c r="C257" s="44">
        <f t="shared" si="321"/>
        <v>11</v>
      </c>
      <c r="D257" s="44" t="str">
        <f>D256</f>
        <v>Ameren MI - Union</v>
      </c>
      <c r="E257" s="45">
        <v>2012</v>
      </c>
      <c r="F257" s="206">
        <v>779.01</v>
      </c>
      <c r="G257" s="51">
        <f t="shared" si="431"/>
        <v>0.1930369824854975</v>
      </c>
      <c r="H257" s="46"/>
      <c r="I257" s="46"/>
      <c r="J257" s="206">
        <v>13855.681199999999</v>
      </c>
      <c r="K257" s="51">
        <f t="shared" ref="K257" si="442">J257/$J$477</f>
        <v>1.1128280416814459E-2</v>
      </c>
      <c r="L257" s="51"/>
      <c r="M257" s="206">
        <v>1317309</v>
      </c>
      <c r="N257" s="206">
        <v>28725.047703985456</v>
      </c>
      <c r="O257" s="46">
        <f t="shared" si="433"/>
        <v>14869.366503985457</v>
      </c>
      <c r="P257" s="51">
        <f t="shared" si="434"/>
        <v>0.5176446235082286</v>
      </c>
      <c r="Q257" s="51">
        <f t="shared" si="435"/>
        <v>0.4823553764917714</v>
      </c>
      <c r="R257" s="51">
        <f t="shared" si="436"/>
        <v>0</v>
      </c>
      <c r="S257" s="51">
        <f t="shared" si="437"/>
        <v>0.4823553764917714</v>
      </c>
      <c r="T257" s="51">
        <f t="shared" si="323"/>
        <v>-0.4823553764917714</v>
      </c>
      <c r="U257" s="298"/>
      <c r="V257" s="298"/>
      <c r="W257" s="298"/>
      <c r="X257" s="113"/>
      <c r="Y257" s="113"/>
      <c r="Z257" s="113"/>
      <c r="AA257" s="113"/>
      <c r="AB257" s="113"/>
      <c r="AC257" s="113"/>
      <c r="AD257" s="113"/>
      <c r="AE257" s="113"/>
      <c r="AF257" s="113"/>
      <c r="AG257" s="113"/>
      <c r="AH257" s="113"/>
      <c r="AI257" s="113"/>
      <c r="AJ257" s="113"/>
      <c r="AK257" s="113"/>
      <c r="AL257" s="113"/>
      <c r="AM257" s="113"/>
      <c r="AN257" s="113"/>
      <c r="AO257" s="113"/>
      <c r="AP257" s="113"/>
      <c r="AQ257" s="113"/>
      <c r="AR257" s="113"/>
      <c r="AS257" s="113"/>
      <c r="AT257" s="113"/>
      <c r="AU257" s="113"/>
      <c r="AV257" s="113"/>
      <c r="AW257" s="113"/>
      <c r="AX257" s="113"/>
      <c r="AY257" s="113"/>
      <c r="AZ257" s="113"/>
      <c r="BA257" s="113"/>
    </row>
    <row r="258" spans="2:53" x14ac:dyDescent="0.25">
      <c r="B258" s="44">
        <f t="shared" si="438"/>
        <v>1</v>
      </c>
      <c r="C258" s="44">
        <f t="shared" si="321"/>
        <v>11</v>
      </c>
      <c r="D258" s="44" t="str">
        <f>D257</f>
        <v>Ameren MI - Union</v>
      </c>
      <c r="E258" s="45">
        <v>2013</v>
      </c>
      <c r="F258" s="206">
        <v>779.01</v>
      </c>
      <c r="G258" s="51">
        <f t="shared" si="431"/>
        <v>0.24429056689971626</v>
      </c>
      <c r="H258" s="44"/>
      <c r="I258" s="44"/>
      <c r="J258" s="206">
        <v>15117.249599999999</v>
      </c>
      <c r="K258" s="51">
        <f t="shared" ref="K258" si="443">J258/$J$478</f>
        <v>1.2160710472986568E-2</v>
      </c>
      <c r="L258" s="44"/>
      <c r="M258" s="206">
        <v>1667070</v>
      </c>
      <c r="N258" s="206">
        <v>47713.126439387866</v>
      </c>
      <c r="O258" s="46">
        <f t="shared" si="433"/>
        <v>32595.876839387867</v>
      </c>
      <c r="P258" s="51">
        <f t="shared" si="434"/>
        <v>0.6831637176573595</v>
      </c>
      <c r="Q258" s="51">
        <f t="shared" si="435"/>
        <v>0.3168362823426405</v>
      </c>
      <c r="R258" s="51">
        <f t="shared" si="436"/>
        <v>0</v>
      </c>
      <c r="S258" s="51">
        <f t="shared" si="437"/>
        <v>0.3168362823426405</v>
      </c>
      <c r="T258" s="51">
        <f t="shared" si="323"/>
        <v>-0.3168362823426405</v>
      </c>
      <c r="U258" s="298"/>
      <c r="V258" s="298"/>
      <c r="W258" s="298"/>
      <c r="X258" s="113"/>
      <c r="Y258" s="113"/>
      <c r="Z258" s="113"/>
      <c r="AA258" s="113"/>
      <c r="AB258" s="113"/>
      <c r="AC258" s="113"/>
      <c r="AD258" s="113"/>
      <c r="AE258" s="113"/>
      <c r="AF258" s="113"/>
      <c r="AG258" s="113"/>
      <c r="AH258" s="113"/>
      <c r="AI258" s="113"/>
      <c r="AJ258" s="113"/>
      <c r="AK258" s="113"/>
      <c r="AL258" s="113"/>
      <c r="AM258" s="113"/>
      <c r="AN258" s="113"/>
      <c r="AO258" s="113"/>
      <c r="AP258" s="113"/>
      <c r="AQ258" s="113"/>
      <c r="AR258" s="113"/>
      <c r="AS258" s="113"/>
      <c r="AT258" s="113"/>
      <c r="AU258" s="113"/>
      <c r="AV258" s="113"/>
      <c r="AW258" s="113"/>
      <c r="AX258" s="113"/>
      <c r="AY258" s="113"/>
      <c r="AZ258" s="113"/>
      <c r="BA258" s="113"/>
    </row>
    <row r="259" spans="2:53" x14ac:dyDescent="0.25">
      <c r="B259" s="44">
        <f t="shared" si="438"/>
        <v>1</v>
      </c>
      <c r="C259" s="44">
        <f t="shared" si="321"/>
        <v>11</v>
      </c>
      <c r="D259" s="44" t="str">
        <f>D256</f>
        <v>Ameren MI - Union</v>
      </c>
      <c r="E259" s="45">
        <v>2014</v>
      </c>
      <c r="F259" s="206">
        <v>903.5</v>
      </c>
      <c r="G259" s="51">
        <f t="shared" si="431"/>
        <v>0.18112123578271208</v>
      </c>
      <c r="H259" s="44"/>
      <c r="I259" s="44"/>
      <c r="J259" s="206">
        <v>15009.524399999998</v>
      </c>
      <c r="K259" s="51">
        <f t="shared" ref="K259" si="444">J259/$J$479</f>
        <v>1.2029917138973162E-2</v>
      </c>
      <c r="L259" s="44"/>
      <c r="M259" s="206">
        <v>1433513</v>
      </c>
      <c r="N259" s="206">
        <v>40226.365196871637</v>
      </c>
      <c r="O259" s="46">
        <f t="shared" si="433"/>
        <v>25216.840796871638</v>
      </c>
      <c r="P259" s="51">
        <f t="shared" si="434"/>
        <v>0.6268734615583097</v>
      </c>
      <c r="Q259" s="51">
        <f t="shared" si="435"/>
        <v>0.3731265384416903</v>
      </c>
      <c r="R259" s="51">
        <f t="shared" si="436"/>
        <v>0</v>
      </c>
      <c r="S259" s="51">
        <f t="shared" si="437"/>
        <v>0.3731265384416903</v>
      </c>
      <c r="T259" s="51">
        <f t="shared" si="323"/>
        <v>-0.3731265384416903</v>
      </c>
      <c r="U259" s="298"/>
      <c r="V259" s="298"/>
      <c r="W259" s="298"/>
      <c r="X259" s="113"/>
      <c r="Y259" s="113"/>
      <c r="Z259" s="113"/>
      <c r="AA259" s="113"/>
      <c r="AB259" s="113"/>
      <c r="AC259" s="113"/>
      <c r="AD259" s="113"/>
      <c r="AE259" s="113"/>
      <c r="AF259" s="113"/>
      <c r="AG259" s="113"/>
      <c r="AH259" s="113"/>
      <c r="AI259" s="113"/>
      <c r="AJ259" s="113"/>
      <c r="AK259" s="113"/>
      <c r="AL259" s="113"/>
      <c r="AM259" s="113"/>
      <c r="AN259" s="113"/>
      <c r="AO259" s="113"/>
      <c r="AP259" s="113"/>
      <c r="AQ259" s="113"/>
      <c r="AR259" s="113"/>
      <c r="AS259" s="113"/>
      <c r="AT259" s="113"/>
      <c r="AU259" s="113"/>
      <c r="AV259" s="113"/>
      <c r="AW259" s="113"/>
      <c r="AX259" s="113"/>
      <c r="AY259" s="113"/>
      <c r="AZ259" s="113"/>
      <c r="BA259" s="113"/>
    </row>
    <row r="260" spans="2:53" x14ac:dyDescent="0.25">
      <c r="B260" s="44">
        <f t="shared" si="438"/>
        <v>1</v>
      </c>
      <c r="C260" s="44">
        <f t="shared" si="321"/>
        <v>11</v>
      </c>
      <c r="D260" s="44" t="str">
        <f>D257</f>
        <v>Ameren MI - Union</v>
      </c>
      <c r="E260" s="45">
        <v>2015</v>
      </c>
      <c r="F260" s="206">
        <v>839</v>
      </c>
      <c r="G260" s="51">
        <f t="shared" si="431"/>
        <v>0.25236882350700168</v>
      </c>
      <c r="H260" s="44"/>
      <c r="I260" s="44"/>
      <c r="J260" s="206">
        <v>15817.9848</v>
      </c>
      <c r="K260" s="51">
        <f t="shared" ref="K260" si="445">J260/$J$480</f>
        <v>1.2001898741205138E-2</v>
      </c>
      <c r="L260" s="44"/>
      <c r="M260" s="206">
        <v>1854820</v>
      </c>
      <c r="N260" s="206">
        <v>44694.440557656904</v>
      </c>
      <c r="O260" s="46">
        <f t="shared" si="433"/>
        <v>28876.455757656906</v>
      </c>
      <c r="P260" s="51">
        <f t="shared" si="434"/>
        <v>0.64608607686688868</v>
      </c>
      <c r="Q260" s="51">
        <f t="shared" si="435"/>
        <v>0.35391392313311132</v>
      </c>
      <c r="R260" s="51">
        <f t="shared" si="436"/>
        <v>0</v>
      </c>
      <c r="S260" s="51">
        <f t="shared" si="437"/>
        <v>0.35391392313311132</v>
      </c>
      <c r="T260" s="51">
        <f t="shared" si="323"/>
        <v>-0.35391392313311132</v>
      </c>
      <c r="U260" s="298"/>
      <c r="V260" s="298"/>
      <c r="W260" s="298"/>
      <c r="X260" s="113"/>
      <c r="Y260" s="113"/>
      <c r="Z260" s="113"/>
      <c r="AA260" s="113"/>
      <c r="AB260" s="113"/>
      <c r="AC260" s="113"/>
      <c r="AD260" s="113"/>
      <c r="AE260" s="113"/>
      <c r="AF260" s="113"/>
      <c r="AG260" s="113"/>
      <c r="AH260" s="113"/>
      <c r="AI260" s="113"/>
      <c r="AJ260" s="113"/>
      <c r="AK260" s="113"/>
      <c r="AL260" s="113"/>
      <c r="AM260" s="113"/>
      <c r="AN260" s="113"/>
      <c r="AO260" s="113"/>
      <c r="AP260" s="113"/>
      <c r="AQ260" s="113"/>
      <c r="AR260" s="113"/>
      <c r="AS260" s="113"/>
      <c r="AT260" s="113"/>
      <c r="AU260" s="113"/>
      <c r="AV260" s="113"/>
      <c r="AW260" s="113"/>
      <c r="AX260" s="113"/>
      <c r="AY260" s="113"/>
      <c r="AZ260" s="113"/>
      <c r="BA260" s="113"/>
    </row>
    <row r="261" spans="2:53" x14ac:dyDescent="0.25">
      <c r="B261" s="44">
        <f t="shared" si="438"/>
        <v>1</v>
      </c>
      <c r="C261" s="44">
        <f t="shared" si="321"/>
        <v>11</v>
      </c>
      <c r="D261" s="44" t="str">
        <f>D258</f>
        <v>Ameren MI - Union</v>
      </c>
      <c r="E261" s="45">
        <v>2016</v>
      </c>
      <c r="F261" s="206">
        <v>839</v>
      </c>
      <c r="G261" s="51">
        <f t="shared" si="431"/>
        <v>0.25698428766579046</v>
      </c>
      <c r="H261" s="44"/>
      <c r="I261" s="44"/>
      <c r="J261" s="206">
        <v>15531.298799999999</v>
      </c>
      <c r="K261" s="51">
        <f t="shared" ref="K261" si="446">J261/$J$481</f>
        <v>1.1669891383109279E-2</v>
      </c>
      <c r="L261" s="44"/>
      <c r="M261" s="206">
        <v>1888742</v>
      </c>
      <c r="N261" s="206">
        <v>40722.818235418483</v>
      </c>
      <c r="O261" s="46">
        <f t="shared" si="433"/>
        <v>25191.519435418486</v>
      </c>
      <c r="P261" s="51">
        <f t="shared" si="434"/>
        <v>0.61860943144421865</v>
      </c>
      <c r="Q261" s="51">
        <f t="shared" si="435"/>
        <v>0.38139056855578135</v>
      </c>
      <c r="R261" s="51">
        <f t="shared" si="436"/>
        <v>0</v>
      </c>
      <c r="S261" s="51">
        <f t="shared" si="437"/>
        <v>0.38139056855578135</v>
      </c>
      <c r="T261" s="51">
        <f t="shared" si="323"/>
        <v>-0.38139056855578135</v>
      </c>
      <c r="U261" s="298"/>
      <c r="V261" s="298"/>
      <c r="W261" s="298"/>
      <c r="X261" s="113"/>
      <c r="Y261" s="113"/>
      <c r="Z261" s="113"/>
      <c r="AA261" s="113"/>
      <c r="AB261" s="113"/>
      <c r="AC261" s="113"/>
      <c r="AD261" s="113"/>
      <c r="AE261" s="113"/>
      <c r="AF261" s="113"/>
      <c r="AG261" s="113"/>
      <c r="AH261" s="113"/>
      <c r="AI261" s="113"/>
      <c r="AJ261" s="113"/>
      <c r="AK261" s="113"/>
      <c r="AL261" s="113"/>
      <c r="AM261" s="113"/>
      <c r="AN261" s="113"/>
      <c r="AO261" s="113"/>
      <c r="AP261" s="113"/>
      <c r="AQ261" s="113"/>
      <c r="AR261" s="113"/>
      <c r="AS261" s="113"/>
      <c r="AT261" s="113"/>
      <c r="AU261" s="113"/>
      <c r="AV261" s="113"/>
      <c r="AW261" s="113"/>
      <c r="AX261" s="113"/>
      <c r="AY261" s="113"/>
      <c r="AZ261" s="113"/>
      <c r="BA261" s="113"/>
    </row>
    <row r="262" spans="2:53" x14ac:dyDescent="0.25">
      <c r="B262" s="44">
        <f t="shared" si="438"/>
        <v>1</v>
      </c>
      <c r="C262" s="44">
        <f t="shared" si="321"/>
        <v>11</v>
      </c>
      <c r="D262" s="44" t="str">
        <f t="shared" ref="D262:D264" si="447">D261</f>
        <v>Ameren MI - Union</v>
      </c>
      <c r="E262" s="45">
        <v>2017</v>
      </c>
      <c r="F262" s="206">
        <v>838.4</v>
      </c>
      <c r="G262" s="51">
        <f t="shared" si="431"/>
        <v>0.27467027867823907</v>
      </c>
      <c r="H262" s="44"/>
      <c r="I262" s="44"/>
      <c r="J262" s="206">
        <v>15272.535599999999</v>
      </c>
      <c r="K262" s="51">
        <f t="shared" ref="K262" si="448">J262/$J$482</f>
        <v>1.1730272609220077E-2</v>
      </c>
      <c r="L262" s="44"/>
      <c r="M262" s="206">
        <v>2017284</v>
      </c>
      <c r="N262" s="206">
        <v>48448.577225761983</v>
      </c>
      <c r="O262" s="46">
        <f t="shared" si="433"/>
        <v>33176.04162576198</v>
      </c>
      <c r="P262" s="51">
        <f t="shared" si="434"/>
        <v>0.68476812995286462</v>
      </c>
      <c r="Q262" s="51">
        <f t="shared" si="435"/>
        <v>0.31523187004713538</v>
      </c>
      <c r="R262" s="51">
        <f t="shared" si="436"/>
        <v>0</v>
      </c>
      <c r="S262" s="51">
        <f t="shared" si="437"/>
        <v>0.31523187004713538</v>
      </c>
      <c r="T262" s="51">
        <f t="shared" si="323"/>
        <v>-0.31523187004713538</v>
      </c>
      <c r="U262" s="298"/>
      <c r="V262" s="298"/>
      <c r="W262" s="298"/>
      <c r="X262" s="113"/>
      <c r="Y262" s="113"/>
      <c r="Z262" s="113"/>
      <c r="AA262" s="113"/>
      <c r="AB262" s="113"/>
      <c r="AC262" s="113"/>
      <c r="AD262" s="113"/>
      <c r="AE262" s="113"/>
      <c r="AF262" s="113"/>
      <c r="AG262" s="113"/>
      <c r="AH262" s="113"/>
      <c r="AI262" s="113"/>
      <c r="AJ262" s="113"/>
      <c r="AK262" s="113"/>
      <c r="AL262" s="113"/>
      <c r="AM262" s="113"/>
      <c r="AN262" s="113"/>
      <c r="AO262" s="113"/>
      <c r="AP262" s="113"/>
      <c r="AQ262" s="113"/>
      <c r="AR262" s="113"/>
      <c r="AS262" s="113"/>
      <c r="AT262" s="113"/>
      <c r="AU262" s="113"/>
      <c r="AV262" s="113"/>
      <c r="AW262" s="113"/>
      <c r="AX262" s="113"/>
      <c r="AY262" s="113"/>
      <c r="AZ262" s="113"/>
      <c r="BA262" s="113"/>
    </row>
    <row r="263" spans="2:53" x14ac:dyDescent="0.25">
      <c r="B263" s="44">
        <f t="shared" si="438"/>
        <v>1</v>
      </c>
      <c r="C263" s="44">
        <f t="shared" si="321"/>
        <v>11</v>
      </c>
      <c r="D263" s="44" t="str">
        <f t="shared" si="447"/>
        <v>Ameren MI - Union</v>
      </c>
      <c r="E263" s="45">
        <v>2018</v>
      </c>
      <c r="F263" s="206">
        <v>839</v>
      </c>
      <c r="G263" s="51">
        <f t="shared" ref="G263" si="449">M263/(F263*8760)</f>
        <v>0.21178104192858424</v>
      </c>
      <c r="H263" s="44"/>
      <c r="I263" s="44"/>
      <c r="J263" s="206">
        <v>15435.751199999999</v>
      </c>
      <c r="K263" s="51">
        <f t="shared" ref="K263" si="450">J263/$J$483</f>
        <v>1.1001149665881256E-2</v>
      </c>
      <c r="L263" s="44"/>
      <c r="M263" s="206">
        <v>1556514.4169999999</v>
      </c>
      <c r="N263" s="206">
        <v>43470.249178240469</v>
      </c>
      <c r="O263" s="46">
        <f t="shared" ref="O263:O266" si="451">N263-J263</f>
        <v>28034.49797824047</v>
      </c>
      <c r="P263" s="51">
        <f t="shared" ref="P263:P266" si="452">O263/N263</f>
        <v>0.64491229077825163</v>
      </c>
      <c r="Q263" s="51">
        <f t="shared" ref="Q263:Q266" si="453">1-P263</f>
        <v>0.35508770922174837</v>
      </c>
      <c r="R263" s="51">
        <f t="shared" ref="R263:R266" si="454">Q263*L263</f>
        <v>0</v>
      </c>
      <c r="S263" s="51">
        <f t="shared" ref="S263:S266" si="455">Q263-R263</f>
        <v>0.35508770922174837</v>
      </c>
      <c r="T263" s="51">
        <f t="shared" ref="T263:T266" si="456">R263-S263</f>
        <v>-0.35508770922174837</v>
      </c>
      <c r="U263" s="298"/>
      <c r="V263" s="298"/>
      <c r="W263" s="298"/>
      <c r="X263" s="113"/>
      <c r="Y263" s="113"/>
      <c r="Z263" s="113"/>
      <c r="AA263" s="113"/>
      <c r="AB263" s="113"/>
      <c r="AC263" s="113"/>
      <c r="AD263" s="113"/>
      <c r="AE263" s="113"/>
      <c r="AF263" s="113"/>
      <c r="AG263" s="113"/>
      <c r="AH263" s="113"/>
      <c r="AI263" s="113"/>
      <c r="AJ263" s="113"/>
      <c r="AK263" s="113"/>
      <c r="AL263" s="113"/>
      <c r="AM263" s="113"/>
      <c r="AN263" s="113"/>
      <c r="AO263" s="113"/>
      <c r="AP263" s="113"/>
      <c r="AQ263" s="113"/>
      <c r="AR263" s="113"/>
      <c r="AS263" s="113"/>
      <c r="AT263" s="113"/>
      <c r="AU263" s="113"/>
      <c r="AV263" s="113"/>
      <c r="AW263" s="113"/>
      <c r="AX263" s="113"/>
      <c r="AY263" s="113"/>
      <c r="AZ263" s="113"/>
      <c r="BA263" s="113"/>
    </row>
    <row r="264" spans="2:53" x14ac:dyDescent="0.25">
      <c r="B264" s="44">
        <f t="shared" si="438"/>
        <v>1</v>
      </c>
      <c r="C264" s="44">
        <f t="shared" si="321"/>
        <v>11</v>
      </c>
      <c r="D264" s="44" t="str">
        <f t="shared" si="447"/>
        <v>Ameren MI - Union</v>
      </c>
      <c r="E264" s="45">
        <v>2019</v>
      </c>
      <c r="F264" s="206">
        <v>839</v>
      </c>
      <c r="G264" s="51">
        <f t="shared" si="431"/>
        <v>0.27654345586994739</v>
      </c>
      <c r="H264" s="44"/>
      <c r="I264" s="44"/>
      <c r="J264" s="206">
        <v>17811.016800000001</v>
      </c>
      <c r="K264" s="51">
        <f t="shared" ref="K264" si="457">J264/$J$484</f>
        <v>1.293483172071689E-2</v>
      </c>
      <c r="L264" s="44"/>
      <c r="M264" s="206">
        <v>2032494.845</v>
      </c>
      <c r="N264" s="206">
        <v>21733.682983763592</v>
      </c>
      <c r="O264" s="46">
        <f t="shared" si="451"/>
        <v>3922.6661837635911</v>
      </c>
      <c r="P264" s="51">
        <f t="shared" si="452"/>
        <v>0.18048787159976823</v>
      </c>
      <c r="Q264" s="51">
        <f t="shared" si="453"/>
        <v>0.8195121284002318</v>
      </c>
      <c r="R264" s="51">
        <f t="shared" si="454"/>
        <v>0</v>
      </c>
      <c r="S264" s="51">
        <f t="shared" si="455"/>
        <v>0.8195121284002318</v>
      </c>
      <c r="T264" s="51">
        <f t="shared" si="456"/>
        <v>-0.8195121284002318</v>
      </c>
      <c r="U264" s="298"/>
      <c r="V264" s="298"/>
      <c r="W264" s="298"/>
      <c r="X264" s="113"/>
      <c r="Y264" s="113"/>
      <c r="Z264" s="113"/>
      <c r="AA264" s="113"/>
      <c r="AB264" s="113"/>
      <c r="AC264" s="113"/>
      <c r="AD264" s="113"/>
      <c r="AE264" s="113"/>
      <c r="AF264" s="113"/>
      <c r="AG264" s="113"/>
      <c r="AH264" s="113"/>
      <c r="AI264" s="113"/>
      <c r="AJ264" s="113"/>
      <c r="AK264" s="113"/>
      <c r="AL264" s="113"/>
      <c r="AM264" s="113"/>
      <c r="AN264" s="113"/>
      <c r="AO264" s="113"/>
      <c r="AP264" s="113"/>
      <c r="AQ264" s="113"/>
      <c r="AR264" s="113"/>
      <c r="AS264" s="113"/>
      <c r="AT264" s="113"/>
      <c r="AU264" s="113"/>
      <c r="AV264" s="113"/>
      <c r="AW264" s="113"/>
      <c r="AX264" s="113"/>
      <c r="AY264" s="113"/>
      <c r="AZ264" s="113"/>
      <c r="BA264" s="113"/>
    </row>
    <row r="265" spans="2:53" x14ac:dyDescent="0.25">
      <c r="B265" s="44">
        <f t="shared" si="438"/>
        <v>1</v>
      </c>
      <c r="C265" s="44">
        <f t="shared" si="321"/>
        <v>11</v>
      </c>
      <c r="D265" s="44" t="str">
        <f t="shared" ref="D265:D267" si="458">D262</f>
        <v>Ameren MI - Union</v>
      </c>
      <c r="E265" s="45">
        <v>2020</v>
      </c>
      <c r="F265" s="206">
        <v>846</v>
      </c>
      <c r="G265" s="51">
        <f t="shared" si="431"/>
        <v>0.28814694938307583</v>
      </c>
      <c r="H265" s="44"/>
      <c r="I265" s="44"/>
      <c r="J265" s="206">
        <v>15760.539599999998</v>
      </c>
      <c r="K265" s="51">
        <f t="shared" ref="K265" si="459">J265/$J$485</f>
        <v>1.1379747303677681E-2</v>
      </c>
      <c r="L265" s="44"/>
      <c r="M265" s="206">
        <v>2135445.5159999998</v>
      </c>
      <c r="N265" s="206">
        <v>21659.077138447297</v>
      </c>
      <c r="O265" s="46">
        <f t="shared" si="451"/>
        <v>5898.5375384472991</v>
      </c>
      <c r="P265" s="51">
        <f t="shared" si="452"/>
        <v>0.27233558940407171</v>
      </c>
      <c r="Q265" s="51">
        <f t="shared" si="453"/>
        <v>0.72766441059592823</v>
      </c>
      <c r="R265" s="51">
        <f t="shared" si="454"/>
        <v>0</v>
      </c>
      <c r="S265" s="51">
        <f t="shared" si="455"/>
        <v>0.72766441059592823</v>
      </c>
      <c r="T265" s="51">
        <f t="shared" si="456"/>
        <v>-0.72766441059592823</v>
      </c>
      <c r="U265" s="298"/>
      <c r="V265" s="298"/>
      <c r="W265" s="298"/>
      <c r="X265" s="113"/>
      <c r="Y265" s="113"/>
      <c r="Z265" s="113"/>
      <c r="AA265" s="113"/>
      <c r="AB265" s="113"/>
      <c r="AC265" s="113"/>
      <c r="AD265" s="113"/>
      <c r="AE265" s="113"/>
      <c r="AF265" s="113"/>
      <c r="AG265" s="113"/>
      <c r="AH265" s="113"/>
      <c r="AI265" s="113"/>
      <c r="AJ265" s="113"/>
      <c r="AK265" s="113"/>
      <c r="AL265" s="113"/>
      <c r="AM265" s="113"/>
      <c r="AN265" s="113"/>
      <c r="AO265" s="113"/>
      <c r="AP265" s="113"/>
      <c r="AQ265" s="113"/>
      <c r="AR265" s="113"/>
      <c r="AS265" s="113"/>
      <c r="AT265" s="113"/>
      <c r="AU265" s="113"/>
      <c r="AV265" s="113"/>
      <c r="AW265" s="113"/>
      <c r="AX265" s="113"/>
      <c r="AY265" s="113"/>
      <c r="AZ265" s="113"/>
      <c r="BA265" s="113"/>
    </row>
    <row r="266" spans="2:53" x14ac:dyDescent="0.25">
      <c r="B266" s="44">
        <f t="shared" si="438"/>
        <v>1</v>
      </c>
      <c r="C266" s="44">
        <f t="shared" si="321"/>
        <v>11</v>
      </c>
      <c r="D266" s="44" t="str">
        <f t="shared" si="458"/>
        <v>Ameren MI - Union</v>
      </c>
      <c r="E266" s="45">
        <v>2021</v>
      </c>
      <c r="F266" s="206">
        <v>846</v>
      </c>
      <c r="G266" s="51">
        <f t="shared" si="431"/>
        <v>0.27278936102745122</v>
      </c>
      <c r="H266" s="44"/>
      <c r="I266" s="44"/>
      <c r="J266" s="206">
        <v>16163.997599999997</v>
      </c>
      <c r="K266" s="51">
        <f t="shared" ref="K266" si="460">J266/$J$486</f>
        <v>1.1155397577388234E-2</v>
      </c>
      <c r="L266" s="44"/>
      <c r="M266" s="206">
        <v>2021631.0430000001</v>
      </c>
      <c r="N266" s="206">
        <v>35520.039905308644</v>
      </c>
      <c r="O266" s="46">
        <f t="shared" si="451"/>
        <v>19356.042305308649</v>
      </c>
      <c r="P266" s="51">
        <f t="shared" si="452"/>
        <v>0.5449330112496803</v>
      </c>
      <c r="Q266" s="51">
        <f t="shared" si="453"/>
        <v>0.4550669887503197</v>
      </c>
      <c r="R266" s="51">
        <f t="shared" si="454"/>
        <v>0</v>
      </c>
      <c r="S266" s="51">
        <f t="shared" si="455"/>
        <v>0.4550669887503197</v>
      </c>
      <c r="T266" s="51">
        <f t="shared" si="456"/>
        <v>-0.4550669887503197</v>
      </c>
      <c r="U266" s="298"/>
      <c r="V266" s="298"/>
      <c r="W266" s="298"/>
      <c r="X266" s="113"/>
      <c r="Y266" s="113"/>
      <c r="Z266" s="113"/>
      <c r="AA266" s="113"/>
      <c r="AB266" s="113"/>
      <c r="AC266" s="113"/>
      <c r="AD266" s="113"/>
      <c r="AE266" s="113"/>
      <c r="AF266" s="113"/>
      <c r="AG266" s="113"/>
      <c r="AH266" s="113"/>
      <c r="AI266" s="113"/>
      <c r="AJ266" s="113"/>
      <c r="AK266" s="113"/>
      <c r="AL266" s="113"/>
      <c r="AM266" s="113"/>
      <c r="AN266" s="113"/>
      <c r="AO266" s="113"/>
      <c r="AP266" s="113"/>
      <c r="AQ266" s="113"/>
      <c r="AR266" s="113"/>
      <c r="AS266" s="113"/>
      <c r="AT266" s="113"/>
      <c r="AU266" s="113"/>
      <c r="AV266" s="113"/>
      <c r="AW266" s="113"/>
      <c r="AX266" s="113"/>
      <c r="AY266" s="113"/>
      <c r="AZ266" s="113"/>
      <c r="BA266" s="113"/>
    </row>
    <row r="267" spans="2:53" x14ac:dyDescent="0.25">
      <c r="B267" s="44">
        <f t="shared" si="438"/>
        <v>1</v>
      </c>
      <c r="C267" s="44">
        <f t="shared" si="321"/>
        <v>11</v>
      </c>
      <c r="D267" s="44" t="str">
        <f t="shared" si="458"/>
        <v>Ameren MI - Union</v>
      </c>
      <c r="E267" s="45">
        <v>2022</v>
      </c>
      <c r="F267" s="206">
        <v>846</v>
      </c>
      <c r="G267" s="51">
        <f t="shared" si="431"/>
        <v>0.24531653591437547</v>
      </c>
      <c r="H267" s="44"/>
      <c r="I267" s="44"/>
      <c r="J267" s="206">
        <v>15500.877599999998</v>
      </c>
      <c r="K267" s="51">
        <f t="shared" ref="K267" si="461">J267/$J$487</f>
        <v>1.0543775848350437E-2</v>
      </c>
      <c r="L267" s="44"/>
      <c r="M267" s="206">
        <v>1818031.0349999999</v>
      </c>
      <c r="N267" s="206">
        <v>56014.549115445981</v>
      </c>
      <c r="O267" s="46">
        <f t="shared" ref="O267:O268" si="462">N267-J267</f>
        <v>40513.671515445982</v>
      </c>
      <c r="P267" s="51">
        <f t="shared" ref="P267:P268" si="463">O267/N267</f>
        <v>0.72327051016598043</v>
      </c>
      <c r="Q267" s="51">
        <f t="shared" ref="Q267:Q268" si="464">1-P267</f>
        <v>0.27672948983401957</v>
      </c>
      <c r="R267" s="51">
        <f t="shared" ref="R267:R268" si="465">Q267*L267</f>
        <v>0</v>
      </c>
      <c r="S267" s="51">
        <f t="shared" ref="S267:S268" si="466">Q267-R267</f>
        <v>0.27672948983401957</v>
      </c>
      <c r="T267" s="51">
        <f t="shared" ref="T267:T268" si="467">R267-S267</f>
        <v>-0.27672948983401957</v>
      </c>
      <c r="U267" s="298"/>
      <c r="V267" s="298"/>
      <c r="W267" s="298"/>
      <c r="X267" s="113"/>
      <c r="Y267" s="113"/>
      <c r="Z267" s="113"/>
      <c r="AA267" s="113"/>
      <c r="AB267" s="113"/>
      <c r="AC267" s="113"/>
      <c r="AD267" s="113"/>
      <c r="AE267" s="113"/>
      <c r="AF267" s="113"/>
      <c r="AG267" s="113"/>
      <c r="AH267" s="113"/>
      <c r="AI267" s="113"/>
      <c r="AJ267" s="113"/>
      <c r="AK267" s="113"/>
      <c r="AL267" s="113"/>
      <c r="AM267" s="113"/>
      <c r="AN267" s="113"/>
      <c r="AO267" s="113"/>
      <c r="AP267" s="113"/>
      <c r="AQ267" s="113"/>
      <c r="AR267" s="113"/>
      <c r="AS267" s="113"/>
      <c r="AT267" s="113"/>
      <c r="AU267" s="113"/>
      <c r="AV267" s="113"/>
      <c r="AW267" s="113"/>
      <c r="AX267" s="113"/>
      <c r="AY267" s="113"/>
      <c r="AZ267" s="113"/>
      <c r="BA267" s="113"/>
    </row>
    <row r="268" spans="2:53" x14ac:dyDescent="0.25">
      <c r="B268" s="44">
        <f t="shared" si="438"/>
        <v>1</v>
      </c>
      <c r="C268" s="44">
        <f t="shared" si="321"/>
        <v>11</v>
      </c>
      <c r="D268" s="44" t="str">
        <f t="shared" ref="D268" si="468">D267</f>
        <v>Ameren MI - Union</v>
      </c>
      <c r="E268" s="45">
        <v>2023</v>
      </c>
      <c r="F268" s="206">
        <v>846</v>
      </c>
      <c r="G268" s="51">
        <f t="shared" si="431"/>
        <v>0.18205894175653356</v>
      </c>
      <c r="H268" s="44"/>
      <c r="I268" s="44"/>
      <c r="J268" s="206">
        <v>15950.936399999999</v>
      </c>
      <c r="K268" s="51">
        <f t="shared" ref="K268" si="469">J268/$J$488</f>
        <v>9.986028909256997E-3</v>
      </c>
      <c r="L268" s="44"/>
      <c r="M268" s="206">
        <v>1349231.5349999999</v>
      </c>
      <c r="N268" s="206">
        <v>27445.533112869045</v>
      </c>
      <c r="O268" s="46">
        <f t="shared" si="462"/>
        <v>11494.596712869046</v>
      </c>
      <c r="P268" s="51">
        <f t="shared" si="463"/>
        <v>0.41881484559246179</v>
      </c>
      <c r="Q268" s="51">
        <f t="shared" si="464"/>
        <v>0.58118515440753815</v>
      </c>
      <c r="R268" s="51">
        <f t="shared" si="465"/>
        <v>0</v>
      </c>
      <c r="S268" s="51">
        <f t="shared" si="466"/>
        <v>0.58118515440753815</v>
      </c>
      <c r="T268" s="51">
        <f t="shared" si="467"/>
        <v>-0.58118515440753815</v>
      </c>
      <c r="U268" s="298"/>
      <c r="V268" s="298"/>
      <c r="W268" s="298"/>
      <c r="X268" s="113"/>
      <c r="Y268" s="113"/>
      <c r="Z268" s="113"/>
      <c r="AA268" s="113"/>
      <c r="AB268" s="113"/>
      <c r="AC268" s="113"/>
      <c r="AD268" s="113"/>
      <c r="AE268" s="113"/>
      <c r="AF268" s="113"/>
      <c r="AG268" s="113"/>
      <c r="AH268" s="113"/>
      <c r="AI268" s="113"/>
      <c r="AJ268" s="113"/>
      <c r="AK268" s="113"/>
      <c r="AL268" s="113"/>
      <c r="AM268" s="113"/>
      <c r="AN268" s="113"/>
      <c r="AO268" s="113"/>
      <c r="AP268" s="113"/>
      <c r="AQ268" s="113"/>
      <c r="AR268" s="113"/>
      <c r="AS268" s="113"/>
      <c r="AT268" s="113"/>
      <c r="AU268" s="113"/>
      <c r="AV268" s="113"/>
      <c r="AW268" s="113"/>
      <c r="AX268" s="113"/>
      <c r="AY268" s="113"/>
      <c r="AZ268" s="113"/>
      <c r="BA268" s="113"/>
    </row>
    <row r="269" spans="2:53" x14ac:dyDescent="0.25">
      <c r="B269" s="47">
        <f t="shared" si="438"/>
        <v>1</v>
      </c>
      <c r="C269" s="47">
        <f t="shared" si="321"/>
        <v>12</v>
      </c>
      <c r="D269" s="47" t="str">
        <f>'OPG hydro peers'!D16</f>
        <v>AP Power</v>
      </c>
      <c r="E269" s="48">
        <v>2002</v>
      </c>
      <c r="F269" s="207">
        <v>739.7</v>
      </c>
      <c r="G269" s="50">
        <f t="shared" si="431"/>
        <v>0.15075005725510096</v>
      </c>
      <c r="H269" s="49"/>
      <c r="I269" s="49"/>
      <c r="J269" s="207">
        <v>21119.338800000001</v>
      </c>
      <c r="K269" s="50">
        <f t="shared" ref="K269" si="470">J269/$J$467</f>
        <v>2.7522219848284065E-2</v>
      </c>
      <c r="L269" s="50"/>
      <c r="M269" s="207">
        <v>976826</v>
      </c>
      <c r="N269" s="207">
        <v>28849.31650764</v>
      </c>
      <c r="O269" s="49">
        <f t="shared" si="433"/>
        <v>7729.9777076399987</v>
      </c>
      <c r="P269" s="50">
        <f t="shared" si="434"/>
        <v>0.26794318352716995</v>
      </c>
      <c r="Q269" s="50">
        <f t="shared" si="435"/>
        <v>0.73205681647283005</v>
      </c>
      <c r="R269" s="50">
        <f t="shared" si="436"/>
        <v>0</v>
      </c>
      <c r="S269" s="50">
        <f t="shared" si="437"/>
        <v>0.73205681647283005</v>
      </c>
      <c r="T269" s="50">
        <f t="shared" si="323"/>
        <v>-0.73205681647283005</v>
      </c>
      <c r="U269" s="298"/>
      <c r="V269" s="298"/>
      <c r="W269" s="298"/>
      <c r="X269" s="113"/>
      <c r="Y269" s="113"/>
      <c r="Z269" s="113"/>
      <c r="AA269" s="113"/>
      <c r="AB269" s="113"/>
      <c r="AC269" s="113"/>
      <c r="AD269" s="113"/>
      <c r="AE269" s="113"/>
      <c r="AF269" s="113"/>
      <c r="AG269" s="113"/>
      <c r="AH269" s="113"/>
      <c r="AI269" s="113"/>
      <c r="AJ269" s="113"/>
      <c r="AK269" s="113"/>
      <c r="AL269" s="113"/>
      <c r="AM269" s="113"/>
      <c r="AN269" s="113"/>
      <c r="AO269" s="113"/>
      <c r="AP269" s="113"/>
      <c r="AQ269" s="113"/>
      <c r="AR269" s="113"/>
      <c r="AS269" s="113"/>
      <c r="AT269" s="113"/>
      <c r="AU269" s="113"/>
      <c r="AV269" s="113"/>
      <c r="AW269" s="113"/>
      <c r="AX269" s="113"/>
      <c r="AY269" s="113"/>
      <c r="AZ269" s="113"/>
      <c r="BA269" s="113"/>
    </row>
    <row r="270" spans="2:53" x14ac:dyDescent="0.25">
      <c r="B270" s="47">
        <f t="shared" si="438"/>
        <v>1</v>
      </c>
      <c r="C270" s="47">
        <f t="shared" si="321"/>
        <v>12</v>
      </c>
      <c r="D270" s="47" t="str">
        <f t="shared" ref="D270:D280" si="471">D269</f>
        <v>AP Power</v>
      </c>
      <c r="E270" s="48">
        <v>2003</v>
      </c>
      <c r="F270" s="207">
        <v>739.7</v>
      </c>
      <c r="G270" s="50">
        <f t="shared" si="431"/>
        <v>0.23197282250054477</v>
      </c>
      <c r="H270" s="49"/>
      <c r="I270" s="49"/>
      <c r="J270" s="207">
        <v>18640.285199999998</v>
      </c>
      <c r="K270" s="50">
        <f t="shared" ref="K270" si="472">J270/$J$468</f>
        <v>2.1979107945729749E-2</v>
      </c>
      <c r="L270" s="50"/>
      <c r="M270" s="207">
        <v>1503131</v>
      </c>
      <c r="N270" s="207">
        <v>64263.489394320008</v>
      </c>
      <c r="O270" s="49">
        <f t="shared" si="433"/>
        <v>45623.204194320009</v>
      </c>
      <c r="P270" s="50">
        <f t="shared" si="434"/>
        <v>0.7099397282082921</v>
      </c>
      <c r="Q270" s="50">
        <f t="shared" si="435"/>
        <v>0.2900602717917079</v>
      </c>
      <c r="R270" s="50">
        <f t="shared" si="436"/>
        <v>0</v>
      </c>
      <c r="S270" s="50">
        <f t="shared" si="437"/>
        <v>0.2900602717917079</v>
      </c>
      <c r="T270" s="50">
        <f t="shared" si="323"/>
        <v>-0.2900602717917079</v>
      </c>
      <c r="U270" s="298"/>
      <c r="V270" s="298"/>
      <c r="W270" s="298"/>
      <c r="X270" s="113"/>
      <c r="Y270" s="113"/>
      <c r="Z270" s="113"/>
      <c r="AA270" s="113"/>
      <c r="AB270" s="113"/>
      <c r="AC270" s="113"/>
      <c r="AD270" s="113"/>
      <c r="AE270" s="113"/>
      <c r="AF270" s="113"/>
      <c r="AG270" s="113"/>
      <c r="AH270" s="113"/>
      <c r="AI270" s="113"/>
      <c r="AJ270" s="113"/>
      <c r="AK270" s="113"/>
      <c r="AL270" s="113"/>
      <c r="AM270" s="113"/>
      <c r="AN270" s="113"/>
      <c r="AO270" s="113"/>
      <c r="AP270" s="113"/>
      <c r="AQ270" s="113"/>
      <c r="AR270" s="113"/>
      <c r="AS270" s="113"/>
      <c r="AT270" s="113"/>
      <c r="AU270" s="113"/>
      <c r="AV270" s="113"/>
      <c r="AW270" s="113"/>
      <c r="AX270" s="113"/>
      <c r="AY270" s="113"/>
      <c r="AZ270" s="113"/>
      <c r="BA270" s="113"/>
    </row>
    <row r="271" spans="2:53" x14ac:dyDescent="0.25">
      <c r="B271" s="47">
        <f t="shared" si="438"/>
        <v>1</v>
      </c>
      <c r="C271" s="47">
        <f t="shared" si="321"/>
        <v>12</v>
      </c>
      <c r="D271" s="47" t="str">
        <f t="shared" si="471"/>
        <v>AP Power</v>
      </c>
      <c r="E271" s="48">
        <v>2004</v>
      </c>
      <c r="F271" s="207">
        <v>739.7</v>
      </c>
      <c r="G271" s="50">
        <f t="shared" si="431"/>
        <v>0.20261175856187533</v>
      </c>
      <c r="H271" s="49"/>
      <c r="I271" s="49"/>
      <c r="J271" s="207">
        <v>21815.299200000001</v>
      </c>
      <c r="K271" s="50">
        <f t="shared" ref="K271" si="473">J271/$J$469</f>
        <v>2.4688635592476194E-2</v>
      </c>
      <c r="L271" s="50"/>
      <c r="M271" s="207">
        <v>1312878</v>
      </c>
      <c r="N271" s="207">
        <v>61206.335346353997</v>
      </c>
      <c r="O271" s="49">
        <f t="shared" si="433"/>
        <v>39391.036146353996</v>
      </c>
      <c r="P271" s="50">
        <f t="shared" si="434"/>
        <v>0.64357775912327153</v>
      </c>
      <c r="Q271" s="50">
        <f t="shared" si="435"/>
        <v>0.35642224087672847</v>
      </c>
      <c r="R271" s="50">
        <f t="shared" si="436"/>
        <v>0</v>
      </c>
      <c r="S271" s="50">
        <f t="shared" si="437"/>
        <v>0.35642224087672847</v>
      </c>
      <c r="T271" s="50">
        <f t="shared" si="323"/>
        <v>-0.35642224087672847</v>
      </c>
      <c r="U271" s="298"/>
      <c r="V271" s="298"/>
      <c r="W271" s="298"/>
      <c r="X271" s="113"/>
      <c r="Y271" s="113"/>
      <c r="Z271" s="113"/>
      <c r="AA271" s="113"/>
      <c r="AB271" s="113"/>
      <c r="AC271" s="113"/>
      <c r="AD271" s="113"/>
      <c r="AE271" s="113"/>
      <c r="AF271" s="113"/>
      <c r="AG271" s="113"/>
      <c r="AH271" s="113"/>
      <c r="AI271" s="113"/>
      <c r="AJ271" s="113"/>
      <c r="AK271" s="113"/>
      <c r="AL271" s="113"/>
      <c r="AM271" s="113"/>
      <c r="AN271" s="113"/>
      <c r="AO271" s="113"/>
      <c r="AP271" s="113"/>
      <c r="AQ271" s="113"/>
      <c r="AR271" s="113"/>
      <c r="AS271" s="113"/>
      <c r="AT271" s="113"/>
      <c r="AU271" s="113"/>
      <c r="AV271" s="113"/>
      <c r="AW271" s="113"/>
      <c r="AX271" s="113"/>
      <c r="AY271" s="113"/>
      <c r="AZ271" s="113"/>
      <c r="BA271" s="113"/>
    </row>
    <row r="272" spans="2:53" x14ac:dyDescent="0.25">
      <c r="B272" s="47">
        <f t="shared" si="438"/>
        <v>1</v>
      </c>
      <c r="C272" s="47">
        <f t="shared" si="321"/>
        <v>12</v>
      </c>
      <c r="D272" s="47" t="str">
        <f t="shared" si="471"/>
        <v>AP Power</v>
      </c>
      <c r="E272" s="48">
        <v>2005</v>
      </c>
      <c r="F272" s="207">
        <v>739.7</v>
      </c>
      <c r="G272" s="50">
        <f t="shared" si="431"/>
        <v>0.20179105067277059</v>
      </c>
      <c r="H272" s="49"/>
      <c r="I272" s="49"/>
      <c r="J272" s="207">
        <v>32023.321200000002</v>
      </c>
      <c r="K272" s="50">
        <f t="shared" ref="K272" si="474">J272/$J$470</f>
        <v>3.4470368803736537E-2</v>
      </c>
      <c r="L272" s="50"/>
      <c r="M272" s="207">
        <v>1307560</v>
      </c>
      <c r="N272" s="207">
        <v>66989.864083538341</v>
      </c>
      <c r="O272" s="49">
        <f t="shared" si="433"/>
        <v>34966.542883538335</v>
      </c>
      <c r="P272" s="50">
        <f t="shared" si="434"/>
        <v>0.52196766424147423</v>
      </c>
      <c r="Q272" s="50">
        <f t="shared" si="435"/>
        <v>0.47803233575852577</v>
      </c>
      <c r="R272" s="50">
        <f t="shared" si="436"/>
        <v>0</v>
      </c>
      <c r="S272" s="50">
        <f t="shared" si="437"/>
        <v>0.47803233575852577</v>
      </c>
      <c r="T272" s="50">
        <f t="shared" si="323"/>
        <v>-0.47803233575852577</v>
      </c>
      <c r="U272" s="298"/>
      <c r="V272" s="298"/>
      <c r="W272" s="298"/>
      <c r="X272" s="113"/>
      <c r="Y272" s="113"/>
      <c r="Z272" s="113"/>
      <c r="AA272" s="113"/>
      <c r="AB272" s="113"/>
      <c r="AC272" s="113"/>
      <c r="AD272" s="113"/>
      <c r="AE272" s="113"/>
      <c r="AF272" s="113"/>
      <c r="AG272" s="113"/>
      <c r="AH272" s="113"/>
      <c r="AI272" s="113"/>
      <c r="AJ272" s="113"/>
      <c r="AK272" s="113"/>
      <c r="AL272" s="113"/>
      <c r="AM272" s="113"/>
      <c r="AN272" s="113"/>
      <c r="AO272" s="113"/>
      <c r="AP272" s="113"/>
      <c r="AQ272" s="113"/>
      <c r="AR272" s="113"/>
      <c r="AS272" s="113"/>
      <c r="AT272" s="113"/>
      <c r="AU272" s="113"/>
      <c r="AV272" s="113"/>
      <c r="AW272" s="113"/>
      <c r="AX272" s="113"/>
      <c r="AY272" s="113"/>
      <c r="AZ272" s="113"/>
      <c r="BA272" s="113"/>
    </row>
    <row r="273" spans="2:53" x14ac:dyDescent="0.25">
      <c r="B273" s="47">
        <f t="shared" si="438"/>
        <v>1</v>
      </c>
      <c r="C273" s="47">
        <f t="shared" si="321"/>
        <v>12</v>
      </c>
      <c r="D273" s="47" t="str">
        <f t="shared" si="471"/>
        <v>AP Power</v>
      </c>
      <c r="E273" s="48">
        <v>2006</v>
      </c>
      <c r="F273" s="207">
        <v>739.7</v>
      </c>
      <c r="G273" s="50">
        <f t="shared" si="431"/>
        <v>0.19074390271756475</v>
      </c>
      <c r="H273" s="49"/>
      <c r="I273" s="49"/>
      <c r="J273" s="207">
        <v>33852.463199999998</v>
      </c>
      <c r="K273" s="50">
        <f t="shared" ref="K273" si="475">J273/$J$471</f>
        <v>3.4389786609054063E-2</v>
      </c>
      <c r="L273" s="50"/>
      <c r="M273" s="207">
        <v>1235977</v>
      </c>
      <c r="N273" s="207">
        <v>55911.296841651405</v>
      </c>
      <c r="O273" s="49">
        <f t="shared" si="433"/>
        <v>22058.833641651407</v>
      </c>
      <c r="P273" s="50">
        <f t="shared" si="434"/>
        <v>0.3945326774323461</v>
      </c>
      <c r="Q273" s="50">
        <f t="shared" si="435"/>
        <v>0.6054673225676539</v>
      </c>
      <c r="R273" s="50">
        <f t="shared" si="436"/>
        <v>0</v>
      </c>
      <c r="S273" s="50">
        <f t="shared" si="437"/>
        <v>0.6054673225676539</v>
      </c>
      <c r="T273" s="50">
        <f t="shared" si="323"/>
        <v>-0.6054673225676539</v>
      </c>
      <c r="U273" s="298"/>
      <c r="V273" s="298"/>
      <c r="W273" s="298"/>
      <c r="X273" s="113"/>
      <c r="Y273" s="113"/>
      <c r="Z273" s="113"/>
      <c r="AA273" s="113"/>
      <c r="AB273" s="113"/>
      <c r="AC273" s="113"/>
      <c r="AD273" s="113"/>
      <c r="AE273" s="113"/>
      <c r="AF273" s="113"/>
      <c r="AG273" s="113"/>
      <c r="AH273" s="113"/>
      <c r="AI273" s="113"/>
      <c r="AJ273" s="113"/>
      <c r="AK273" s="113"/>
      <c r="AL273" s="113"/>
      <c r="AM273" s="113"/>
      <c r="AN273" s="113"/>
      <c r="AO273" s="113"/>
      <c r="AP273" s="113"/>
      <c r="AQ273" s="113"/>
      <c r="AR273" s="113"/>
      <c r="AS273" s="113"/>
      <c r="AT273" s="113"/>
      <c r="AU273" s="113"/>
      <c r="AV273" s="113"/>
      <c r="AW273" s="113"/>
      <c r="AX273" s="113"/>
      <c r="AY273" s="113"/>
      <c r="AZ273" s="113"/>
      <c r="BA273" s="113"/>
    </row>
    <row r="274" spans="2:53" x14ac:dyDescent="0.25">
      <c r="B274" s="47">
        <f t="shared" si="438"/>
        <v>1</v>
      </c>
      <c r="C274" s="47">
        <f t="shared" si="321"/>
        <v>12</v>
      </c>
      <c r="D274" s="47" t="str">
        <f t="shared" si="471"/>
        <v>AP Power</v>
      </c>
      <c r="E274" s="48">
        <v>2007</v>
      </c>
      <c r="F274" s="207">
        <v>739.7</v>
      </c>
      <c r="G274" s="50">
        <f t="shared" si="431"/>
        <v>0.18042548410653955</v>
      </c>
      <c r="H274" s="49"/>
      <c r="I274" s="49"/>
      <c r="J274" s="207">
        <v>34696.093199999996</v>
      </c>
      <c r="K274" s="50">
        <f t="shared" ref="K274" si="476">J274/$J$472</f>
        <v>3.2550150864917311E-2</v>
      </c>
      <c r="L274" s="50"/>
      <c r="M274" s="207">
        <v>1169116</v>
      </c>
      <c r="N274" s="207">
        <v>54108.141008378916</v>
      </c>
      <c r="O274" s="49">
        <f t="shared" si="433"/>
        <v>19412.04780837892</v>
      </c>
      <c r="P274" s="50">
        <f t="shared" si="434"/>
        <v>0.35876390218937421</v>
      </c>
      <c r="Q274" s="50">
        <f t="shared" si="435"/>
        <v>0.64123609781062574</v>
      </c>
      <c r="R274" s="50">
        <f t="shared" si="436"/>
        <v>0</v>
      </c>
      <c r="S274" s="50">
        <f t="shared" si="437"/>
        <v>0.64123609781062574</v>
      </c>
      <c r="T274" s="50">
        <f t="shared" si="323"/>
        <v>-0.64123609781062574</v>
      </c>
      <c r="U274" s="298"/>
      <c r="V274" s="298"/>
      <c r="W274" s="298"/>
      <c r="X274" s="113"/>
      <c r="Y274" s="113"/>
      <c r="Z274" s="113"/>
      <c r="AA274" s="113"/>
      <c r="AB274" s="113"/>
      <c r="AC274" s="113"/>
      <c r="AD274" s="113"/>
      <c r="AE274" s="113"/>
      <c r="AF274" s="113"/>
      <c r="AG274" s="113"/>
      <c r="AH274" s="113"/>
      <c r="AI274" s="113"/>
      <c r="AJ274" s="113"/>
      <c r="AK274" s="113"/>
      <c r="AL274" s="113"/>
      <c r="AM274" s="113"/>
      <c r="AN274" s="113"/>
      <c r="AO274" s="113"/>
      <c r="AP274" s="113"/>
      <c r="AQ274" s="113"/>
      <c r="AR274" s="113"/>
      <c r="AS274" s="113"/>
      <c r="AT274" s="113"/>
      <c r="AU274" s="113"/>
      <c r="AV274" s="113"/>
      <c r="AW274" s="113"/>
      <c r="AX274" s="113"/>
      <c r="AY274" s="113"/>
      <c r="AZ274" s="113"/>
      <c r="BA274" s="113"/>
    </row>
    <row r="275" spans="2:53" x14ac:dyDescent="0.25">
      <c r="B275" s="47">
        <f t="shared" si="438"/>
        <v>1</v>
      </c>
      <c r="C275" s="47">
        <f t="shared" ref="C275:C358" si="477">IF(D275=D274,C274,C274+1)</f>
        <v>12</v>
      </c>
      <c r="D275" s="47" t="str">
        <f t="shared" si="471"/>
        <v>AP Power</v>
      </c>
      <c r="E275" s="48">
        <v>2008</v>
      </c>
      <c r="F275" s="207">
        <v>739.7</v>
      </c>
      <c r="G275" s="50">
        <f t="shared" si="431"/>
        <v>0.16309277548654488</v>
      </c>
      <c r="H275" s="49"/>
      <c r="I275" s="49"/>
      <c r="J275" s="207">
        <v>36786.859200000006</v>
      </c>
      <c r="K275" s="50">
        <f t="shared" ref="K275" si="478">J275/$J$473</f>
        <v>3.1765600164139367E-2</v>
      </c>
      <c r="L275" s="50"/>
      <c r="M275" s="207">
        <v>1056804</v>
      </c>
      <c r="N275" s="207">
        <v>59619.111804912493</v>
      </c>
      <c r="O275" s="49">
        <f t="shared" si="433"/>
        <v>22832.252604912486</v>
      </c>
      <c r="P275" s="50">
        <f t="shared" si="434"/>
        <v>0.38296868090931802</v>
      </c>
      <c r="Q275" s="50">
        <f t="shared" si="435"/>
        <v>0.61703131909068198</v>
      </c>
      <c r="R275" s="50">
        <f t="shared" si="436"/>
        <v>0</v>
      </c>
      <c r="S275" s="50">
        <f t="shared" si="437"/>
        <v>0.61703131909068198</v>
      </c>
      <c r="T275" s="50">
        <f t="shared" ref="T275:T358" si="479">R275-S275</f>
        <v>-0.61703131909068198</v>
      </c>
      <c r="U275" s="298"/>
      <c r="V275" s="298"/>
      <c r="W275" s="298"/>
      <c r="X275" s="113"/>
      <c r="Y275" s="113"/>
      <c r="Z275" s="113"/>
      <c r="AA275" s="113"/>
      <c r="AB275" s="113"/>
      <c r="AC275" s="113"/>
      <c r="AD275" s="113"/>
      <c r="AE275" s="113"/>
      <c r="AF275" s="113"/>
      <c r="AG275" s="113"/>
      <c r="AH275" s="113"/>
      <c r="AI275" s="113"/>
      <c r="AJ275" s="113"/>
      <c r="AK275" s="113"/>
      <c r="AL275" s="113"/>
      <c r="AM275" s="113"/>
      <c r="AN275" s="113"/>
      <c r="AO275" s="113"/>
      <c r="AP275" s="113"/>
      <c r="AQ275" s="113"/>
      <c r="AR275" s="113"/>
      <c r="AS275" s="113"/>
      <c r="AT275" s="113"/>
      <c r="AU275" s="113"/>
      <c r="AV275" s="113"/>
      <c r="AW275" s="113"/>
      <c r="AX275" s="113"/>
      <c r="AY275" s="113"/>
      <c r="AZ275" s="113"/>
      <c r="BA275" s="113"/>
    </row>
    <row r="276" spans="2:53" x14ac:dyDescent="0.25">
      <c r="B276" s="47">
        <f t="shared" si="438"/>
        <v>1</v>
      </c>
      <c r="C276" s="47">
        <f t="shared" si="477"/>
        <v>12</v>
      </c>
      <c r="D276" s="47" t="str">
        <f t="shared" si="471"/>
        <v>AP Power</v>
      </c>
      <c r="E276" s="48">
        <v>2009</v>
      </c>
      <c r="F276" s="207">
        <v>739.7</v>
      </c>
      <c r="G276" s="50">
        <f t="shared" si="431"/>
        <v>0.18539062794184732</v>
      </c>
      <c r="H276" s="49"/>
      <c r="I276" s="49"/>
      <c r="J276" s="207">
        <v>34023.229199999994</v>
      </c>
      <c r="K276" s="50">
        <f t="shared" ref="K276" si="480">J276/$J$474</f>
        <v>2.8833607321159051E-2</v>
      </c>
      <c r="L276" s="50"/>
      <c r="M276" s="207">
        <v>1201289</v>
      </c>
      <c r="N276" s="207">
        <v>44421.576020314584</v>
      </c>
      <c r="O276" s="49">
        <f t="shared" si="433"/>
        <v>10398.346820314589</v>
      </c>
      <c r="P276" s="50">
        <f t="shared" si="434"/>
        <v>0.23408324854479015</v>
      </c>
      <c r="Q276" s="50">
        <f t="shared" si="435"/>
        <v>0.76591675145520988</v>
      </c>
      <c r="R276" s="50">
        <f t="shared" si="436"/>
        <v>0</v>
      </c>
      <c r="S276" s="50">
        <f t="shared" si="437"/>
        <v>0.76591675145520988</v>
      </c>
      <c r="T276" s="50">
        <f t="shared" si="479"/>
        <v>-0.76591675145520988</v>
      </c>
      <c r="U276" s="298"/>
      <c r="V276" s="298"/>
      <c r="W276" s="298"/>
      <c r="X276" s="113"/>
      <c r="Y276" s="113"/>
      <c r="Z276" s="113"/>
      <c r="AA276" s="113"/>
      <c r="AB276" s="113"/>
      <c r="AC276" s="113"/>
      <c r="AD276" s="113"/>
      <c r="AE276" s="113"/>
      <c r="AF276" s="113"/>
      <c r="AG276" s="113"/>
      <c r="AH276" s="113"/>
      <c r="AI276" s="113"/>
      <c r="AJ276" s="113"/>
      <c r="AK276" s="113"/>
      <c r="AL276" s="113"/>
      <c r="AM276" s="113"/>
      <c r="AN276" s="113"/>
      <c r="AO276" s="113"/>
      <c r="AP276" s="113"/>
      <c r="AQ276" s="113"/>
      <c r="AR276" s="113"/>
      <c r="AS276" s="113"/>
      <c r="AT276" s="113"/>
      <c r="AU276" s="113"/>
      <c r="AV276" s="113"/>
      <c r="AW276" s="113"/>
      <c r="AX276" s="113"/>
      <c r="AY276" s="113"/>
      <c r="AZ276" s="113"/>
      <c r="BA276" s="113"/>
    </row>
    <row r="277" spans="2:53" x14ac:dyDescent="0.25">
      <c r="B277" s="47">
        <f t="shared" si="438"/>
        <v>1</v>
      </c>
      <c r="C277" s="47">
        <f t="shared" si="477"/>
        <v>12</v>
      </c>
      <c r="D277" s="47" t="str">
        <f t="shared" si="471"/>
        <v>AP Power</v>
      </c>
      <c r="E277" s="48">
        <v>2010</v>
      </c>
      <c r="F277" s="207">
        <v>739.7</v>
      </c>
      <c r="G277" s="50">
        <f t="shared" si="431"/>
        <v>0.18367667874733865</v>
      </c>
      <c r="H277" s="49"/>
      <c r="I277" s="49"/>
      <c r="J277" s="207">
        <v>37335.921600000001</v>
      </c>
      <c r="K277" s="50">
        <f t="shared" ref="K277" si="481">J277/$J$475</f>
        <v>3.0511002333737221E-2</v>
      </c>
      <c r="L277" s="50"/>
      <c r="M277" s="207">
        <v>1190183</v>
      </c>
      <c r="N277" s="207">
        <v>50258.564738409172</v>
      </c>
      <c r="O277" s="49">
        <f t="shared" si="433"/>
        <v>12922.64313840917</v>
      </c>
      <c r="P277" s="50">
        <f t="shared" si="434"/>
        <v>0.25712320289427765</v>
      </c>
      <c r="Q277" s="50">
        <f t="shared" si="435"/>
        <v>0.74287679710572241</v>
      </c>
      <c r="R277" s="50">
        <f t="shared" si="436"/>
        <v>0</v>
      </c>
      <c r="S277" s="50">
        <f t="shared" si="437"/>
        <v>0.74287679710572241</v>
      </c>
      <c r="T277" s="50">
        <f t="shared" si="479"/>
        <v>-0.74287679710572241</v>
      </c>
      <c r="U277" s="298"/>
      <c r="V277" s="298"/>
      <c r="W277" s="298"/>
      <c r="X277" s="113"/>
      <c r="Y277" s="113"/>
      <c r="Z277" s="113"/>
      <c r="AA277" s="113"/>
      <c r="AB277" s="113"/>
      <c r="AC277" s="113"/>
      <c r="AD277" s="113"/>
      <c r="AE277" s="113"/>
      <c r="AF277" s="113"/>
      <c r="AG277" s="113"/>
      <c r="AH277" s="113"/>
      <c r="AI277" s="113"/>
      <c r="AJ277" s="113"/>
      <c r="AK277" s="113"/>
      <c r="AL277" s="113"/>
      <c r="AM277" s="113"/>
      <c r="AN277" s="113"/>
      <c r="AO277" s="113"/>
      <c r="AP277" s="113"/>
      <c r="AQ277" s="113"/>
      <c r="AR277" s="113"/>
      <c r="AS277" s="113"/>
      <c r="AT277" s="113"/>
      <c r="AU277" s="113"/>
      <c r="AV277" s="113"/>
      <c r="AW277" s="113"/>
      <c r="AX277" s="113"/>
      <c r="AY277" s="113"/>
      <c r="AZ277" s="113"/>
      <c r="BA277" s="113"/>
    </row>
    <row r="278" spans="2:53" x14ac:dyDescent="0.25">
      <c r="B278" s="47">
        <f t="shared" si="438"/>
        <v>1</v>
      </c>
      <c r="C278" s="47">
        <f t="shared" si="477"/>
        <v>12</v>
      </c>
      <c r="D278" s="47" t="str">
        <f t="shared" si="471"/>
        <v>AP Power</v>
      </c>
      <c r="E278" s="48">
        <v>2011</v>
      </c>
      <c r="F278" s="207">
        <v>778.7</v>
      </c>
      <c r="G278" s="50">
        <f t="shared" si="431"/>
        <v>0.15214269421052415</v>
      </c>
      <c r="H278" s="49"/>
      <c r="I278" s="49"/>
      <c r="J278" s="207">
        <v>32529.087599999995</v>
      </c>
      <c r="K278" s="50">
        <f t="shared" ref="K278" si="482">J278/$J$476</f>
        <v>2.6950996119050885E-2</v>
      </c>
      <c r="L278" s="50"/>
      <c r="M278" s="207">
        <v>1037828</v>
      </c>
      <c r="N278" s="207">
        <v>45569.371400077092</v>
      </c>
      <c r="O278" s="49">
        <f t="shared" si="433"/>
        <v>13040.283800077097</v>
      </c>
      <c r="P278" s="50">
        <f t="shared" si="434"/>
        <v>0.28616334611223176</v>
      </c>
      <c r="Q278" s="50">
        <f t="shared" si="435"/>
        <v>0.71383665388776829</v>
      </c>
      <c r="R278" s="50">
        <f t="shared" si="436"/>
        <v>0</v>
      </c>
      <c r="S278" s="50">
        <f t="shared" si="437"/>
        <v>0.71383665388776829</v>
      </c>
      <c r="T278" s="50">
        <f t="shared" si="479"/>
        <v>-0.71383665388776829</v>
      </c>
      <c r="U278" s="298"/>
      <c r="V278" s="298"/>
      <c r="W278" s="298"/>
      <c r="X278" s="113"/>
      <c r="Y278" s="113"/>
      <c r="Z278" s="113"/>
      <c r="AA278" s="113"/>
      <c r="AB278" s="113"/>
      <c r="AC278" s="113"/>
      <c r="AD278" s="113"/>
      <c r="AE278" s="113"/>
      <c r="AF278" s="113"/>
      <c r="AG278" s="113"/>
      <c r="AH278" s="113"/>
      <c r="AI278" s="113"/>
      <c r="AJ278" s="113"/>
      <c r="AK278" s="113"/>
      <c r="AL278" s="113"/>
      <c r="AM278" s="113"/>
      <c r="AN278" s="113"/>
      <c r="AO278" s="113"/>
      <c r="AP278" s="113"/>
      <c r="AQ278" s="113"/>
      <c r="AR278" s="113"/>
      <c r="AS278" s="113"/>
      <c r="AT278" s="113"/>
      <c r="AU278" s="113"/>
      <c r="AV278" s="113"/>
      <c r="AW278" s="113"/>
      <c r="AX278" s="113"/>
      <c r="AY278" s="113"/>
      <c r="AZ278" s="113"/>
      <c r="BA278" s="113"/>
    </row>
    <row r="279" spans="2:53" x14ac:dyDescent="0.25">
      <c r="B279" s="47">
        <f t="shared" si="438"/>
        <v>1</v>
      </c>
      <c r="C279" s="47">
        <f t="shared" si="477"/>
        <v>12</v>
      </c>
      <c r="D279" s="47" t="str">
        <f t="shared" si="471"/>
        <v>AP Power</v>
      </c>
      <c r="E279" s="48">
        <v>2012</v>
      </c>
      <c r="F279" s="207">
        <v>778.7</v>
      </c>
      <c r="G279" s="50">
        <f t="shared" si="431"/>
        <v>0.14220853395162175</v>
      </c>
      <c r="H279" s="49"/>
      <c r="I279" s="49"/>
      <c r="J279" s="207">
        <v>28202.093999999997</v>
      </c>
      <c r="K279" s="50">
        <f t="shared" ref="K279" si="483">J279/$J$477</f>
        <v>2.2650695107892676E-2</v>
      </c>
      <c r="L279" s="50"/>
      <c r="M279" s="207">
        <v>970063</v>
      </c>
      <c r="N279" s="207">
        <v>32626.943574879704</v>
      </c>
      <c r="O279" s="49">
        <f t="shared" si="433"/>
        <v>4424.8495748797068</v>
      </c>
      <c r="P279" s="50">
        <f t="shared" si="434"/>
        <v>0.135619493892358</v>
      </c>
      <c r="Q279" s="50">
        <f t="shared" si="435"/>
        <v>0.86438050610764194</v>
      </c>
      <c r="R279" s="50">
        <f t="shared" si="436"/>
        <v>0</v>
      </c>
      <c r="S279" s="50">
        <f t="shared" si="437"/>
        <v>0.86438050610764194</v>
      </c>
      <c r="T279" s="50">
        <f t="shared" si="479"/>
        <v>-0.86438050610764194</v>
      </c>
      <c r="U279" s="298"/>
      <c r="V279" s="298"/>
      <c r="W279" s="298"/>
      <c r="X279" s="113"/>
      <c r="Y279" s="113"/>
      <c r="Z279" s="113"/>
      <c r="AA279" s="113"/>
      <c r="AB279" s="113"/>
      <c r="AC279" s="113"/>
      <c r="AD279" s="113"/>
      <c r="AE279" s="113"/>
      <c r="AF279" s="113"/>
      <c r="AG279" s="113"/>
      <c r="AH279" s="113"/>
      <c r="AI279" s="113"/>
      <c r="AJ279" s="113"/>
      <c r="AK279" s="113"/>
      <c r="AL279" s="113"/>
      <c r="AM279" s="113"/>
      <c r="AN279" s="113"/>
      <c r="AO279" s="113"/>
      <c r="AP279" s="113"/>
      <c r="AQ279" s="113"/>
      <c r="AR279" s="113"/>
      <c r="AS279" s="113"/>
      <c r="AT279" s="113"/>
      <c r="AU279" s="113"/>
      <c r="AV279" s="113"/>
      <c r="AW279" s="113"/>
      <c r="AX279" s="113"/>
      <c r="AY279" s="113"/>
      <c r="AZ279" s="113"/>
      <c r="BA279" s="113"/>
    </row>
    <row r="280" spans="2:53" x14ac:dyDescent="0.25">
      <c r="B280" s="47">
        <f t="shared" si="438"/>
        <v>1</v>
      </c>
      <c r="C280" s="47">
        <f t="shared" si="477"/>
        <v>12</v>
      </c>
      <c r="D280" s="47" t="str">
        <f t="shared" si="471"/>
        <v>AP Power</v>
      </c>
      <c r="E280" s="48">
        <v>2013</v>
      </c>
      <c r="F280" s="207">
        <v>839.99999999999989</v>
      </c>
      <c r="G280" s="50">
        <f t="shared" si="431"/>
        <v>0.1446603881278539</v>
      </c>
      <c r="H280" s="47"/>
      <c r="I280" s="47"/>
      <c r="J280" s="207">
        <v>26564.264399999996</v>
      </c>
      <c r="K280" s="50">
        <f t="shared" ref="K280" si="484">J280/$J$478</f>
        <v>2.1368988198505648E-2</v>
      </c>
      <c r="L280" s="47"/>
      <c r="M280" s="207">
        <v>1064469</v>
      </c>
      <c r="N280" s="207">
        <v>40460.718653563606</v>
      </c>
      <c r="O280" s="49">
        <f t="shared" si="433"/>
        <v>13896.45425356361</v>
      </c>
      <c r="P280" s="50">
        <f t="shared" si="434"/>
        <v>0.3434554480494792</v>
      </c>
      <c r="Q280" s="50">
        <f t="shared" si="435"/>
        <v>0.65654455195052086</v>
      </c>
      <c r="R280" s="50">
        <f t="shared" si="436"/>
        <v>0</v>
      </c>
      <c r="S280" s="50">
        <f t="shared" si="437"/>
        <v>0.65654455195052086</v>
      </c>
      <c r="T280" s="50">
        <f t="shared" si="479"/>
        <v>-0.65654455195052086</v>
      </c>
      <c r="U280" s="298"/>
      <c r="V280" s="298"/>
      <c r="W280" s="298"/>
      <c r="X280" s="113"/>
      <c r="Y280" s="113"/>
      <c r="Z280" s="113"/>
      <c r="AA280" s="113"/>
      <c r="AB280" s="113"/>
      <c r="AC280" s="113"/>
      <c r="AD280" s="113"/>
      <c r="AE280" s="113"/>
      <c r="AF280" s="113"/>
      <c r="AG280" s="113"/>
      <c r="AH280" s="113"/>
      <c r="AI280" s="113"/>
      <c r="AJ280" s="113"/>
      <c r="AK280" s="113"/>
      <c r="AL280" s="113"/>
      <c r="AM280" s="113"/>
      <c r="AN280" s="113"/>
      <c r="AO280" s="113"/>
      <c r="AP280" s="113"/>
      <c r="AQ280" s="113"/>
      <c r="AR280" s="113"/>
      <c r="AS280" s="113"/>
      <c r="AT280" s="113"/>
      <c r="AU280" s="113"/>
      <c r="AV280" s="113"/>
      <c r="AW280" s="113"/>
      <c r="AX280" s="113"/>
      <c r="AY280" s="113"/>
      <c r="AZ280" s="113"/>
      <c r="BA280" s="113"/>
    </row>
    <row r="281" spans="2:53" x14ac:dyDescent="0.25">
      <c r="B281" s="47">
        <f t="shared" si="438"/>
        <v>1</v>
      </c>
      <c r="C281" s="47">
        <f t="shared" si="477"/>
        <v>12</v>
      </c>
      <c r="D281" s="47" t="str">
        <f>D278</f>
        <v>AP Power</v>
      </c>
      <c r="E281" s="48">
        <v>2014</v>
      </c>
      <c r="F281" s="207">
        <v>839.69999999999993</v>
      </c>
      <c r="G281" s="50">
        <f t="shared" si="431"/>
        <v>0.12316790134332604</v>
      </c>
      <c r="H281" s="47"/>
      <c r="I281" s="47"/>
      <c r="J281" s="207">
        <v>32319.896399999994</v>
      </c>
      <c r="K281" s="50">
        <f t="shared" ref="K281" si="485">J281/$J$479</f>
        <v>2.5903930415822968E-2</v>
      </c>
      <c r="L281" s="47"/>
      <c r="M281" s="207">
        <v>905995</v>
      </c>
      <c r="N281" s="207">
        <v>25174.6796359318</v>
      </c>
      <c r="O281" s="49">
        <f t="shared" si="433"/>
        <v>-7145.2167640681946</v>
      </c>
      <c r="P281" s="50">
        <f t="shared" si="434"/>
        <v>-0.28382552896005209</v>
      </c>
      <c r="Q281" s="50">
        <f t="shared" si="435"/>
        <v>1.283825528960052</v>
      </c>
      <c r="R281" s="50">
        <f t="shared" si="436"/>
        <v>0</v>
      </c>
      <c r="S281" s="50">
        <f t="shared" si="437"/>
        <v>1.283825528960052</v>
      </c>
      <c r="T281" s="50">
        <f t="shared" si="479"/>
        <v>-1.283825528960052</v>
      </c>
      <c r="U281" s="298"/>
      <c r="V281" s="298"/>
      <c r="W281" s="298"/>
      <c r="X281" s="113"/>
      <c r="Y281" s="113"/>
      <c r="Z281" s="113"/>
      <c r="AA281" s="113"/>
      <c r="AB281" s="113"/>
      <c r="AC281" s="113"/>
      <c r="AD281" s="113"/>
      <c r="AE281" s="113"/>
      <c r="AF281" s="113"/>
      <c r="AG281" s="113"/>
      <c r="AH281" s="113"/>
      <c r="AI281" s="113"/>
      <c r="AJ281" s="113"/>
      <c r="AK281" s="113"/>
      <c r="AL281" s="113"/>
      <c r="AM281" s="113"/>
      <c r="AN281" s="113"/>
      <c r="AO281" s="113"/>
      <c r="AP281" s="113"/>
      <c r="AQ281" s="113"/>
      <c r="AR281" s="113"/>
      <c r="AS281" s="113"/>
      <c r="AT281" s="113"/>
      <c r="AU281" s="113"/>
      <c r="AV281" s="113"/>
      <c r="AW281" s="113"/>
      <c r="AX281" s="113"/>
      <c r="AY281" s="113"/>
      <c r="AZ281" s="113"/>
      <c r="BA281" s="113"/>
    </row>
    <row r="282" spans="2:53" x14ac:dyDescent="0.25">
      <c r="B282" s="47">
        <f t="shared" si="438"/>
        <v>1</v>
      </c>
      <c r="C282" s="47">
        <f t="shared" si="477"/>
        <v>12</v>
      </c>
      <c r="D282" s="47" t="str">
        <f>D279</f>
        <v>AP Power</v>
      </c>
      <c r="E282" s="48">
        <v>2015</v>
      </c>
      <c r="F282" s="207">
        <v>839.7</v>
      </c>
      <c r="G282" s="50">
        <f t="shared" si="431"/>
        <v>0.11731576237001365</v>
      </c>
      <c r="H282" s="47"/>
      <c r="I282" s="47"/>
      <c r="J282" s="207">
        <v>26075.236800000002</v>
      </c>
      <c r="K282" s="50">
        <f t="shared" ref="K282" si="486">J282/$J$480</f>
        <v>1.9784590495152448E-2</v>
      </c>
      <c r="L282" s="47"/>
      <c r="M282" s="207">
        <v>862948</v>
      </c>
      <c r="N282" s="207">
        <v>30728.959551101405</v>
      </c>
      <c r="O282" s="49">
        <f t="shared" si="433"/>
        <v>4653.7227511014025</v>
      </c>
      <c r="P282" s="50">
        <f t="shared" si="434"/>
        <v>0.15144420179155077</v>
      </c>
      <c r="Q282" s="50">
        <f t="shared" si="435"/>
        <v>0.84855579820844929</v>
      </c>
      <c r="R282" s="50">
        <f t="shared" si="436"/>
        <v>0</v>
      </c>
      <c r="S282" s="50">
        <f t="shared" si="437"/>
        <v>0.84855579820844929</v>
      </c>
      <c r="T282" s="50">
        <f t="shared" si="479"/>
        <v>-0.84855579820844929</v>
      </c>
      <c r="U282" s="298"/>
      <c r="V282" s="298"/>
      <c r="W282" s="298"/>
      <c r="X282" s="113"/>
      <c r="Y282" s="113"/>
      <c r="Z282" s="113"/>
      <c r="AA282" s="113"/>
      <c r="AB282" s="113"/>
      <c r="AC282" s="113"/>
      <c r="AD282" s="113"/>
      <c r="AE282" s="113"/>
      <c r="AF282" s="113"/>
      <c r="AG282" s="113"/>
      <c r="AH282" s="113"/>
      <c r="AI282" s="113"/>
      <c r="AJ282" s="113"/>
      <c r="AK282" s="113"/>
      <c r="AL282" s="113"/>
      <c r="AM282" s="113"/>
      <c r="AN282" s="113"/>
      <c r="AO282" s="113"/>
      <c r="AP282" s="113"/>
      <c r="AQ282" s="113"/>
      <c r="AR282" s="113"/>
      <c r="AS282" s="113"/>
      <c r="AT282" s="113"/>
      <c r="AU282" s="113"/>
      <c r="AV282" s="113"/>
      <c r="AW282" s="113"/>
      <c r="AX282" s="113"/>
      <c r="AY282" s="113"/>
      <c r="AZ282" s="113"/>
      <c r="BA282" s="113"/>
    </row>
    <row r="283" spans="2:53" x14ac:dyDescent="0.25">
      <c r="B283" s="47">
        <f t="shared" si="438"/>
        <v>1</v>
      </c>
      <c r="C283" s="47">
        <f t="shared" si="477"/>
        <v>12</v>
      </c>
      <c r="D283" s="47" t="str">
        <f>D280</f>
        <v>AP Power</v>
      </c>
      <c r="E283" s="48">
        <v>2016</v>
      </c>
      <c r="F283" s="207">
        <v>839.7</v>
      </c>
      <c r="G283" s="50">
        <f t="shared" si="431"/>
        <v>0.15206915059357468</v>
      </c>
      <c r="H283" s="47"/>
      <c r="I283" s="47"/>
      <c r="J283" s="207">
        <v>32384.554800000005</v>
      </c>
      <c r="K283" s="50">
        <f t="shared" ref="K283" si="487">J283/$J$481</f>
        <v>2.4333073613029086E-2</v>
      </c>
      <c r="L283" s="47"/>
      <c r="M283" s="207">
        <v>1118586</v>
      </c>
      <c r="N283" s="207">
        <v>32658.093414475548</v>
      </c>
      <c r="O283" s="49">
        <f t="shared" si="433"/>
        <v>273.538614475543</v>
      </c>
      <c r="P283" s="50">
        <f t="shared" si="434"/>
        <v>8.3758292624118193E-3</v>
      </c>
      <c r="Q283" s="50">
        <f t="shared" si="435"/>
        <v>0.99162417073758813</v>
      </c>
      <c r="R283" s="50">
        <f t="shared" si="436"/>
        <v>0</v>
      </c>
      <c r="S283" s="50">
        <f t="shared" si="437"/>
        <v>0.99162417073758813</v>
      </c>
      <c r="T283" s="50">
        <f t="shared" si="479"/>
        <v>-0.99162417073758813</v>
      </c>
      <c r="U283" s="298"/>
      <c r="V283" s="298"/>
      <c r="W283" s="298"/>
      <c r="X283" s="113"/>
      <c r="Y283" s="113"/>
      <c r="Z283" s="113"/>
      <c r="AA283" s="113"/>
      <c r="AB283" s="113"/>
      <c r="AC283" s="113"/>
      <c r="AD283" s="113"/>
      <c r="AE283" s="113"/>
      <c r="AF283" s="113"/>
      <c r="AG283" s="113"/>
      <c r="AH283" s="113"/>
      <c r="AI283" s="113"/>
      <c r="AJ283" s="113"/>
      <c r="AK283" s="113"/>
      <c r="AL283" s="113"/>
      <c r="AM283" s="113"/>
      <c r="AN283" s="113"/>
      <c r="AO283" s="113"/>
      <c r="AP283" s="113"/>
      <c r="AQ283" s="113"/>
      <c r="AR283" s="113"/>
      <c r="AS283" s="113"/>
      <c r="AT283" s="113"/>
      <c r="AU283" s="113"/>
      <c r="AV283" s="113"/>
      <c r="AW283" s="113"/>
      <c r="AX283" s="113"/>
      <c r="AY283" s="113"/>
      <c r="AZ283" s="113"/>
      <c r="BA283" s="113"/>
    </row>
    <row r="284" spans="2:53" x14ac:dyDescent="0.25">
      <c r="B284" s="47">
        <f t="shared" si="438"/>
        <v>1</v>
      </c>
      <c r="C284" s="47">
        <f t="shared" si="477"/>
        <v>12</v>
      </c>
      <c r="D284" s="47" t="str">
        <f>D281</f>
        <v>AP Power</v>
      </c>
      <c r="E284" s="48">
        <v>2017</v>
      </c>
      <c r="F284" s="207">
        <v>839.7</v>
      </c>
      <c r="G284" s="50">
        <f t="shared" si="431"/>
        <v>0.12680477317676514</v>
      </c>
      <c r="H284" s="47"/>
      <c r="I284" s="47"/>
      <c r="J284" s="207">
        <v>32620.774800000003</v>
      </c>
      <c r="K284" s="50">
        <f t="shared" ref="K284" si="488">J284/$J$482</f>
        <v>2.5054816773710884E-2</v>
      </c>
      <c r="L284" s="47"/>
      <c r="M284" s="207">
        <v>932747</v>
      </c>
      <c r="N284" s="207">
        <v>28510.602222458456</v>
      </c>
      <c r="O284" s="49">
        <f t="shared" si="433"/>
        <v>-4110.1725775415471</v>
      </c>
      <c r="P284" s="50">
        <f t="shared" si="434"/>
        <v>-0.14416295192473591</v>
      </c>
      <c r="Q284" s="50">
        <f t="shared" si="435"/>
        <v>1.1441629519247358</v>
      </c>
      <c r="R284" s="50">
        <f t="shared" si="436"/>
        <v>0</v>
      </c>
      <c r="S284" s="50">
        <f t="shared" si="437"/>
        <v>1.1441629519247358</v>
      </c>
      <c r="T284" s="50">
        <f t="shared" si="479"/>
        <v>-1.1441629519247358</v>
      </c>
      <c r="U284" s="298"/>
      <c r="V284" s="298"/>
      <c r="W284" s="298"/>
      <c r="X284" s="113"/>
      <c r="Y284" s="113"/>
      <c r="Z284" s="113"/>
      <c r="AA284" s="113"/>
      <c r="AB284" s="113"/>
      <c r="AC284" s="113"/>
      <c r="AD284" s="113"/>
      <c r="AE284" s="113"/>
      <c r="AF284" s="113"/>
      <c r="AG284" s="113"/>
      <c r="AH284" s="113"/>
      <c r="AI284" s="113"/>
      <c r="AJ284" s="113"/>
      <c r="AK284" s="113"/>
      <c r="AL284" s="113"/>
      <c r="AM284" s="113"/>
      <c r="AN284" s="113"/>
      <c r="AO284" s="113"/>
      <c r="AP284" s="113"/>
      <c r="AQ284" s="113"/>
      <c r="AR284" s="113"/>
      <c r="AS284" s="113"/>
      <c r="AT284" s="113"/>
      <c r="AU284" s="113"/>
      <c r="AV284" s="113"/>
      <c r="AW284" s="113"/>
      <c r="AX284" s="113"/>
      <c r="AY284" s="113"/>
      <c r="AZ284" s="113"/>
      <c r="BA284" s="113"/>
    </row>
    <row r="285" spans="2:53" x14ac:dyDescent="0.25">
      <c r="B285" s="47">
        <f t="shared" si="438"/>
        <v>1</v>
      </c>
      <c r="C285" s="47">
        <f t="shared" ref="C285:C289" si="489">IF(D285=D284,C284,C284+1)</f>
        <v>12</v>
      </c>
      <c r="D285" s="47" t="str">
        <f t="shared" ref="D285:D287" si="490">D282</f>
        <v>AP Power</v>
      </c>
      <c r="E285" s="48">
        <v>2018</v>
      </c>
      <c r="F285" s="207">
        <v>827.2</v>
      </c>
      <c r="G285" s="50">
        <f t="shared" ref="G285" si="491">M285/(F285*8760)</f>
        <v>0.16198798499421496</v>
      </c>
      <c r="H285" s="47"/>
      <c r="I285" s="47"/>
      <c r="J285" s="207">
        <v>37374.453599999993</v>
      </c>
      <c r="K285" s="50">
        <f t="shared" ref="K285" si="492">J285/$J$483</f>
        <v>2.6636990477932453E-2</v>
      </c>
      <c r="L285" s="47"/>
      <c r="M285" s="208">
        <v>1173809</v>
      </c>
      <c r="N285" s="207">
        <v>31379.576698229834</v>
      </c>
      <c r="O285" s="49">
        <f t="shared" ref="O285:O287" si="493">N285-J285</f>
        <v>-5994.8769017701597</v>
      </c>
      <c r="P285" s="50">
        <f t="shared" ref="P285:P287" si="494">O285/N285</f>
        <v>-0.19104390602274565</v>
      </c>
      <c r="Q285" s="50">
        <f t="shared" ref="Q285:Q287" si="495">1-P285</f>
        <v>1.1910439060227456</v>
      </c>
      <c r="R285" s="50">
        <f t="shared" ref="R285:R287" si="496">Q285*L285</f>
        <v>0</v>
      </c>
      <c r="S285" s="50">
        <f t="shared" ref="S285:S287" si="497">Q285-R285</f>
        <v>1.1910439060227456</v>
      </c>
      <c r="T285" s="50">
        <f t="shared" ref="T285:T287" si="498">R285-S285</f>
        <v>-1.1910439060227456</v>
      </c>
      <c r="U285" s="298"/>
      <c r="V285" s="298"/>
      <c r="W285" s="298"/>
      <c r="X285" s="113"/>
      <c r="Y285" s="113"/>
      <c r="Z285" s="113"/>
      <c r="AA285" s="113"/>
      <c r="AB285" s="113"/>
      <c r="AC285" s="113"/>
      <c r="AD285" s="113"/>
      <c r="AE285" s="113"/>
      <c r="AF285" s="113"/>
      <c r="AG285" s="113"/>
      <c r="AH285" s="113"/>
      <c r="AI285" s="113"/>
      <c r="AJ285" s="113"/>
      <c r="AK285" s="113"/>
      <c r="AL285" s="113"/>
      <c r="AM285" s="113"/>
      <c r="AN285" s="113"/>
      <c r="AO285" s="113"/>
      <c r="AP285" s="113"/>
      <c r="AQ285" s="113"/>
      <c r="AR285" s="113"/>
      <c r="AS285" s="113"/>
      <c r="AT285" s="113"/>
      <c r="AU285" s="113"/>
      <c r="AV285" s="113"/>
      <c r="AW285" s="113"/>
      <c r="AX285" s="113"/>
      <c r="AY285" s="113"/>
      <c r="AZ285" s="113"/>
      <c r="BA285" s="113"/>
    </row>
    <row r="286" spans="2:53" x14ac:dyDescent="0.25">
      <c r="B286" s="47">
        <f t="shared" si="438"/>
        <v>1</v>
      </c>
      <c r="C286" s="47">
        <f t="shared" si="489"/>
        <v>12</v>
      </c>
      <c r="D286" s="47" t="str">
        <f t="shared" si="490"/>
        <v>AP Power</v>
      </c>
      <c r="E286" s="48">
        <v>2019</v>
      </c>
      <c r="F286" s="207">
        <v>841.6</v>
      </c>
      <c r="G286" s="50">
        <f t="shared" si="431"/>
        <v>0.1518650059898953</v>
      </c>
      <c r="H286" s="47"/>
      <c r="I286" s="47"/>
      <c r="J286" s="207">
        <v>22206.2628</v>
      </c>
      <c r="K286" s="50">
        <f t="shared" ref="K286" si="499">J286/$J$484</f>
        <v>1.6126775674256591E-2</v>
      </c>
      <c r="L286" s="47"/>
      <c r="M286" s="207">
        <v>1119612</v>
      </c>
      <c r="N286" s="207">
        <v>30421.035063622709</v>
      </c>
      <c r="O286" s="49">
        <f t="shared" si="493"/>
        <v>8214.7722636227081</v>
      </c>
      <c r="P286" s="50">
        <f t="shared" si="494"/>
        <v>0.27003592239522067</v>
      </c>
      <c r="Q286" s="50">
        <f t="shared" si="495"/>
        <v>0.72996407760477933</v>
      </c>
      <c r="R286" s="50">
        <f t="shared" si="496"/>
        <v>0</v>
      </c>
      <c r="S286" s="50">
        <f t="shared" si="497"/>
        <v>0.72996407760477933</v>
      </c>
      <c r="T286" s="50">
        <f t="shared" si="498"/>
        <v>-0.72996407760477933</v>
      </c>
      <c r="U286" s="298"/>
      <c r="V286" s="298"/>
      <c r="W286" s="298"/>
      <c r="X286" s="113"/>
      <c r="Y286" s="113"/>
      <c r="Z286" s="113"/>
      <c r="AA286" s="113"/>
      <c r="AB286" s="113"/>
      <c r="AC286" s="113"/>
      <c r="AD286" s="113"/>
      <c r="AE286" s="113"/>
      <c r="AF286" s="113"/>
      <c r="AG286" s="113"/>
      <c r="AH286" s="113"/>
      <c r="AI286" s="113"/>
      <c r="AJ286" s="113"/>
      <c r="AK286" s="113"/>
      <c r="AL286" s="113"/>
      <c r="AM286" s="113"/>
      <c r="AN286" s="113"/>
      <c r="AO286" s="113"/>
      <c r="AP286" s="113"/>
      <c r="AQ286" s="113"/>
      <c r="AR286" s="113"/>
      <c r="AS286" s="113"/>
      <c r="AT286" s="113"/>
      <c r="AU286" s="113"/>
      <c r="AV286" s="113"/>
      <c r="AW286" s="113"/>
      <c r="AX286" s="113"/>
      <c r="AY286" s="113"/>
      <c r="AZ286" s="113"/>
      <c r="BA286" s="113"/>
    </row>
    <row r="287" spans="2:53" x14ac:dyDescent="0.25">
      <c r="B287" s="47">
        <f t="shared" si="438"/>
        <v>1</v>
      </c>
      <c r="C287" s="47">
        <f t="shared" si="489"/>
        <v>12</v>
      </c>
      <c r="D287" s="47" t="str">
        <f t="shared" si="490"/>
        <v>AP Power</v>
      </c>
      <c r="E287" s="48">
        <v>2020</v>
      </c>
      <c r="F287" s="207">
        <v>827.2</v>
      </c>
      <c r="G287" s="50">
        <f t="shared" si="431"/>
        <v>0.18581568563807707</v>
      </c>
      <c r="H287" s="47"/>
      <c r="I287" s="47"/>
      <c r="J287" s="207">
        <v>20061.199199999999</v>
      </c>
      <c r="K287" s="50">
        <f t="shared" ref="K287" si="500">J287/$J$485</f>
        <v>1.4484997550765386E-2</v>
      </c>
      <c r="L287" s="47"/>
      <c r="M287" s="207">
        <v>1346471</v>
      </c>
      <c r="N287" s="207">
        <v>28362.159040789971</v>
      </c>
      <c r="O287" s="49">
        <f t="shared" si="493"/>
        <v>8300.9598407899721</v>
      </c>
      <c r="P287" s="50">
        <f t="shared" si="494"/>
        <v>0.29267728979488739</v>
      </c>
      <c r="Q287" s="50">
        <f t="shared" si="495"/>
        <v>0.70732271020511261</v>
      </c>
      <c r="R287" s="50">
        <f t="shared" si="496"/>
        <v>0</v>
      </c>
      <c r="S287" s="50">
        <f t="shared" si="497"/>
        <v>0.70732271020511261</v>
      </c>
      <c r="T287" s="50">
        <f t="shared" si="498"/>
        <v>-0.70732271020511261</v>
      </c>
      <c r="U287" s="298"/>
      <c r="V287" s="298"/>
      <c r="W287" s="298"/>
      <c r="X287" s="113"/>
      <c r="Y287" s="113"/>
      <c r="Z287" s="113"/>
      <c r="AA287" s="113"/>
      <c r="AB287" s="113"/>
      <c r="AC287" s="113"/>
      <c r="AD287" s="113"/>
      <c r="AE287" s="113"/>
      <c r="AF287" s="113"/>
      <c r="AG287" s="113"/>
      <c r="AH287" s="113"/>
      <c r="AI287" s="113"/>
      <c r="AJ287" s="113"/>
      <c r="AK287" s="113"/>
      <c r="AL287" s="113"/>
      <c r="AM287" s="113"/>
      <c r="AN287" s="113"/>
      <c r="AO287" s="113"/>
      <c r="AP287" s="113"/>
      <c r="AQ287" s="113"/>
      <c r="AR287" s="113"/>
      <c r="AS287" s="113"/>
      <c r="AT287" s="113"/>
      <c r="AU287" s="113"/>
      <c r="AV287" s="113"/>
      <c r="AW287" s="113"/>
      <c r="AX287" s="113"/>
      <c r="AY287" s="113"/>
      <c r="AZ287" s="113"/>
      <c r="BA287" s="113"/>
    </row>
    <row r="288" spans="2:53" x14ac:dyDescent="0.25">
      <c r="B288" s="47">
        <f t="shared" si="438"/>
        <v>1</v>
      </c>
      <c r="C288" s="47">
        <f t="shared" si="489"/>
        <v>12</v>
      </c>
      <c r="D288" s="47" t="str">
        <f t="shared" ref="D288:D289" si="501">D285</f>
        <v>AP Power</v>
      </c>
      <c r="E288" s="48">
        <v>2021</v>
      </c>
      <c r="F288" s="207">
        <v>837.9</v>
      </c>
      <c r="G288" s="50">
        <f t="shared" si="431"/>
        <v>0.13582840009351493</v>
      </c>
      <c r="H288" s="47"/>
      <c r="I288" s="47"/>
      <c r="J288" s="207">
        <v>18264.877199999999</v>
      </c>
      <c r="K288" s="50">
        <f t="shared" ref="K288" si="502">J288/$J$486</f>
        <v>1.2605295540762368E-2</v>
      </c>
      <c r="L288" s="47"/>
      <c r="M288" s="207">
        <v>996981</v>
      </c>
      <c r="N288" s="207">
        <v>37054.209757048047</v>
      </c>
      <c r="O288" s="49">
        <f t="shared" ref="O288:O290" si="503">N288-J288</f>
        <v>18789.332557048048</v>
      </c>
      <c r="P288" s="50">
        <f t="shared" ref="P288:P290" si="504">O288/N288</f>
        <v>0.50707686603609581</v>
      </c>
      <c r="Q288" s="50">
        <f t="shared" ref="Q288:Q290" si="505">1-P288</f>
        <v>0.49292313396390419</v>
      </c>
      <c r="R288" s="50">
        <f t="shared" ref="R288:R290" si="506">Q288*L288</f>
        <v>0</v>
      </c>
      <c r="S288" s="50">
        <f t="shared" ref="S288:S290" si="507">Q288-R288</f>
        <v>0.49292313396390419</v>
      </c>
      <c r="T288" s="50">
        <f t="shared" ref="T288:T290" si="508">R288-S288</f>
        <v>-0.49292313396390419</v>
      </c>
      <c r="U288" s="298"/>
      <c r="V288" s="298"/>
      <c r="W288" s="298"/>
      <c r="X288" s="113"/>
      <c r="Y288" s="113"/>
      <c r="Z288" s="113"/>
      <c r="AA288" s="113"/>
      <c r="AB288" s="113"/>
      <c r="AC288" s="113"/>
      <c r="AD288" s="113"/>
      <c r="AE288" s="113"/>
      <c r="AF288" s="113"/>
      <c r="AG288" s="113"/>
      <c r="AH288" s="113"/>
      <c r="AI288" s="113"/>
      <c r="AJ288" s="113"/>
      <c r="AK288" s="113"/>
      <c r="AL288" s="113"/>
      <c r="AM288" s="113"/>
      <c r="AN288" s="113"/>
      <c r="AO288" s="113"/>
      <c r="AP288" s="113"/>
      <c r="AQ288" s="113"/>
      <c r="AR288" s="113"/>
      <c r="AS288" s="113"/>
      <c r="AT288" s="113"/>
      <c r="AU288" s="113"/>
      <c r="AV288" s="113"/>
      <c r="AW288" s="113"/>
      <c r="AX288" s="113"/>
      <c r="AY288" s="113"/>
      <c r="AZ288" s="113"/>
      <c r="BA288" s="113"/>
    </row>
    <row r="289" spans="2:53" x14ac:dyDescent="0.25">
      <c r="B289" s="47">
        <f t="shared" si="438"/>
        <v>1</v>
      </c>
      <c r="C289" s="47">
        <f t="shared" si="489"/>
        <v>12</v>
      </c>
      <c r="D289" s="47" t="str">
        <f t="shared" si="501"/>
        <v>AP Power</v>
      </c>
      <c r="E289" s="48">
        <v>2022</v>
      </c>
      <c r="F289" s="207">
        <v>837.9</v>
      </c>
      <c r="G289" s="50">
        <f t="shared" si="431"/>
        <v>0.14076708950022371</v>
      </c>
      <c r="H289" s="47"/>
      <c r="I289" s="47"/>
      <c r="J289" s="207">
        <v>23021.929199999999</v>
      </c>
      <c r="K289" s="50">
        <f t="shared" ref="K289" si="509">J289/$J$487</f>
        <v>1.565963343142544E-2</v>
      </c>
      <c r="L289" s="47"/>
      <c r="M289" s="207">
        <v>1033231</v>
      </c>
      <c r="N289" s="207">
        <v>74352.826658685619</v>
      </c>
      <c r="O289" s="49">
        <f t="shared" si="503"/>
        <v>51330.89745868562</v>
      </c>
      <c r="P289" s="50">
        <f t="shared" si="504"/>
        <v>0.69036914621038603</v>
      </c>
      <c r="Q289" s="50">
        <f t="shared" si="505"/>
        <v>0.30963085378961397</v>
      </c>
      <c r="R289" s="50">
        <f t="shared" si="506"/>
        <v>0</v>
      </c>
      <c r="S289" s="50">
        <f t="shared" si="507"/>
        <v>0.30963085378961397</v>
      </c>
      <c r="T289" s="50">
        <f t="shared" si="508"/>
        <v>-0.30963085378961397</v>
      </c>
      <c r="U289" s="298"/>
      <c r="V289" s="298"/>
      <c r="W289" s="298"/>
      <c r="X289" s="113"/>
      <c r="Y289" s="113"/>
      <c r="Z289" s="113"/>
      <c r="AA289" s="113"/>
      <c r="AB289" s="113"/>
      <c r="AC289" s="113"/>
      <c r="AD289" s="113"/>
      <c r="AE289" s="113"/>
      <c r="AF289" s="113"/>
      <c r="AG289" s="113"/>
      <c r="AH289" s="113"/>
      <c r="AI289" s="113"/>
      <c r="AJ289" s="113"/>
      <c r="AK289" s="113"/>
      <c r="AL289" s="113"/>
      <c r="AM289" s="113"/>
      <c r="AN289" s="113"/>
      <c r="AO289" s="113"/>
      <c r="AP289" s="113"/>
      <c r="AQ289" s="113"/>
      <c r="AR289" s="113"/>
      <c r="AS289" s="113"/>
      <c r="AT289" s="113"/>
      <c r="AU289" s="113"/>
      <c r="AV289" s="113"/>
      <c r="AW289" s="113"/>
      <c r="AX289" s="113"/>
      <c r="AY289" s="113"/>
      <c r="AZ289" s="113"/>
      <c r="BA289" s="113"/>
    </row>
    <row r="290" spans="2:53" x14ac:dyDescent="0.25">
      <c r="B290" s="47">
        <f t="shared" si="438"/>
        <v>1</v>
      </c>
      <c r="C290" s="47">
        <f>IF(D290=D284,C284,C284+1)</f>
        <v>12</v>
      </c>
      <c r="D290" s="47" t="str">
        <f>D281</f>
        <v>AP Power</v>
      </c>
      <c r="E290" s="48">
        <v>2023</v>
      </c>
      <c r="F290" s="207">
        <v>837.9</v>
      </c>
      <c r="G290" s="50">
        <f t="shared" si="431"/>
        <v>0.13908929749902044</v>
      </c>
      <c r="H290" s="47"/>
      <c r="I290" s="47"/>
      <c r="J290" s="207">
        <v>19239.956399999999</v>
      </c>
      <c r="K290" s="50">
        <f t="shared" ref="K290" si="510">J290/$J$488</f>
        <v>1.2045108575772654E-2</v>
      </c>
      <c r="L290" s="47"/>
      <c r="M290" s="208">
        <v>1020916</v>
      </c>
      <c r="N290" s="207">
        <v>40527.146894435944</v>
      </c>
      <c r="O290" s="49">
        <f t="shared" si="503"/>
        <v>21287.190494435945</v>
      </c>
      <c r="P290" s="50">
        <f t="shared" si="504"/>
        <v>0.52525756500659337</v>
      </c>
      <c r="Q290" s="50">
        <f t="shared" si="505"/>
        <v>0.47474243499340663</v>
      </c>
      <c r="R290" s="50">
        <f t="shared" si="506"/>
        <v>0</v>
      </c>
      <c r="S290" s="50">
        <f t="shared" si="507"/>
        <v>0.47474243499340663</v>
      </c>
      <c r="T290" s="50">
        <f t="shared" si="508"/>
        <v>-0.47474243499340663</v>
      </c>
      <c r="U290" s="298"/>
      <c r="V290" s="298"/>
      <c r="W290" s="298"/>
      <c r="X290" s="113"/>
      <c r="Y290" s="113"/>
      <c r="Z290" s="113"/>
      <c r="AA290" s="113"/>
      <c r="AB290" s="113"/>
      <c r="AC290" s="113"/>
      <c r="AD290" s="113"/>
      <c r="AE290" s="113"/>
      <c r="AF290" s="113"/>
      <c r="AG290" s="113"/>
      <c r="AH290" s="113"/>
      <c r="AI290" s="113"/>
      <c r="AJ290" s="113"/>
      <c r="AK290" s="113"/>
      <c r="AL290" s="113"/>
      <c r="AM290" s="113"/>
      <c r="AN290" s="113"/>
      <c r="AO290" s="113"/>
      <c r="AP290" s="113"/>
      <c r="AQ290" s="113"/>
      <c r="AR290" s="113"/>
      <c r="AS290" s="113"/>
      <c r="AT290" s="113"/>
      <c r="AU290" s="113"/>
      <c r="AV290" s="113"/>
      <c r="AW290" s="113"/>
      <c r="AX290" s="113"/>
      <c r="AY290" s="113"/>
      <c r="AZ290" s="113"/>
      <c r="BA290" s="113"/>
    </row>
    <row r="291" spans="2:53" x14ac:dyDescent="0.25">
      <c r="B291" s="44">
        <f t="shared" si="438"/>
        <v>1</v>
      </c>
      <c r="C291" s="44">
        <f t="shared" si="477"/>
        <v>13</v>
      </c>
      <c r="D291" s="44" t="str">
        <f>'OPG hydro peers'!D17</f>
        <v>Dominion SC</v>
      </c>
      <c r="E291" s="45">
        <v>2002</v>
      </c>
      <c r="F291" s="206">
        <v>760.8</v>
      </c>
      <c r="G291" s="51">
        <f t="shared" si="431"/>
        <v>0.14300375956095243</v>
      </c>
      <c r="H291" s="46"/>
      <c r="I291" s="46"/>
      <c r="J291" s="206">
        <v>6120.6743999999999</v>
      </c>
      <c r="K291" s="51">
        <f t="shared" ref="K291" si="511">J291/$J$467</f>
        <v>7.9763172536710357E-3</v>
      </c>
      <c r="L291" s="51"/>
      <c r="M291" s="206">
        <v>953064</v>
      </c>
      <c r="N291" s="206">
        <v>6280.5453965399984</v>
      </c>
      <c r="O291" s="46">
        <f t="shared" si="433"/>
        <v>159.87099653999849</v>
      </c>
      <c r="P291" s="51">
        <f t="shared" si="434"/>
        <v>2.5454954378336739E-2</v>
      </c>
      <c r="Q291" s="51">
        <f t="shared" si="435"/>
        <v>0.97454504562166322</v>
      </c>
      <c r="R291" s="51">
        <f t="shared" si="436"/>
        <v>0</v>
      </c>
      <c r="S291" s="51">
        <f t="shared" si="437"/>
        <v>0.97454504562166322</v>
      </c>
      <c r="T291" s="51">
        <f t="shared" si="479"/>
        <v>-0.97454504562166322</v>
      </c>
      <c r="U291" s="298"/>
      <c r="V291" s="298"/>
      <c r="W291" s="298"/>
      <c r="X291" s="113"/>
      <c r="Y291" s="113"/>
      <c r="Z291" s="113"/>
      <c r="AA291" s="113"/>
      <c r="AB291" s="113"/>
      <c r="AC291" s="113"/>
      <c r="AD291" s="113"/>
      <c r="AE291" s="113"/>
      <c r="AF291" s="113"/>
      <c r="AG291" s="113"/>
      <c r="AH291" s="113"/>
      <c r="AI291" s="113"/>
      <c r="AJ291" s="113"/>
      <c r="AK291" s="113"/>
      <c r="AL291" s="113"/>
      <c r="AM291" s="113"/>
      <c r="AN291" s="113"/>
      <c r="AO291" s="113"/>
      <c r="AP291" s="113"/>
      <c r="AQ291" s="113"/>
      <c r="AR291" s="113"/>
      <c r="AS291" s="113"/>
      <c r="AT291" s="113"/>
      <c r="AU291" s="113"/>
      <c r="AV291" s="113"/>
      <c r="AW291" s="113"/>
      <c r="AX291" s="113"/>
      <c r="AY291" s="113"/>
      <c r="AZ291" s="113"/>
      <c r="BA291" s="113"/>
    </row>
    <row r="292" spans="2:53" x14ac:dyDescent="0.25">
      <c r="B292" s="44">
        <f t="shared" si="438"/>
        <v>1</v>
      </c>
      <c r="C292" s="44">
        <f t="shared" si="477"/>
        <v>13</v>
      </c>
      <c r="D292" s="44" t="str">
        <f t="shared" ref="D292:D299" si="512">D291</f>
        <v>Dominion SC</v>
      </c>
      <c r="E292" s="45">
        <v>2003</v>
      </c>
      <c r="F292" s="206">
        <v>750.5</v>
      </c>
      <c r="G292" s="51">
        <f t="shared" si="431"/>
        <v>0.19560490875185188</v>
      </c>
      <c r="H292" s="46"/>
      <c r="I292" s="46"/>
      <c r="J292" s="206">
        <v>6414.9984000000004</v>
      </c>
      <c r="K292" s="51">
        <f t="shared" ref="K292" si="513">J292/$J$468</f>
        <v>7.5640442617950741E-3</v>
      </c>
      <c r="L292" s="51"/>
      <c r="M292" s="206">
        <v>1285981</v>
      </c>
      <c r="N292" s="206">
        <v>18089.149203852005</v>
      </c>
      <c r="O292" s="46">
        <f t="shared" si="433"/>
        <v>11674.150803852004</v>
      </c>
      <c r="P292" s="51">
        <f t="shared" si="434"/>
        <v>0.64536759978551372</v>
      </c>
      <c r="Q292" s="51">
        <f t="shared" si="435"/>
        <v>0.35463240021448628</v>
      </c>
      <c r="R292" s="51">
        <f t="shared" si="436"/>
        <v>0</v>
      </c>
      <c r="S292" s="51">
        <f t="shared" si="437"/>
        <v>0.35463240021448628</v>
      </c>
      <c r="T292" s="51">
        <f t="shared" si="479"/>
        <v>-0.35463240021448628</v>
      </c>
      <c r="U292" s="298"/>
      <c r="V292" s="298"/>
      <c r="W292" s="298"/>
      <c r="X292" s="113"/>
      <c r="Y292" s="113"/>
      <c r="Z292" s="113"/>
      <c r="AA292" s="113"/>
      <c r="AB292" s="113"/>
      <c r="AC292" s="113"/>
      <c r="AD292" s="113"/>
      <c r="AE292" s="113"/>
      <c r="AF292" s="113"/>
      <c r="AG292" s="113"/>
      <c r="AH292" s="113"/>
      <c r="AI292" s="113"/>
      <c r="AJ292" s="113"/>
      <c r="AK292" s="113"/>
      <c r="AL292" s="113"/>
      <c r="AM292" s="113"/>
      <c r="AN292" s="113"/>
      <c r="AO292" s="113"/>
      <c r="AP292" s="113"/>
      <c r="AQ292" s="113"/>
      <c r="AR292" s="113"/>
      <c r="AS292" s="113"/>
      <c r="AT292" s="113"/>
      <c r="AU292" s="113"/>
      <c r="AV292" s="113"/>
      <c r="AW292" s="113"/>
      <c r="AX292" s="113"/>
      <c r="AY292" s="113"/>
      <c r="AZ292" s="113"/>
      <c r="BA292" s="113"/>
    </row>
    <row r="293" spans="2:53" x14ac:dyDescent="0.25">
      <c r="B293" s="44">
        <f t="shared" si="438"/>
        <v>1</v>
      </c>
      <c r="C293" s="44">
        <f t="shared" si="477"/>
        <v>13</v>
      </c>
      <c r="D293" s="44" t="str">
        <f t="shared" si="512"/>
        <v>Dominion SC</v>
      </c>
      <c r="E293" s="45">
        <v>2004</v>
      </c>
      <c r="F293" s="206">
        <v>750.5</v>
      </c>
      <c r="G293" s="51">
        <f t="shared" si="431"/>
        <v>0.17241047825042058</v>
      </c>
      <c r="H293" s="46"/>
      <c r="I293" s="46"/>
      <c r="J293" s="206">
        <v>6545.5367999999989</v>
      </c>
      <c r="K293" s="51">
        <f t="shared" ref="K293" si="514">J293/$J$469</f>
        <v>7.4076624542624972E-3</v>
      </c>
      <c r="L293" s="51"/>
      <c r="M293" s="206">
        <v>1133492</v>
      </c>
      <c r="N293" s="206">
        <v>10920.0235825693</v>
      </c>
      <c r="O293" s="46">
        <f t="shared" si="433"/>
        <v>4374.4867825693009</v>
      </c>
      <c r="P293" s="51">
        <f t="shared" si="434"/>
        <v>0.4005931625964545</v>
      </c>
      <c r="Q293" s="51">
        <f t="shared" si="435"/>
        <v>0.5994068374035455</v>
      </c>
      <c r="R293" s="51">
        <f t="shared" si="436"/>
        <v>0</v>
      </c>
      <c r="S293" s="51">
        <f t="shared" si="437"/>
        <v>0.5994068374035455</v>
      </c>
      <c r="T293" s="51">
        <f t="shared" si="479"/>
        <v>-0.5994068374035455</v>
      </c>
      <c r="U293" s="298"/>
      <c r="V293" s="298"/>
      <c r="W293" s="298"/>
      <c r="X293" s="113"/>
      <c r="Y293" s="113"/>
      <c r="Z293" s="113"/>
      <c r="AA293" s="113"/>
      <c r="AB293" s="113"/>
      <c r="AC293" s="113"/>
      <c r="AD293" s="113"/>
      <c r="AE293" s="113"/>
      <c r="AF293" s="113"/>
      <c r="AG293" s="113"/>
      <c r="AH293" s="113"/>
      <c r="AI293" s="113"/>
      <c r="AJ293" s="113"/>
      <c r="AK293" s="113"/>
      <c r="AL293" s="113"/>
      <c r="AM293" s="113"/>
      <c r="AN293" s="113"/>
      <c r="AO293" s="113"/>
      <c r="AP293" s="113"/>
      <c r="AQ293" s="113"/>
      <c r="AR293" s="113"/>
      <c r="AS293" s="113"/>
      <c r="AT293" s="113"/>
      <c r="AU293" s="113"/>
      <c r="AV293" s="113"/>
      <c r="AW293" s="113"/>
      <c r="AX293" s="113"/>
      <c r="AY293" s="113"/>
      <c r="AZ293" s="113"/>
      <c r="BA293" s="113"/>
    </row>
    <row r="294" spans="2:53" x14ac:dyDescent="0.25">
      <c r="B294" s="44">
        <f t="shared" si="438"/>
        <v>1</v>
      </c>
      <c r="C294" s="44">
        <f t="shared" si="477"/>
        <v>13</v>
      </c>
      <c r="D294" s="44" t="str">
        <f t="shared" si="512"/>
        <v>Dominion SC</v>
      </c>
      <c r="E294" s="45">
        <v>2005</v>
      </c>
      <c r="F294" s="206">
        <v>750.5</v>
      </c>
      <c r="G294" s="51">
        <f t="shared" si="431"/>
        <v>0.19368062083420795</v>
      </c>
      <c r="H294" s="46"/>
      <c r="I294" s="46"/>
      <c r="J294" s="206">
        <v>6643.6523999999999</v>
      </c>
      <c r="K294" s="51">
        <f t="shared" ref="K294" si="515">J294/$J$470</f>
        <v>7.1513240928873225E-3</v>
      </c>
      <c r="L294" s="51"/>
      <c r="M294" s="206">
        <v>1273330</v>
      </c>
      <c r="N294" s="206">
        <v>24215.063317800003</v>
      </c>
      <c r="O294" s="46">
        <f t="shared" si="433"/>
        <v>17571.410917800004</v>
      </c>
      <c r="P294" s="51">
        <f t="shared" si="434"/>
        <v>0.72563968498416498</v>
      </c>
      <c r="Q294" s="51">
        <f t="shared" si="435"/>
        <v>0.27436031501583502</v>
      </c>
      <c r="R294" s="51">
        <f t="shared" si="436"/>
        <v>0</v>
      </c>
      <c r="S294" s="51">
        <f t="shared" si="437"/>
        <v>0.27436031501583502</v>
      </c>
      <c r="T294" s="51">
        <f t="shared" si="479"/>
        <v>-0.27436031501583502</v>
      </c>
      <c r="U294" s="298"/>
      <c r="V294" s="298"/>
      <c r="W294" s="298"/>
      <c r="X294" s="113"/>
      <c r="Y294" s="113"/>
      <c r="Z294" s="113"/>
      <c r="AA294" s="113"/>
      <c r="AB294" s="113"/>
      <c r="AC294" s="113"/>
      <c r="AD294" s="113"/>
      <c r="AE294" s="113"/>
      <c r="AF294" s="113"/>
      <c r="AG294" s="113"/>
      <c r="AH294" s="113"/>
      <c r="AI294" s="113"/>
      <c r="AJ294" s="113"/>
      <c r="AK294" s="113"/>
      <c r="AL294" s="113"/>
      <c r="AM294" s="113"/>
      <c r="AN294" s="113"/>
      <c r="AO294" s="113"/>
      <c r="AP294" s="113"/>
      <c r="AQ294" s="113"/>
      <c r="AR294" s="113"/>
      <c r="AS294" s="113"/>
      <c r="AT294" s="113"/>
      <c r="AU294" s="113"/>
      <c r="AV294" s="113"/>
      <c r="AW294" s="113"/>
      <c r="AX294" s="113"/>
      <c r="AY294" s="113"/>
      <c r="AZ294" s="113"/>
      <c r="BA294" s="113"/>
    </row>
    <row r="295" spans="2:53" x14ac:dyDescent="0.25">
      <c r="B295" s="44">
        <f t="shared" si="438"/>
        <v>1</v>
      </c>
      <c r="C295" s="44">
        <f t="shared" si="477"/>
        <v>13</v>
      </c>
      <c r="D295" s="44" t="str">
        <f t="shared" si="512"/>
        <v>Dominion SC</v>
      </c>
      <c r="E295" s="45">
        <v>2006</v>
      </c>
      <c r="F295" s="206">
        <v>750.5</v>
      </c>
      <c r="G295" s="51">
        <f t="shared" si="431"/>
        <v>0.1551315865526483</v>
      </c>
      <c r="H295" s="46"/>
      <c r="I295" s="46"/>
      <c r="J295" s="206">
        <v>7477.7351999999992</v>
      </c>
      <c r="K295" s="51">
        <f t="shared" ref="K295" si="516">J295/$J$471</f>
        <v>7.5964255932493624E-3</v>
      </c>
      <c r="L295" s="51"/>
      <c r="M295" s="206">
        <v>1019894</v>
      </c>
      <c r="N295" s="206">
        <v>10553.553928379999</v>
      </c>
      <c r="O295" s="46">
        <f t="shared" si="433"/>
        <v>3075.8187283799998</v>
      </c>
      <c r="P295" s="51">
        <f t="shared" si="434"/>
        <v>0.29144861998655147</v>
      </c>
      <c r="Q295" s="51">
        <f t="shared" si="435"/>
        <v>0.70855138001344853</v>
      </c>
      <c r="R295" s="51">
        <f t="shared" si="436"/>
        <v>0</v>
      </c>
      <c r="S295" s="51">
        <f t="shared" si="437"/>
        <v>0.70855138001344853</v>
      </c>
      <c r="T295" s="51">
        <f t="shared" si="479"/>
        <v>-0.70855138001344853</v>
      </c>
      <c r="U295" s="298"/>
      <c r="V295" s="298"/>
      <c r="W295" s="298"/>
      <c r="X295" s="113"/>
      <c r="Y295" s="113"/>
      <c r="Z295" s="113"/>
      <c r="AA295" s="113"/>
      <c r="AB295" s="113"/>
      <c r="AC295" s="113"/>
      <c r="AD295" s="113"/>
      <c r="AE295" s="113"/>
      <c r="AF295" s="113"/>
      <c r="AG295" s="113"/>
      <c r="AH295" s="113"/>
      <c r="AI295" s="113"/>
      <c r="AJ295" s="113"/>
      <c r="AK295" s="113"/>
      <c r="AL295" s="113"/>
      <c r="AM295" s="113"/>
      <c r="AN295" s="113"/>
      <c r="AO295" s="113"/>
      <c r="AP295" s="113"/>
      <c r="AQ295" s="113"/>
      <c r="AR295" s="113"/>
      <c r="AS295" s="113"/>
      <c r="AT295" s="113"/>
      <c r="AU295" s="113"/>
      <c r="AV295" s="113"/>
      <c r="AW295" s="113"/>
      <c r="AX295" s="113"/>
      <c r="AY295" s="113"/>
      <c r="AZ295" s="113"/>
      <c r="BA295" s="113"/>
    </row>
    <row r="296" spans="2:53" x14ac:dyDescent="0.25">
      <c r="B296" s="44">
        <f t="shared" si="438"/>
        <v>1</v>
      </c>
      <c r="C296" s="44">
        <f t="shared" si="477"/>
        <v>13</v>
      </c>
      <c r="D296" s="44" t="str">
        <f t="shared" si="512"/>
        <v>Dominion SC</v>
      </c>
      <c r="E296" s="45">
        <v>2007</v>
      </c>
      <c r="F296" s="206">
        <v>750.5</v>
      </c>
      <c r="G296" s="51">
        <f t="shared" si="431"/>
        <v>0.15487954757710992</v>
      </c>
      <c r="H296" s="46"/>
      <c r="I296" s="46"/>
      <c r="J296" s="206">
        <v>6816.3612000000003</v>
      </c>
      <c r="K296" s="51">
        <f t="shared" ref="K296" si="517">J296/$J$472</f>
        <v>6.3947714265930331E-3</v>
      </c>
      <c r="L296" s="51"/>
      <c r="M296" s="206">
        <v>1018237</v>
      </c>
      <c r="N296" s="206">
        <v>10830.680888544</v>
      </c>
      <c r="O296" s="46">
        <f t="shared" si="433"/>
        <v>4014.3196885440002</v>
      </c>
      <c r="P296" s="51">
        <f t="shared" si="434"/>
        <v>0.37064333534100241</v>
      </c>
      <c r="Q296" s="51">
        <f t="shared" si="435"/>
        <v>0.62935666465899764</v>
      </c>
      <c r="R296" s="51">
        <f t="shared" si="436"/>
        <v>0</v>
      </c>
      <c r="S296" s="51">
        <f t="shared" si="437"/>
        <v>0.62935666465899764</v>
      </c>
      <c r="T296" s="51">
        <f t="shared" si="479"/>
        <v>-0.62935666465899764</v>
      </c>
      <c r="U296" s="298"/>
      <c r="V296" s="298"/>
      <c r="W296" s="298"/>
      <c r="X296" s="113"/>
      <c r="Y296" s="113"/>
      <c r="Z296" s="113"/>
      <c r="AA296" s="113"/>
      <c r="AB296" s="113"/>
      <c r="AC296" s="113"/>
      <c r="AD296" s="113"/>
      <c r="AE296" s="113"/>
      <c r="AF296" s="113"/>
      <c r="AG296" s="113"/>
      <c r="AH296" s="113"/>
      <c r="AI296" s="113"/>
      <c r="AJ296" s="113"/>
      <c r="AK296" s="113"/>
      <c r="AL296" s="113"/>
      <c r="AM296" s="113"/>
      <c r="AN296" s="113"/>
      <c r="AO296" s="113"/>
      <c r="AP296" s="113"/>
      <c r="AQ296" s="113"/>
      <c r="AR296" s="113"/>
      <c r="AS296" s="113"/>
      <c r="AT296" s="113"/>
      <c r="AU296" s="113"/>
      <c r="AV296" s="113"/>
      <c r="AW296" s="113"/>
      <c r="AX296" s="113"/>
      <c r="AY296" s="113"/>
      <c r="AZ296" s="113"/>
      <c r="BA296" s="113"/>
    </row>
    <row r="297" spans="2:53" x14ac:dyDescent="0.25">
      <c r="B297" s="44">
        <f t="shared" si="438"/>
        <v>1</v>
      </c>
      <c r="C297" s="44">
        <f t="shared" si="477"/>
        <v>13</v>
      </c>
      <c r="D297" s="44" t="str">
        <f t="shared" si="512"/>
        <v>Dominion SC</v>
      </c>
      <c r="E297" s="45">
        <v>2008</v>
      </c>
      <c r="F297" s="206">
        <v>750.3</v>
      </c>
      <c r="G297" s="51">
        <f t="shared" si="431"/>
        <v>0.13963486142833581</v>
      </c>
      <c r="H297" s="46"/>
      <c r="I297" s="46"/>
      <c r="J297" s="206">
        <v>7311.0396000000001</v>
      </c>
      <c r="K297" s="51">
        <f t="shared" ref="K297" si="518">J297/$J$473</f>
        <v>6.3131119581361092E-3</v>
      </c>
      <c r="L297" s="51"/>
      <c r="M297" s="206">
        <v>917768</v>
      </c>
      <c r="N297" s="206">
        <v>7217.4156170037595</v>
      </c>
      <c r="O297" s="46">
        <f t="shared" si="433"/>
        <v>-93.623982996240557</v>
      </c>
      <c r="P297" s="51">
        <f t="shared" si="434"/>
        <v>-1.2971953946460914E-2</v>
      </c>
      <c r="Q297" s="51">
        <f t="shared" si="435"/>
        <v>1.012971953946461</v>
      </c>
      <c r="R297" s="51">
        <f t="shared" si="436"/>
        <v>0</v>
      </c>
      <c r="S297" s="51">
        <f t="shared" si="437"/>
        <v>1.012971953946461</v>
      </c>
      <c r="T297" s="51">
        <f t="shared" si="479"/>
        <v>-1.012971953946461</v>
      </c>
      <c r="U297" s="298"/>
      <c r="V297" s="298"/>
      <c r="W297" s="298"/>
      <c r="X297" s="113"/>
      <c r="Y297" s="113"/>
      <c r="Z297" s="113"/>
      <c r="AA297" s="113"/>
      <c r="AB297" s="113"/>
      <c r="AC297" s="113"/>
      <c r="AD297" s="113"/>
      <c r="AE297" s="113"/>
      <c r="AF297" s="113"/>
      <c r="AG297" s="113"/>
      <c r="AH297" s="113"/>
      <c r="AI297" s="113"/>
      <c r="AJ297" s="113"/>
      <c r="AK297" s="113"/>
      <c r="AL297" s="113"/>
      <c r="AM297" s="113"/>
      <c r="AN297" s="113"/>
      <c r="AO297" s="113"/>
      <c r="AP297" s="113"/>
      <c r="AQ297" s="113"/>
      <c r="AR297" s="113"/>
      <c r="AS297" s="113"/>
      <c r="AT297" s="113"/>
      <c r="AU297" s="113"/>
      <c r="AV297" s="113"/>
      <c r="AW297" s="113"/>
      <c r="AX297" s="113"/>
      <c r="AY297" s="113"/>
      <c r="AZ297" s="113"/>
      <c r="BA297" s="113"/>
    </row>
    <row r="298" spans="2:53" x14ac:dyDescent="0.25">
      <c r="B298" s="44">
        <f t="shared" si="438"/>
        <v>1</v>
      </c>
      <c r="C298" s="44">
        <f t="shared" si="477"/>
        <v>13</v>
      </c>
      <c r="D298" s="44" t="str">
        <f t="shared" si="512"/>
        <v>Dominion SC</v>
      </c>
      <c r="E298" s="45">
        <v>2009</v>
      </c>
      <c r="F298" s="206">
        <v>750.3</v>
      </c>
      <c r="G298" s="51">
        <f t="shared" si="431"/>
        <v>0.14609179159386473</v>
      </c>
      <c r="H298" s="46"/>
      <c r="I298" s="46"/>
      <c r="J298" s="206">
        <v>8220.7751999999982</v>
      </c>
      <c r="K298" s="51">
        <f t="shared" ref="K298" si="519">J298/$J$474</f>
        <v>6.9668461685089772E-3</v>
      </c>
      <c r="L298" s="51"/>
      <c r="M298" s="206">
        <v>960207</v>
      </c>
      <c r="N298" s="206">
        <v>11742.0327532586</v>
      </c>
      <c r="O298" s="46">
        <f t="shared" si="433"/>
        <v>3521.2575532586015</v>
      </c>
      <c r="P298" s="51">
        <f t="shared" si="434"/>
        <v>0.2998848348708103</v>
      </c>
      <c r="Q298" s="51">
        <f t="shared" si="435"/>
        <v>0.7001151651291897</v>
      </c>
      <c r="R298" s="51">
        <f t="shared" si="436"/>
        <v>0</v>
      </c>
      <c r="S298" s="51">
        <f t="shared" si="437"/>
        <v>0.7001151651291897</v>
      </c>
      <c r="T298" s="51">
        <f t="shared" si="479"/>
        <v>-0.7001151651291897</v>
      </c>
      <c r="U298" s="298"/>
      <c r="V298" s="298"/>
      <c r="W298" s="298"/>
      <c r="X298" s="113"/>
      <c r="Y298" s="113"/>
      <c r="Z298" s="113"/>
      <c r="AA298" s="113"/>
      <c r="AB298" s="113"/>
      <c r="AC298" s="113"/>
      <c r="AD298" s="113"/>
      <c r="AE298" s="113"/>
      <c r="AF298" s="113"/>
      <c r="AG298" s="113"/>
      <c r="AH298" s="113"/>
      <c r="AI298" s="113"/>
      <c r="AJ298" s="113"/>
      <c r="AK298" s="113"/>
      <c r="AL298" s="113"/>
      <c r="AM298" s="113"/>
      <c r="AN298" s="113"/>
      <c r="AO298" s="113"/>
      <c r="AP298" s="113"/>
      <c r="AQ298" s="113"/>
      <c r="AR298" s="113"/>
      <c r="AS298" s="113"/>
      <c r="AT298" s="113"/>
      <c r="AU298" s="113"/>
      <c r="AV298" s="113"/>
      <c r="AW298" s="113"/>
      <c r="AX298" s="113"/>
      <c r="AY298" s="113"/>
      <c r="AZ298" s="113"/>
      <c r="BA298" s="113"/>
    </row>
    <row r="299" spans="2:53" x14ac:dyDescent="0.25">
      <c r="B299" s="44">
        <f t="shared" si="438"/>
        <v>1</v>
      </c>
      <c r="C299" s="44">
        <f t="shared" si="477"/>
        <v>13</v>
      </c>
      <c r="D299" s="44" t="str">
        <f t="shared" si="512"/>
        <v>Dominion SC</v>
      </c>
      <c r="E299" s="45">
        <v>2010</v>
      </c>
      <c r="F299" s="206">
        <v>750.3</v>
      </c>
      <c r="G299" s="51">
        <f t="shared" si="431"/>
        <v>0.13243332803864755</v>
      </c>
      <c r="H299" s="46"/>
      <c r="I299" s="46"/>
      <c r="J299" s="206">
        <v>7129.4268000000002</v>
      </c>
      <c r="K299" s="51">
        <f t="shared" ref="K299" si="520">J299/$J$475</f>
        <v>5.826184232533011E-3</v>
      </c>
      <c r="L299" s="51"/>
      <c r="M299" s="206">
        <v>870435</v>
      </c>
      <c r="N299" s="206">
        <v>11746.835656112882</v>
      </c>
      <c r="O299" s="46">
        <f t="shared" si="433"/>
        <v>4617.4088561128819</v>
      </c>
      <c r="P299" s="51">
        <f t="shared" si="434"/>
        <v>0.39307682437099983</v>
      </c>
      <c r="Q299" s="51">
        <f t="shared" si="435"/>
        <v>0.60692317562900011</v>
      </c>
      <c r="R299" s="51">
        <f t="shared" si="436"/>
        <v>0</v>
      </c>
      <c r="S299" s="51">
        <f t="shared" si="437"/>
        <v>0.60692317562900011</v>
      </c>
      <c r="T299" s="51">
        <f t="shared" si="479"/>
        <v>-0.60692317562900011</v>
      </c>
      <c r="U299" s="298"/>
      <c r="V299" s="298"/>
      <c r="W299" s="298"/>
      <c r="X299" s="113"/>
      <c r="Y299" s="113"/>
      <c r="Z299" s="113"/>
      <c r="AA299" s="113"/>
      <c r="AB299" s="113"/>
      <c r="AC299" s="113"/>
      <c r="AD299" s="113"/>
      <c r="AE299" s="113"/>
      <c r="AF299" s="113"/>
      <c r="AG299" s="113"/>
      <c r="AH299" s="113"/>
      <c r="AI299" s="113"/>
      <c r="AJ299" s="113"/>
      <c r="AK299" s="113"/>
      <c r="AL299" s="113"/>
      <c r="AM299" s="113"/>
      <c r="AN299" s="113"/>
      <c r="AO299" s="113"/>
      <c r="AP299" s="113"/>
      <c r="AQ299" s="113"/>
      <c r="AR299" s="113"/>
      <c r="AS299" s="113"/>
      <c r="AT299" s="113"/>
      <c r="AU299" s="113"/>
      <c r="AV299" s="113"/>
      <c r="AW299" s="113"/>
      <c r="AX299" s="113"/>
      <c r="AY299" s="113"/>
      <c r="AZ299" s="113"/>
      <c r="BA299" s="113"/>
    </row>
    <row r="300" spans="2:53" x14ac:dyDescent="0.25">
      <c r="B300" s="44">
        <f t="shared" si="438"/>
        <v>1</v>
      </c>
      <c r="C300" s="44">
        <f t="shared" si="477"/>
        <v>13</v>
      </c>
      <c r="D300" s="44" t="str">
        <f>D299</f>
        <v>Dominion SC</v>
      </c>
      <c r="E300" s="45">
        <v>2011</v>
      </c>
      <c r="F300" s="206">
        <v>750.3</v>
      </c>
      <c r="G300" s="51">
        <f t="shared" si="431"/>
        <v>0.11008960190657374</v>
      </c>
      <c r="H300" s="46"/>
      <c r="I300" s="46"/>
      <c r="J300" s="206">
        <v>6845.4323999999997</v>
      </c>
      <c r="K300" s="51">
        <f t="shared" ref="K300" si="521">J300/$J$476</f>
        <v>5.6715769072362551E-3</v>
      </c>
      <c r="L300" s="51"/>
      <c r="M300" s="206">
        <v>723578</v>
      </c>
      <c r="N300" s="206">
        <v>7147.6603289369386</v>
      </c>
      <c r="O300" s="46">
        <f t="shared" si="433"/>
        <v>302.22792893693895</v>
      </c>
      <c r="P300" s="51">
        <f t="shared" si="434"/>
        <v>4.2283476694238611E-2</v>
      </c>
      <c r="Q300" s="51">
        <f t="shared" si="435"/>
        <v>0.9577165233057614</v>
      </c>
      <c r="R300" s="51">
        <f t="shared" si="436"/>
        <v>0</v>
      </c>
      <c r="S300" s="51">
        <f t="shared" si="437"/>
        <v>0.9577165233057614</v>
      </c>
      <c r="T300" s="51">
        <f t="shared" si="479"/>
        <v>-0.9577165233057614</v>
      </c>
      <c r="U300" s="298"/>
      <c r="V300" s="298"/>
      <c r="W300" s="298"/>
      <c r="X300" s="113"/>
      <c r="Y300" s="113"/>
      <c r="Z300" s="113"/>
      <c r="AA300" s="113"/>
      <c r="AB300" s="113"/>
      <c r="AC300" s="113"/>
      <c r="AD300" s="113"/>
      <c r="AE300" s="113"/>
      <c r="AF300" s="113"/>
      <c r="AG300" s="113"/>
      <c r="AH300" s="113"/>
      <c r="AI300" s="113"/>
      <c r="AJ300" s="113"/>
      <c r="AK300" s="113"/>
      <c r="AL300" s="113"/>
      <c r="AM300" s="113"/>
      <c r="AN300" s="113"/>
      <c r="AO300" s="113"/>
      <c r="AP300" s="113"/>
      <c r="AQ300" s="113"/>
      <c r="AR300" s="113"/>
      <c r="AS300" s="113"/>
      <c r="AT300" s="113"/>
      <c r="AU300" s="113"/>
      <c r="AV300" s="113"/>
      <c r="AW300" s="113"/>
      <c r="AX300" s="113"/>
      <c r="AY300" s="113"/>
      <c r="AZ300" s="113"/>
      <c r="BA300" s="113"/>
    </row>
    <row r="301" spans="2:53" x14ac:dyDescent="0.25">
      <c r="B301" s="44">
        <f t="shared" si="438"/>
        <v>1</v>
      </c>
      <c r="C301" s="44">
        <f t="shared" si="477"/>
        <v>13</v>
      </c>
      <c r="D301" s="44" t="str">
        <f>D300</f>
        <v>Dominion SC</v>
      </c>
      <c r="E301" s="45">
        <v>2012</v>
      </c>
      <c r="F301" s="206">
        <v>750.3</v>
      </c>
      <c r="G301" s="51">
        <f t="shared" si="431"/>
        <v>0.11450442653988632</v>
      </c>
      <c r="H301" s="46"/>
      <c r="I301" s="46"/>
      <c r="J301" s="206">
        <v>6838.3188</v>
      </c>
      <c r="K301" s="51">
        <f t="shared" ref="K301" si="522">J301/$J$477</f>
        <v>5.4922401928513016E-3</v>
      </c>
      <c r="L301" s="51"/>
      <c r="M301" s="206">
        <v>752595</v>
      </c>
      <c r="N301" s="206">
        <v>4707.7937434445039</v>
      </c>
      <c r="O301" s="46">
        <f t="shared" si="433"/>
        <v>-2130.5250565554961</v>
      </c>
      <c r="P301" s="51">
        <f t="shared" si="434"/>
        <v>-0.45255276094501889</v>
      </c>
      <c r="Q301" s="51">
        <f t="shared" si="435"/>
        <v>1.4525527609450188</v>
      </c>
      <c r="R301" s="51">
        <f t="shared" si="436"/>
        <v>0</v>
      </c>
      <c r="S301" s="51">
        <f t="shared" si="437"/>
        <v>1.4525527609450188</v>
      </c>
      <c r="T301" s="51">
        <f t="shared" si="479"/>
        <v>-1.4525527609450188</v>
      </c>
      <c r="U301" s="298"/>
      <c r="V301" s="298"/>
      <c r="W301" s="298"/>
      <c r="X301" s="113"/>
      <c r="Y301" s="113"/>
      <c r="Z301" s="113"/>
      <c r="AA301" s="113"/>
      <c r="AB301" s="113"/>
      <c r="AC301" s="113"/>
      <c r="AD301" s="113"/>
      <c r="AE301" s="113"/>
      <c r="AF301" s="113"/>
      <c r="AG301" s="113"/>
      <c r="AH301" s="113"/>
      <c r="AI301" s="113"/>
      <c r="AJ301" s="113"/>
      <c r="AK301" s="113"/>
      <c r="AL301" s="113"/>
      <c r="AM301" s="113"/>
      <c r="AN301" s="113"/>
      <c r="AO301" s="113"/>
      <c r="AP301" s="113"/>
      <c r="AQ301" s="113"/>
      <c r="AR301" s="113"/>
      <c r="AS301" s="113"/>
      <c r="AT301" s="113"/>
      <c r="AU301" s="113"/>
      <c r="AV301" s="113"/>
      <c r="AW301" s="113"/>
      <c r="AX301" s="113"/>
      <c r="AY301" s="113"/>
      <c r="AZ301" s="113"/>
      <c r="BA301" s="113"/>
    </row>
    <row r="302" spans="2:53" x14ac:dyDescent="0.25">
      <c r="B302" s="44">
        <f t="shared" si="438"/>
        <v>1</v>
      </c>
      <c r="C302" s="44">
        <f t="shared" si="477"/>
        <v>13</v>
      </c>
      <c r="D302" s="44" t="str">
        <f>D301</f>
        <v>Dominion SC</v>
      </c>
      <c r="E302" s="45">
        <v>2013</v>
      </c>
      <c r="F302" s="206">
        <v>750.3</v>
      </c>
      <c r="G302" s="51">
        <f t="shared" si="431"/>
        <v>0.12312015832936232</v>
      </c>
      <c r="H302" s="44"/>
      <c r="I302" s="44"/>
      <c r="J302" s="206">
        <v>7353.9299999999994</v>
      </c>
      <c r="K302" s="51">
        <f t="shared" ref="K302" si="523">J302/$J$478</f>
        <v>5.9156933923092802E-3</v>
      </c>
      <c r="L302" s="44"/>
      <c r="M302" s="206">
        <v>809223</v>
      </c>
      <c r="N302" s="206">
        <v>15186.046375431904</v>
      </c>
      <c r="O302" s="46">
        <f t="shared" si="433"/>
        <v>7832.116375431905</v>
      </c>
      <c r="P302" s="51">
        <f t="shared" si="434"/>
        <v>0.51574426824500941</v>
      </c>
      <c r="Q302" s="51">
        <f t="shared" si="435"/>
        <v>0.48425573175499059</v>
      </c>
      <c r="R302" s="51">
        <f t="shared" si="436"/>
        <v>0</v>
      </c>
      <c r="S302" s="51">
        <f t="shared" si="437"/>
        <v>0.48425573175499059</v>
      </c>
      <c r="T302" s="51">
        <f t="shared" si="479"/>
        <v>-0.48425573175499059</v>
      </c>
      <c r="U302" s="298"/>
      <c r="V302" s="298"/>
      <c r="W302" s="298"/>
      <c r="X302" s="113"/>
      <c r="Y302" s="113"/>
      <c r="Z302" s="113"/>
      <c r="AA302" s="113"/>
      <c r="AB302" s="113"/>
      <c r="AC302" s="113"/>
      <c r="AD302" s="113"/>
      <c r="AE302" s="113"/>
      <c r="AF302" s="113"/>
      <c r="AG302" s="113"/>
      <c r="AH302" s="113"/>
      <c r="AI302" s="113"/>
      <c r="AJ302" s="113"/>
      <c r="AK302" s="113"/>
      <c r="AL302" s="113"/>
      <c r="AM302" s="113"/>
      <c r="AN302" s="113"/>
      <c r="AO302" s="113"/>
      <c r="AP302" s="113"/>
      <c r="AQ302" s="113"/>
      <c r="AR302" s="113"/>
      <c r="AS302" s="113"/>
      <c r="AT302" s="113"/>
      <c r="AU302" s="113"/>
      <c r="AV302" s="113"/>
      <c r="AW302" s="113"/>
      <c r="AX302" s="113"/>
      <c r="AY302" s="113"/>
      <c r="AZ302" s="113"/>
      <c r="BA302" s="113"/>
    </row>
    <row r="303" spans="2:53" x14ac:dyDescent="0.25">
      <c r="B303" s="44">
        <f t="shared" si="438"/>
        <v>1</v>
      </c>
      <c r="C303" s="44">
        <f t="shared" si="477"/>
        <v>13</v>
      </c>
      <c r="D303" s="44" t="str">
        <f>D300</f>
        <v>Dominion SC</v>
      </c>
      <c r="E303" s="45">
        <v>2014</v>
      </c>
      <c r="F303" s="206">
        <v>750.66</v>
      </c>
      <c r="G303" s="51">
        <f t="shared" si="431"/>
        <v>9.3299935630465597E-2</v>
      </c>
      <c r="H303" s="44"/>
      <c r="I303" s="44"/>
      <c r="J303" s="206">
        <v>7639.4651999999987</v>
      </c>
      <c r="K303" s="51">
        <f t="shared" ref="K303" si="524">J303/$J$479</f>
        <v>6.1229210795026275E-3</v>
      </c>
      <c r="L303" s="44"/>
      <c r="M303" s="206">
        <v>613520</v>
      </c>
      <c r="N303" s="206">
        <v>14580.22012895122</v>
      </c>
      <c r="O303" s="46">
        <f t="shared" si="433"/>
        <v>6940.7549289512208</v>
      </c>
      <c r="P303" s="51">
        <f t="shared" si="434"/>
        <v>0.4760391041812399</v>
      </c>
      <c r="Q303" s="51">
        <f t="shared" si="435"/>
        <v>0.52396089581876004</v>
      </c>
      <c r="R303" s="51">
        <f t="shared" si="436"/>
        <v>0</v>
      </c>
      <c r="S303" s="51">
        <f t="shared" si="437"/>
        <v>0.52396089581876004</v>
      </c>
      <c r="T303" s="51">
        <f t="shared" si="479"/>
        <v>-0.52396089581876004</v>
      </c>
      <c r="U303" s="298"/>
      <c r="V303" s="298"/>
      <c r="W303" s="298"/>
      <c r="X303" s="113"/>
      <c r="Y303" s="113"/>
      <c r="Z303" s="113"/>
      <c r="AA303" s="113"/>
      <c r="AB303" s="113"/>
      <c r="AC303" s="113"/>
      <c r="AD303" s="113"/>
      <c r="AE303" s="113"/>
      <c r="AF303" s="113"/>
      <c r="AG303" s="113"/>
      <c r="AH303" s="113"/>
      <c r="AI303" s="113"/>
      <c r="AJ303" s="113"/>
      <c r="AK303" s="113"/>
      <c r="AL303" s="113"/>
      <c r="AM303" s="113"/>
      <c r="AN303" s="113"/>
      <c r="AO303" s="113"/>
      <c r="AP303" s="113"/>
      <c r="AQ303" s="113"/>
      <c r="AR303" s="113"/>
      <c r="AS303" s="113"/>
      <c r="AT303" s="113"/>
      <c r="AU303" s="113"/>
      <c r="AV303" s="113"/>
      <c r="AW303" s="113"/>
      <c r="AX303" s="113"/>
      <c r="AY303" s="113"/>
      <c r="AZ303" s="113"/>
      <c r="BA303" s="113"/>
    </row>
    <row r="304" spans="2:53" x14ac:dyDescent="0.25">
      <c r="B304" s="44">
        <f t="shared" si="438"/>
        <v>1</v>
      </c>
      <c r="C304" s="44">
        <f t="shared" si="477"/>
        <v>13</v>
      </c>
      <c r="D304" s="44" t="str">
        <f>D301</f>
        <v>Dominion SC</v>
      </c>
      <c r="E304" s="45">
        <v>2015</v>
      </c>
      <c r="F304" s="206">
        <v>750.66</v>
      </c>
      <c r="G304" s="51">
        <f t="shared" si="431"/>
        <v>0.12656214129739346</v>
      </c>
      <c r="H304" s="44"/>
      <c r="I304" s="44"/>
      <c r="J304" s="206">
        <v>8828.6484</v>
      </c>
      <c r="K304" s="51">
        <f t="shared" ref="K304" si="525">J304/$J$480</f>
        <v>6.6987385218945684E-3</v>
      </c>
      <c r="L304" s="44"/>
      <c r="M304" s="206">
        <v>832245</v>
      </c>
      <c r="N304" s="206">
        <v>10580.042622076997</v>
      </c>
      <c r="O304" s="46">
        <f t="shared" si="433"/>
        <v>1751.3942220769968</v>
      </c>
      <c r="P304" s="51">
        <f t="shared" si="434"/>
        <v>0.16553753936892704</v>
      </c>
      <c r="Q304" s="51">
        <f t="shared" si="435"/>
        <v>0.83446246063107299</v>
      </c>
      <c r="R304" s="51">
        <f t="shared" si="436"/>
        <v>0</v>
      </c>
      <c r="S304" s="51">
        <f t="shared" si="437"/>
        <v>0.83446246063107299</v>
      </c>
      <c r="T304" s="51">
        <f t="shared" si="479"/>
        <v>-0.83446246063107299</v>
      </c>
      <c r="U304" s="298"/>
      <c r="V304" s="298"/>
      <c r="W304" s="298"/>
      <c r="X304" s="113"/>
      <c r="Y304" s="113"/>
      <c r="Z304" s="113"/>
      <c r="AA304" s="113"/>
      <c r="AB304" s="113"/>
      <c r="AC304" s="113"/>
      <c r="AD304" s="113"/>
      <c r="AE304" s="113"/>
      <c r="AF304" s="113"/>
      <c r="AG304" s="113"/>
      <c r="AH304" s="113"/>
      <c r="AI304" s="113"/>
      <c r="AJ304" s="113"/>
      <c r="AK304" s="113"/>
      <c r="AL304" s="113"/>
      <c r="AM304" s="113"/>
      <c r="AN304" s="113"/>
      <c r="AO304" s="113"/>
      <c r="AP304" s="113"/>
      <c r="AQ304" s="113"/>
      <c r="AR304" s="113"/>
      <c r="AS304" s="113"/>
      <c r="AT304" s="113"/>
      <c r="AU304" s="113"/>
      <c r="AV304" s="113"/>
      <c r="AW304" s="113"/>
      <c r="AX304" s="113"/>
      <c r="AY304" s="113"/>
      <c r="AZ304" s="113"/>
      <c r="BA304" s="113"/>
    </row>
    <row r="305" spans="2:53" x14ac:dyDescent="0.25">
      <c r="B305" s="44">
        <f t="shared" si="438"/>
        <v>1</v>
      </c>
      <c r="C305" s="44">
        <f t="shared" si="477"/>
        <v>13</v>
      </c>
      <c r="D305" s="44" t="str">
        <f>D302</f>
        <v>Dominion SC</v>
      </c>
      <c r="E305" s="45">
        <v>2016</v>
      </c>
      <c r="F305" s="206">
        <v>826.46</v>
      </c>
      <c r="G305" s="51">
        <f t="shared" si="431"/>
        <v>0.10449171064308277</v>
      </c>
      <c r="H305" s="44"/>
      <c r="I305" s="44"/>
      <c r="J305" s="206">
        <v>8100.1127999999999</v>
      </c>
      <c r="K305" s="51">
        <f t="shared" ref="K305" si="526">J305/$J$481</f>
        <v>6.0862544584444657E-3</v>
      </c>
      <c r="L305" s="44"/>
      <c r="M305" s="206">
        <v>756498</v>
      </c>
      <c r="N305" s="206">
        <v>5927.4405507114443</v>
      </c>
      <c r="O305" s="46">
        <f t="shared" si="433"/>
        <v>-2172.6722492885556</v>
      </c>
      <c r="P305" s="51">
        <f t="shared" si="434"/>
        <v>-0.36654475581839102</v>
      </c>
      <c r="Q305" s="51">
        <f t="shared" si="435"/>
        <v>1.366544755818391</v>
      </c>
      <c r="R305" s="51">
        <f t="shared" si="436"/>
        <v>0</v>
      </c>
      <c r="S305" s="51">
        <f t="shared" si="437"/>
        <v>1.366544755818391</v>
      </c>
      <c r="T305" s="51">
        <f t="shared" si="479"/>
        <v>-1.366544755818391</v>
      </c>
      <c r="U305" s="298"/>
      <c r="V305" s="298"/>
      <c r="W305" s="298"/>
      <c r="X305" s="113"/>
      <c r="Y305" s="113"/>
      <c r="Z305" s="113"/>
      <c r="AA305" s="113"/>
      <c r="AB305" s="113"/>
      <c r="AC305" s="113"/>
      <c r="AD305" s="113"/>
      <c r="AE305" s="113"/>
      <c r="AF305" s="113"/>
      <c r="AG305" s="113"/>
      <c r="AH305" s="113"/>
      <c r="AI305" s="113"/>
      <c r="AJ305" s="113"/>
      <c r="AK305" s="113"/>
      <c r="AL305" s="113"/>
      <c r="AM305" s="113"/>
      <c r="AN305" s="113"/>
      <c r="AO305" s="113"/>
      <c r="AP305" s="113"/>
      <c r="AQ305" s="113"/>
      <c r="AR305" s="113"/>
      <c r="AS305" s="113"/>
      <c r="AT305" s="113"/>
      <c r="AU305" s="113"/>
      <c r="AV305" s="113"/>
      <c r="AW305" s="113"/>
      <c r="AX305" s="113"/>
      <c r="AY305" s="113"/>
      <c r="AZ305" s="113"/>
      <c r="BA305" s="113"/>
    </row>
    <row r="306" spans="2:53" x14ac:dyDescent="0.25">
      <c r="B306" s="44">
        <f t="shared" si="438"/>
        <v>1</v>
      </c>
      <c r="C306" s="44">
        <f t="shared" si="477"/>
        <v>13</v>
      </c>
      <c r="D306" s="44" t="str">
        <f>D302</f>
        <v>Dominion SC</v>
      </c>
      <c r="E306" s="45">
        <v>2017</v>
      </c>
      <c r="F306" s="206">
        <v>826.46</v>
      </c>
      <c r="G306" s="51">
        <f t="shared" si="431"/>
        <v>7.3022564081144006E-2</v>
      </c>
      <c r="H306" s="44"/>
      <c r="I306" s="44"/>
      <c r="J306" s="206">
        <v>7798.9823999999999</v>
      </c>
      <c r="K306" s="51">
        <f t="shared" ref="K306" si="527">J306/$J$482</f>
        <v>5.990111401443351E-3</v>
      </c>
      <c r="L306" s="44"/>
      <c r="M306" s="206">
        <v>528668</v>
      </c>
      <c r="N306" s="206">
        <v>4158.4124593489123</v>
      </c>
      <c r="O306" s="46">
        <f t="shared" si="433"/>
        <v>-3640.5699406510876</v>
      </c>
      <c r="P306" s="51">
        <f t="shared" si="434"/>
        <v>-0.87547110255174065</v>
      </c>
      <c r="Q306" s="51">
        <f t="shared" si="435"/>
        <v>1.8754711025517405</v>
      </c>
      <c r="R306" s="51">
        <f t="shared" si="436"/>
        <v>0</v>
      </c>
      <c r="S306" s="51">
        <f t="shared" si="437"/>
        <v>1.8754711025517405</v>
      </c>
      <c r="T306" s="51">
        <f t="shared" si="479"/>
        <v>-1.8754711025517405</v>
      </c>
      <c r="U306" s="298"/>
      <c r="V306" s="298"/>
      <c r="W306" s="298"/>
      <c r="X306" s="113"/>
      <c r="Y306" s="113"/>
      <c r="Z306" s="113"/>
      <c r="AA306" s="113"/>
      <c r="AB306" s="113"/>
      <c r="AC306" s="113"/>
      <c r="AD306" s="113"/>
      <c r="AE306" s="113"/>
      <c r="AF306" s="113"/>
      <c r="AG306" s="113"/>
      <c r="AH306" s="113"/>
      <c r="AI306" s="113"/>
      <c r="AJ306" s="113"/>
      <c r="AK306" s="113"/>
      <c r="AL306" s="113"/>
      <c r="AM306" s="113"/>
      <c r="AN306" s="113"/>
      <c r="AO306" s="113"/>
      <c r="AP306" s="113"/>
      <c r="AQ306" s="113"/>
      <c r="AR306" s="113"/>
      <c r="AS306" s="113"/>
      <c r="AT306" s="113"/>
      <c r="AU306" s="113"/>
      <c r="AV306" s="113"/>
      <c r="AW306" s="113"/>
      <c r="AX306" s="113"/>
      <c r="AY306" s="113"/>
      <c r="AZ306" s="113"/>
      <c r="BA306" s="113"/>
    </row>
    <row r="307" spans="2:53" x14ac:dyDescent="0.25">
      <c r="B307" s="44">
        <f t="shared" si="438"/>
        <v>1</v>
      </c>
      <c r="C307" s="44">
        <f t="shared" ref="C307:C312" si="528">IF(D307=D306,C306,C306+1)</f>
        <v>13</v>
      </c>
      <c r="D307" s="44" t="str">
        <f t="shared" ref="D307" si="529">D306</f>
        <v>Dominion SC</v>
      </c>
      <c r="E307" s="45">
        <v>2018</v>
      </c>
      <c r="F307" s="206">
        <v>826.46</v>
      </c>
      <c r="G307" s="51">
        <f t="shared" ref="G307" si="530">M307/(F307*8760)</f>
        <v>0.10688708412189216</v>
      </c>
      <c r="H307" s="44"/>
      <c r="I307" s="44"/>
      <c r="J307" s="206">
        <v>7874.6423999999997</v>
      </c>
      <c r="K307" s="51">
        <f t="shared" ref="K307" si="531">J307/$J$483</f>
        <v>5.6123034431712253E-3</v>
      </c>
      <c r="L307" s="44"/>
      <c r="M307" s="206">
        <v>773840</v>
      </c>
      <c r="N307" s="206">
        <v>10814.019978703265</v>
      </c>
      <c r="O307" s="46">
        <f t="shared" ref="O307:O310" si="532">N307-J307</f>
        <v>2939.3775787032655</v>
      </c>
      <c r="P307" s="51">
        <f t="shared" ref="P307:P310" si="533">O307/N307</f>
        <v>0.27181173925071045</v>
      </c>
      <c r="Q307" s="51">
        <f t="shared" ref="Q307:Q310" si="534">1-P307</f>
        <v>0.72818826074928955</v>
      </c>
      <c r="R307" s="51">
        <f t="shared" ref="R307:R310" si="535">Q307*L307</f>
        <v>0</v>
      </c>
      <c r="S307" s="51">
        <f t="shared" ref="S307:S310" si="536">Q307-R307</f>
        <v>0.72818826074928955</v>
      </c>
      <c r="T307" s="51">
        <f t="shared" ref="T307:T310" si="537">R307-S307</f>
        <v>-0.72818826074928955</v>
      </c>
      <c r="U307" s="298"/>
      <c r="V307" s="298"/>
      <c r="W307" s="298"/>
      <c r="X307" s="113"/>
      <c r="Y307" s="113"/>
      <c r="Z307" s="113"/>
      <c r="AA307" s="113"/>
      <c r="AB307" s="113"/>
      <c r="AC307" s="113"/>
      <c r="AD307" s="113"/>
      <c r="AE307" s="113"/>
      <c r="AF307" s="113"/>
      <c r="AG307" s="113"/>
      <c r="AH307" s="113"/>
      <c r="AI307" s="113"/>
      <c r="AJ307" s="113"/>
      <c r="AK307" s="113"/>
      <c r="AL307" s="113"/>
      <c r="AM307" s="113"/>
      <c r="AN307" s="113"/>
      <c r="AO307" s="113"/>
      <c r="AP307" s="113"/>
      <c r="AQ307" s="113"/>
      <c r="AR307" s="113"/>
      <c r="AS307" s="113"/>
      <c r="AT307" s="113"/>
      <c r="AU307" s="113"/>
      <c r="AV307" s="113"/>
      <c r="AW307" s="113"/>
      <c r="AX307" s="113"/>
      <c r="AY307" s="113"/>
      <c r="AZ307" s="113"/>
      <c r="BA307" s="113"/>
    </row>
    <row r="308" spans="2:53" x14ac:dyDescent="0.25">
      <c r="B308" s="44">
        <f t="shared" si="438"/>
        <v>1</v>
      </c>
      <c r="C308" s="44">
        <f t="shared" si="528"/>
        <v>13</v>
      </c>
      <c r="D308" s="44" t="str">
        <f>D307</f>
        <v>Dominion SC</v>
      </c>
      <c r="E308" s="45">
        <v>2019</v>
      </c>
      <c r="F308" s="206">
        <v>826.26</v>
      </c>
      <c r="G308" s="51">
        <f t="shared" si="431"/>
        <v>0.10342927757103666</v>
      </c>
      <c r="H308" s="44"/>
      <c r="I308" s="44"/>
      <c r="J308" s="206">
        <v>8614.1232</v>
      </c>
      <c r="K308" s="51">
        <f t="shared" ref="K308" si="538">J308/$J$484</f>
        <v>6.255804217394443E-3</v>
      </c>
      <c r="L308" s="44"/>
      <c r="M308" s="206">
        <v>748625</v>
      </c>
      <c r="N308" s="206">
        <v>4240.6757402282747</v>
      </c>
      <c r="O308" s="46">
        <f t="shared" si="532"/>
        <v>-4373.4474597717253</v>
      </c>
      <c r="P308" s="51">
        <f t="shared" si="533"/>
        <v>-1.0313090949831274</v>
      </c>
      <c r="Q308" s="51">
        <f t="shared" si="534"/>
        <v>2.0313090949831274</v>
      </c>
      <c r="R308" s="51">
        <f t="shared" si="535"/>
        <v>0</v>
      </c>
      <c r="S308" s="51">
        <f t="shared" si="536"/>
        <v>2.0313090949831274</v>
      </c>
      <c r="T308" s="51">
        <f t="shared" si="537"/>
        <v>-2.0313090949831274</v>
      </c>
      <c r="U308" s="298"/>
      <c r="V308" s="298"/>
      <c r="W308" s="298"/>
      <c r="X308" s="113"/>
      <c r="Y308" s="113"/>
      <c r="Z308" s="113"/>
      <c r="AA308" s="113"/>
      <c r="AB308" s="113"/>
      <c r="AC308" s="113"/>
      <c r="AD308" s="113"/>
      <c r="AE308" s="113"/>
      <c r="AF308" s="113"/>
      <c r="AG308" s="113"/>
      <c r="AH308" s="113"/>
      <c r="AI308" s="113"/>
      <c r="AJ308" s="113"/>
      <c r="AK308" s="113"/>
      <c r="AL308" s="113"/>
      <c r="AM308" s="113"/>
      <c r="AN308" s="113"/>
      <c r="AO308" s="113"/>
      <c r="AP308" s="113"/>
      <c r="AQ308" s="113"/>
      <c r="AR308" s="113"/>
      <c r="AS308" s="113"/>
      <c r="AT308" s="113"/>
      <c r="AU308" s="113"/>
      <c r="AV308" s="113"/>
      <c r="AW308" s="113"/>
      <c r="AX308" s="113"/>
      <c r="AY308" s="113"/>
      <c r="AZ308" s="113"/>
      <c r="BA308" s="113"/>
    </row>
    <row r="309" spans="2:53" x14ac:dyDescent="0.25">
      <c r="B309" s="44">
        <f t="shared" si="438"/>
        <v>1</v>
      </c>
      <c r="C309" s="44">
        <f t="shared" si="528"/>
        <v>13</v>
      </c>
      <c r="D309" s="44" t="str">
        <f>D308</f>
        <v>Dominion SC</v>
      </c>
      <c r="E309" s="45">
        <v>2020</v>
      </c>
      <c r="F309" s="206">
        <v>826.26</v>
      </c>
      <c r="G309" s="51">
        <f t="shared" si="431"/>
        <v>0.1164435785743915</v>
      </c>
      <c r="H309" s="44"/>
      <c r="I309" s="44"/>
      <c r="J309" s="206">
        <v>8192.1683999999987</v>
      </c>
      <c r="K309" s="51">
        <f t="shared" ref="K309" si="539">J309/$J$485</f>
        <v>5.9150770612684802E-3</v>
      </c>
      <c r="L309" s="44"/>
      <c r="M309" s="206">
        <v>842823</v>
      </c>
      <c r="N309" s="206">
        <v>3425.3665396810261</v>
      </c>
      <c r="O309" s="46">
        <f t="shared" si="532"/>
        <v>-4766.8018603189721</v>
      </c>
      <c r="P309" s="51">
        <f t="shared" si="533"/>
        <v>-1.3916180371058515</v>
      </c>
      <c r="Q309" s="51">
        <f t="shared" si="534"/>
        <v>2.3916180371058515</v>
      </c>
      <c r="R309" s="51">
        <f t="shared" si="535"/>
        <v>0</v>
      </c>
      <c r="S309" s="51">
        <f t="shared" si="536"/>
        <v>2.3916180371058515</v>
      </c>
      <c r="T309" s="51">
        <f t="shared" si="537"/>
        <v>-2.3916180371058515</v>
      </c>
      <c r="U309" s="298"/>
      <c r="V309" s="298"/>
      <c r="W309" s="298"/>
      <c r="X309" s="113"/>
      <c r="Y309" s="113"/>
      <c r="Z309" s="113"/>
      <c r="AA309" s="113"/>
      <c r="AB309" s="113"/>
      <c r="AC309" s="113"/>
      <c r="AD309" s="113"/>
      <c r="AE309" s="113"/>
      <c r="AF309" s="113"/>
      <c r="AG309" s="113"/>
      <c r="AH309" s="113"/>
      <c r="AI309" s="113"/>
      <c r="AJ309" s="113"/>
      <c r="AK309" s="113"/>
      <c r="AL309" s="113"/>
      <c r="AM309" s="113"/>
      <c r="AN309" s="113"/>
      <c r="AO309" s="113"/>
      <c r="AP309" s="113"/>
      <c r="AQ309" s="113"/>
      <c r="AR309" s="113"/>
      <c r="AS309" s="113"/>
      <c r="AT309" s="113"/>
      <c r="AU309" s="113"/>
      <c r="AV309" s="113"/>
      <c r="AW309" s="113"/>
      <c r="AX309" s="113"/>
      <c r="AY309" s="113"/>
      <c r="AZ309" s="113"/>
      <c r="BA309" s="113"/>
    </row>
    <row r="310" spans="2:53" x14ac:dyDescent="0.25">
      <c r="B310" s="44">
        <f t="shared" si="438"/>
        <v>1</v>
      </c>
      <c r="C310" s="44">
        <f t="shared" si="528"/>
        <v>13</v>
      </c>
      <c r="D310" s="44" t="str">
        <f>D309</f>
        <v>Dominion SC</v>
      </c>
      <c r="E310" s="45">
        <v>2021</v>
      </c>
      <c r="F310" s="206">
        <v>826.26</v>
      </c>
      <c r="G310" s="51">
        <f t="shared" si="431"/>
        <v>0.10891184096639675</v>
      </c>
      <c r="H310" s="44"/>
      <c r="I310" s="44"/>
      <c r="J310" s="206">
        <v>10056.546</v>
      </c>
      <c r="K310" s="51">
        <f t="shared" ref="K310" si="540">J310/$J$486</f>
        <v>6.9404098949688879E-3</v>
      </c>
      <c r="L310" s="44"/>
      <c r="M310" s="206">
        <v>788308</v>
      </c>
      <c r="N310" s="206">
        <v>6630.6374083897372</v>
      </c>
      <c r="O310" s="46">
        <f t="shared" si="532"/>
        <v>-3425.9085916102631</v>
      </c>
      <c r="P310" s="51">
        <f t="shared" si="533"/>
        <v>-0.51667862086312621</v>
      </c>
      <c r="Q310" s="51">
        <f t="shared" si="534"/>
        <v>1.5166786208631262</v>
      </c>
      <c r="R310" s="51">
        <f t="shared" si="535"/>
        <v>0</v>
      </c>
      <c r="S310" s="51">
        <f t="shared" si="536"/>
        <v>1.5166786208631262</v>
      </c>
      <c r="T310" s="51">
        <f t="shared" si="537"/>
        <v>-1.5166786208631262</v>
      </c>
      <c r="U310" s="298"/>
      <c r="V310" s="298"/>
      <c r="W310" s="298"/>
      <c r="X310" s="113"/>
      <c r="Y310" s="113"/>
      <c r="Z310" s="113"/>
      <c r="AA310" s="113"/>
      <c r="AB310" s="113"/>
      <c r="AC310" s="113"/>
      <c r="AD310" s="113"/>
      <c r="AE310" s="113"/>
      <c r="AF310" s="113"/>
      <c r="AG310" s="113"/>
      <c r="AH310" s="113"/>
      <c r="AI310" s="113"/>
      <c r="AJ310" s="113"/>
      <c r="AK310" s="113"/>
      <c r="AL310" s="113"/>
      <c r="AM310" s="113"/>
      <c r="AN310" s="113"/>
      <c r="AO310" s="113"/>
      <c r="AP310" s="113"/>
      <c r="AQ310" s="113"/>
      <c r="AR310" s="113"/>
      <c r="AS310" s="113"/>
      <c r="AT310" s="113"/>
      <c r="AU310" s="113"/>
      <c r="AV310" s="113"/>
      <c r="AW310" s="113"/>
      <c r="AX310" s="113"/>
      <c r="AY310" s="113"/>
      <c r="AZ310" s="113"/>
      <c r="BA310" s="113"/>
    </row>
    <row r="311" spans="2:53" x14ac:dyDescent="0.25">
      <c r="B311" s="44">
        <f t="shared" si="438"/>
        <v>1</v>
      </c>
      <c r="C311" s="44">
        <f t="shared" si="528"/>
        <v>13</v>
      </c>
      <c r="D311" s="44" t="str">
        <f>D308</f>
        <v>Dominion SC</v>
      </c>
      <c r="E311" s="45">
        <v>2022</v>
      </c>
      <c r="F311" s="206">
        <v>838.31</v>
      </c>
      <c r="G311" s="51">
        <f t="shared" si="431"/>
        <v>8.696080704661896E-2</v>
      </c>
      <c r="H311" s="44"/>
      <c r="I311" s="44"/>
      <c r="J311" s="206">
        <v>6369.9228000000003</v>
      </c>
      <c r="K311" s="51">
        <f t="shared" ref="K311" si="541">J311/$J$487</f>
        <v>4.3328539136711069E-3</v>
      </c>
      <c r="L311" s="44"/>
      <c r="M311" s="206">
        <v>638605</v>
      </c>
      <c r="N311" s="206">
        <v>12329.010125020801</v>
      </c>
      <c r="O311" s="46">
        <f t="shared" ref="O311:O312" si="542">N311-J311</f>
        <v>5959.0873250208006</v>
      </c>
      <c r="P311" s="51">
        <f t="shared" ref="P311:P312" si="543">O311/N311</f>
        <v>0.48333866746749443</v>
      </c>
      <c r="Q311" s="51">
        <f t="shared" ref="Q311:Q312" si="544">1-P311</f>
        <v>0.51666133253250557</v>
      </c>
      <c r="R311" s="51">
        <f t="shared" ref="R311:R312" si="545">Q311*L311</f>
        <v>0</v>
      </c>
      <c r="S311" s="51">
        <f t="shared" ref="S311:S312" si="546">Q311-R311</f>
        <v>0.51666133253250557</v>
      </c>
      <c r="T311" s="51">
        <f t="shared" ref="T311:T312" si="547">R311-S311</f>
        <v>-0.51666133253250557</v>
      </c>
      <c r="U311" s="298"/>
      <c r="V311" s="298"/>
      <c r="W311" s="298"/>
      <c r="X311" s="113"/>
      <c r="Y311" s="113"/>
      <c r="Z311" s="113"/>
      <c r="AA311" s="113"/>
      <c r="AB311" s="113"/>
      <c r="AC311" s="113"/>
      <c r="AD311" s="113"/>
      <c r="AE311" s="113"/>
      <c r="AF311" s="113"/>
      <c r="AG311" s="113"/>
      <c r="AH311" s="113"/>
      <c r="AI311" s="113"/>
      <c r="AJ311" s="113"/>
      <c r="AK311" s="113"/>
      <c r="AL311" s="113"/>
      <c r="AM311" s="113"/>
      <c r="AN311" s="113"/>
      <c r="AO311" s="113"/>
      <c r="AP311" s="113"/>
      <c r="AQ311" s="113"/>
      <c r="AR311" s="113"/>
      <c r="AS311" s="113"/>
      <c r="AT311" s="113"/>
      <c r="AU311" s="113"/>
      <c r="AV311" s="113"/>
      <c r="AW311" s="113"/>
      <c r="AX311" s="113"/>
      <c r="AY311" s="113"/>
      <c r="AZ311" s="113"/>
      <c r="BA311" s="113"/>
    </row>
    <row r="312" spans="2:53" x14ac:dyDescent="0.25">
      <c r="B312" s="44">
        <f t="shared" si="438"/>
        <v>1</v>
      </c>
      <c r="C312" s="44">
        <f t="shared" si="528"/>
        <v>13</v>
      </c>
      <c r="D312" s="44" t="str">
        <f>D309</f>
        <v>Dominion SC</v>
      </c>
      <c r="E312" s="45">
        <v>2023</v>
      </c>
      <c r="F312" s="206">
        <v>838.31</v>
      </c>
      <c r="G312" s="51">
        <f t="shared" si="431"/>
        <v>8.6408352878254907E-2</v>
      </c>
      <c r="H312" s="44"/>
      <c r="I312" s="44"/>
      <c r="J312" s="206">
        <v>11736.4812</v>
      </c>
      <c r="K312" s="51">
        <f t="shared" ref="K312" si="548">J312/$J$488</f>
        <v>7.3475837165366204E-3</v>
      </c>
      <c r="L312" s="44"/>
      <c r="M312" s="206">
        <v>634548</v>
      </c>
      <c r="N312" s="206">
        <v>16958.281006941419</v>
      </c>
      <c r="O312" s="46">
        <f t="shared" si="542"/>
        <v>5221.7998069414189</v>
      </c>
      <c r="P312" s="51">
        <f t="shared" si="543"/>
        <v>0.30792034904976601</v>
      </c>
      <c r="Q312" s="51">
        <f t="shared" si="544"/>
        <v>0.69207965095023405</v>
      </c>
      <c r="R312" s="51">
        <f t="shared" si="545"/>
        <v>0</v>
      </c>
      <c r="S312" s="51">
        <f t="shared" si="546"/>
        <v>0.69207965095023405</v>
      </c>
      <c r="T312" s="51">
        <f t="shared" si="547"/>
        <v>-0.69207965095023405</v>
      </c>
      <c r="U312" s="298"/>
      <c r="V312" s="298"/>
      <c r="W312" s="298"/>
      <c r="X312" s="113"/>
      <c r="Y312" s="113"/>
      <c r="Z312" s="113"/>
      <c r="AA312" s="113"/>
      <c r="AB312" s="113"/>
      <c r="AC312" s="113"/>
      <c r="AD312" s="113"/>
      <c r="AE312" s="113"/>
      <c r="AF312" s="113"/>
      <c r="AG312" s="113"/>
      <c r="AH312" s="113"/>
      <c r="AI312" s="113"/>
      <c r="AJ312" s="113"/>
      <c r="AK312" s="113"/>
      <c r="AL312" s="113"/>
      <c r="AM312" s="113"/>
      <c r="AN312" s="113"/>
      <c r="AO312" s="113"/>
      <c r="AP312" s="113"/>
      <c r="AQ312" s="113"/>
      <c r="AR312" s="113"/>
      <c r="AS312" s="113"/>
      <c r="AT312" s="113"/>
      <c r="AU312" s="113"/>
      <c r="AV312" s="113"/>
      <c r="AW312" s="113"/>
      <c r="AX312" s="113"/>
      <c r="AY312" s="113"/>
      <c r="AZ312" s="113"/>
      <c r="BA312" s="113"/>
    </row>
    <row r="313" spans="2:53" x14ac:dyDescent="0.25">
      <c r="B313" s="47">
        <f t="shared" si="438"/>
        <v>1</v>
      </c>
      <c r="C313" s="47">
        <f t="shared" si="477"/>
        <v>14</v>
      </c>
      <c r="D313" s="47" t="str">
        <f>'OPG hydro peers'!D18</f>
        <v>Duke Progress</v>
      </c>
      <c r="E313" s="48">
        <v>2002</v>
      </c>
      <c r="F313" s="207">
        <v>216.6</v>
      </c>
      <c r="G313" s="50">
        <f t="shared" si="431"/>
        <v>0.25610936136303269</v>
      </c>
      <c r="H313" s="49"/>
      <c r="I313" s="49"/>
      <c r="J313" s="207">
        <v>5508.4044000000004</v>
      </c>
      <c r="K313" s="50">
        <f t="shared" ref="K313" si="549">J313/$J$467</f>
        <v>7.178421556931284E-3</v>
      </c>
      <c r="L313" s="50"/>
      <c r="M313" s="207">
        <v>485946</v>
      </c>
      <c r="N313" s="207">
        <v>13722.704407596</v>
      </c>
      <c r="O313" s="49">
        <f t="shared" si="433"/>
        <v>8214.3000075960008</v>
      </c>
      <c r="P313" s="50">
        <f t="shared" si="434"/>
        <v>0.59859192208855683</v>
      </c>
      <c r="Q313" s="50">
        <f t="shared" si="435"/>
        <v>0.40140807791144317</v>
      </c>
      <c r="R313" s="50">
        <f t="shared" si="436"/>
        <v>0</v>
      </c>
      <c r="S313" s="50">
        <f t="shared" si="437"/>
        <v>0.40140807791144317</v>
      </c>
      <c r="T313" s="50">
        <f t="shared" si="479"/>
        <v>-0.40140807791144317</v>
      </c>
      <c r="U313" s="298"/>
      <c r="V313" s="298"/>
      <c r="W313" s="298"/>
      <c r="X313" s="113"/>
      <c r="Y313" s="113"/>
      <c r="Z313" s="113"/>
      <c r="AA313" s="113"/>
      <c r="AB313" s="113"/>
      <c r="AC313" s="113"/>
      <c r="AD313" s="113"/>
      <c r="AE313" s="113"/>
      <c r="AF313" s="113"/>
      <c r="AG313" s="113"/>
      <c r="AH313" s="113"/>
      <c r="AI313" s="113"/>
      <c r="AJ313" s="113"/>
      <c r="AK313" s="113"/>
      <c r="AL313" s="113"/>
      <c r="AM313" s="113"/>
      <c r="AN313" s="113"/>
      <c r="AO313" s="113"/>
      <c r="AP313" s="113"/>
      <c r="AQ313" s="113"/>
      <c r="AR313" s="113"/>
      <c r="AS313" s="113"/>
      <c r="AT313" s="113"/>
      <c r="AU313" s="113"/>
      <c r="AV313" s="113"/>
      <c r="AW313" s="113"/>
      <c r="AX313" s="113"/>
      <c r="AY313" s="113"/>
      <c r="AZ313" s="113"/>
      <c r="BA313" s="113"/>
    </row>
    <row r="314" spans="2:53" x14ac:dyDescent="0.25">
      <c r="B314" s="47">
        <f t="shared" si="438"/>
        <v>1</v>
      </c>
      <c r="C314" s="47">
        <f t="shared" si="477"/>
        <v>14</v>
      </c>
      <c r="D314" s="47" t="str">
        <f t="shared" ref="D314:D324" si="550">D313</f>
        <v>Duke Progress</v>
      </c>
      <c r="E314" s="48">
        <v>2003</v>
      </c>
      <c r="F314" s="207">
        <v>216.6</v>
      </c>
      <c r="G314" s="50">
        <f t="shared" si="431"/>
        <v>0.50135183850036047</v>
      </c>
      <c r="H314" s="49"/>
      <c r="I314" s="49"/>
      <c r="J314" s="207">
        <v>5856.7223999999997</v>
      </c>
      <c r="K314" s="50">
        <f t="shared" ref="K314" si="551">J314/$J$468</f>
        <v>6.9057706175962054E-3</v>
      </c>
      <c r="L314" s="50"/>
      <c r="M314" s="207">
        <v>951273</v>
      </c>
      <c r="N314" s="207">
        <v>35499.360306467985</v>
      </c>
      <c r="O314" s="49">
        <f t="shared" si="433"/>
        <v>29642.637906467986</v>
      </c>
      <c r="P314" s="50">
        <f t="shared" si="434"/>
        <v>0.83501893134302752</v>
      </c>
      <c r="Q314" s="50">
        <f t="shared" si="435"/>
        <v>0.16498106865697248</v>
      </c>
      <c r="R314" s="50">
        <f t="shared" si="436"/>
        <v>0</v>
      </c>
      <c r="S314" s="50">
        <f t="shared" si="437"/>
        <v>0.16498106865697248</v>
      </c>
      <c r="T314" s="50">
        <f t="shared" si="479"/>
        <v>-0.16498106865697248</v>
      </c>
      <c r="U314" s="298"/>
      <c r="V314" s="298"/>
      <c r="W314" s="298"/>
      <c r="X314" s="113"/>
      <c r="Y314" s="113"/>
      <c r="Z314" s="113"/>
      <c r="AA314" s="113"/>
      <c r="AB314" s="113"/>
      <c r="AC314" s="113"/>
      <c r="AD314" s="113"/>
      <c r="AE314" s="113"/>
      <c r="AF314" s="113"/>
      <c r="AG314" s="113"/>
      <c r="AH314" s="113"/>
      <c r="AI314" s="113"/>
      <c r="AJ314" s="113"/>
      <c r="AK314" s="113"/>
      <c r="AL314" s="113"/>
      <c r="AM314" s="113"/>
      <c r="AN314" s="113"/>
      <c r="AO314" s="113"/>
      <c r="AP314" s="113"/>
      <c r="AQ314" s="113"/>
      <c r="AR314" s="113"/>
      <c r="AS314" s="113"/>
      <c r="AT314" s="113"/>
      <c r="AU314" s="113"/>
      <c r="AV314" s="113"/>
      <c r="AW314" s="113"/>
      <c r="AX314" s="113"/>
      <c r="AY314" s="113"/>
      <c r="AZ314" s="113"/>
      <c r="BA314" s="113"/>
    </row>
    <row r="315" spans="2:53" x14ac:dyDescent="0.25">
      <c r="B315" s="47">
        <f t="shared" si="438"/>
        <v>1</v>
      </c>
      <c r="C315" s="47">
        <f t="shared" si="477"/>
        <v>14</v>
      </c>
      <c r="D315" s="47" t="str">
        <f t="shared" si="550"/>
        <v>Duke Progress</v>
      </c>
      <c r="E315" s="48">
        <v>2004</v>
      </c>
      <c r="F315" s="207">
        <v>216.6</v>
      </c>
      <c r="G315" s="50">
        <f t="shared" si="431"/>
        <v>0.41819242590976358</v>
      </c>
      <c r="H315" s="49"/>
      <c r="I315" s="49"/>
      <c r="J315" s="207">
        <v>5245.1495999999997</v>
      </c>
      <c r="K315" s="50">
        <f t="shared" ref="K315" si="552">J315/$J$469</f>
        <v>5.9359986730056977E-3</v>
      </c>
      <c r="L315" s="50"/>
      <c r="M315" s="207">
        <v>793485</v>
      </c>
      <c r="N315" s="207">
        <v>34982.352873707991</v>
      </c>
      <c r="O315" s="49">
        <f t="shared" si="433"/>
        <v>29737.20327370799</v>
      </c>
      <c r="P315" s="50">
        <f t="shared" si="434"/>
        <v>0.8500629840726881</v>
      </c>
      <c r="Q315" s="50">
        <f t="shared" si="435"/>
        <v>0.1499370159273119</v>
      </c>
      <c r="R315" s="50">
        <f t="shared" si="436"/>
        <v>0</v>
      </c>
      <c r="S315" s="50">
        <f t="shared" si="437"/>
        <v>0.1499370159273119</v>
      </c>
      <c r="T315" s="50">
        <f t="shared" si="479"/>
        <v>-0.1499370159273119</v>
      </c>
      <c r="U315" s="298"/>
      <c r="V315" s="298"/>
      <c r="W315" s="298"/>
      <c r="X315" s="113"/>
      <c r="Y315" s="113"/>
      <c r="Z315" s="113"/>
      <c r="AA315" s="113"/>
      <c r="AB315" s="113"/>
      <c r="AC315" s="113"/>
      <c r="AD315" s="113"/>
      <c r="AE315" s="113"/>
      <c r="AF315" s="113"/>
      <c r="AG315" s="113"/>
      <c r="AH315" s="113"/>
      <c r="AI315" s="113"/>
      <c r="AJ315" s="113"/>
      <c r="AK315" s="113"/>
      <c r="AL315" s="113"/>
      <c r="AM315" s="113"/>
      <c r="AN315" s="113"/>
      <c r="AO315" s="113"/>
      <c r="AP315" s="113"/>
      <c r="AQ315" s="113"/>
      <c r="AR315" s="113"/>
      <c r="AS315" s="113"/>
      <c r="AT315" s="113"/>
      <c r="AU315" s="113"/>
      <c r="AV315" s="113"/>
      <c r="AW315" s="113"/>
      <c r="AX315" s="113"/>
      <c r="AY315" s="113"/>
      <c r="AZ315" s="113"/>
      <c r="BA315" s="113"/>
    </row>
    <row r="316" spans="2:53" x14ac:dyDescent="0.25">
      <c r="B316" s="47">
        <f t="shared" si="438"/>
        <v>1</v>
      </c>
      <c r="C316" s="47">
        <f t="shared" si="477"/>
        <v>14</v>
      </c>
      <c r="D316" s="47" t="str">
        <f t="shared" si="550"/>
        <v>Duke Progress</v>
      </c>
      <c r="E316" s="48">
        <v>2005</v>
      </c>
      <c r="F316" s="207">
        <v>216.6</v>
      </c>
      <c r="G316" s="50">
        <f t="shared" si="431"/>
        <v>0.39029501174228531</v>
      </c>
      <c r="H316" s="49"/>
      <c r="I316" s="49"/>
      <c r="J316" s="207">
        <v>5197.5959999999995</v>
      </c>
      <c r="K316" s="50">
        <f t="shared" ref="K316" si="553">J316/$J$470</f>
        <v>5.5947679472054821E-3</v>
      </c>
      <c r="L316" s="50"/>
      <c r="M316" s="207">
        <v>740552</v>
      </c>
      <c r="N316" s="207">
        <v>46749.963904955985</v>
      </c>
      <c r="O316" s="49">
        <f t="shared" si="433"/>
        <v>41552.367904955987</v>
      </c>
      <c r="P316" s="50">
        <f t="shared" si="434"/>
        <v>0.88882139009632477</v>
      </c>
      <c r="Q316" s="50">
        <f t="shared" si="435"/>
        <v>0.11117860990367523</v>
      </c>
      <c r="R316" s="50">
        <f t="shared" si="436"/>
        <v>0</v>
      </c>
      <c r="S316" s="50">
        <f t="shared" si="437"/>
        <v>0.11117860990367523</v>
      </c>
      <c r="T316" s="50">
        <f t="shared" si="479"/>
        <v>-0.11117860990367523</v>
      </c>
      <c r="U316" s="298"/>
      <c r="V316" s="298"/>
      <c r="W316" s="298"/>
      <c r="X316" s="113"/>
      <c r="Y316" s="113"/>
      <c r="Z316" s="113"/>
      <c r="AA316" s="113"/>
      <c r="AB316" s="113"/>
      <c r="AC316" s="113"/>
      <c r="AD316" s="113"/>
      <c r="AE316" s="113"/>
      <c r="AF316" s="113"/>
      <c r="AG316" s="113"/>
      <c r="AH316" s="113"/>
      <c r="AI316" s="113"/>
      <c r="AJ316" s="113"/>
      <c r="AK316" s="113"/>
      <c r="AL316" s="113"/>
      <c r="AM316" s="113"/>
      <c r="AN316" s="113"/>
      <c r="AO316" s="113"/>
      <c r="AP316" s="113"/>
      <c r="AQ316" s="113"/>
      <c r="AR316" s="113"/>
      <c r="AS316" s="113"/>
      <c r="AT316" s="113"/>
      <c r="AU316" s="113"/>
      <c r="AV316" s="113"/>
      <c r="AW316" s="113"/>
      <c r="AX316" s="113"/>
      <c r="AY316" s="113"/>
      <c r="AZ316" s="113"/>
      <c r="BA316" s="113"/>
    </row>
    <row r="317" spans="2:53" x14ac:dyDescent="0.25">
      <c r="B317" s="47">
        <f t="shared" si="438"/>
        <v>1</v>
      </c>
      <c r="C317" s="47">
        <f t="shared" si="477"/>
        <v>14</v>
      </c>
      <c r="D317" s="47" t="str">
        <f t="shared" si="550"/>
        <v>Duke Progress</v>
      </c>
      <c r="E317" s="48">
        <v>2006</v>
      </c>
      <c r="F317" s="207">
        <v>216.6</v>
      </c>
      <c r="G317" s="50">
        <f t="shared" si="431"/>
        <v>0.31011754934078767</v>
      </c>
      <c r="H317" s="49"/>
      <c r="I317" s="49"/>
      <c r="J317" s="207">
        <v>5976.0936000000002</v>
      </c>
      <c r="K317" s="50">
        <f t="shared" ref="K317" si="554">J317/$J$471</f>
        <v>6.0709491786622403E-3</v>
      </c>
      <c r="L317" s="50"/>
      <c r="M317" s="207">
        <v>588422</v>
      </c>
      <c r="N317" s="207">
        <v>31747.738264487998</v>
      </c>
      <c r="O317" s="49">
        <f t="shared" si="433"/>
        <v>25771.644664487998</v>
      </c>
      <c r="P317" s="50">
        <f t="shared" si="434"/>
        <v>0.81176317033315515</v>
      </c>
      <c r="Q317" s="50">
        <f t="shared" si="435"/>
        <v>0.18823682966684485</v>
      </c>
      <c r="R317" s="50">
        <f t="shared" si="436"/>
        <v>0</v>
      </c>
      <c r="S317" s="50">
        <f t="shared" si="437"/>
        <v>0.18823682966684485</v>
      </c>
      <c r="T317" s="50">
        <f t="shared" si="479"/>
        <v>-0.18823682966684485</v>
      </c>
      <c r="U317" s="298"/>
      <c r="V317" s="298"/>
      <c r="W317" s="298"/>
      <c r="X317" s="113"/>
      <c r="Y317" s="113"/>
      <c r="Z317" s="113"/>
      <c r="AA317" s="113"/>
      <c r="AB317" s="113"/>
      <c r="AC317" s="113"/>
      <c r="AD317" s="113"/>
      <c r="AE317" s="113"/>
      <c r="AF317" s="113"/>
      <c r="AG317" s="113"/>
      <c r="AH317" s="113"/>
      <c r="AI317" s="113"/>
      <c r="AJ317" s="113"/>
      <c r="AK317" s="113"/>
      <c r="AL317" s="113"/>
      <c r="AM317" s="113"/>
      <c r="AN317" s="113"/>
      <c r="AO317" s="113"/>
      <c r="AP317" s="113"/>
      <c r="AQ317" s="113"/>
      <c r="AR317" s="113"/>
      <c r="AS317" s="113"/>
      <c r="AT317" s="113"/>
      <c r="AU317" s="113"/>
      <c r="AV317" s="113"/>
      <c r="AW317" s="113"/>
      <c r="AX317" s="113"/>
      <c r="AY317" s="113"/>
      <c r="AZ317" s="113"/>
      <c r="BA317" s="113"/>
    </row>
    <row r="318" spans="2:53" x14ac:dyDescent="0.25">
      <c r="B318" s="47">
        <f t="shared" si="438"/>
        <v>1</v>
      </c>
      <c r="C318" s="47">
        <f t="shared" si="477"/>
        <v>14</v>
      </c>
      <c r="D318" s="47" t="str">
        <f t="shared" si="550"/>
        <v>Duke Progress</v>
      </c>
      <c r="E318" s="48">
        <v>2007</v>
      </c>
      <c r="F318" s="207">
        <v>216.6</v>
      </c>
      <c r="G318" s="50">
        <f t="shared" si="431"/>
        <v>0.21813982806089965</v>
      </c>
      <c r="H318" s="49"/>
      <c r="I318" s="49"/>
      <c r="J318" s="207">
        <v>6940.2035999999998</v>
      </c>
      <c r="K318" s="50">
        <f t="shared" ref="K318" si="555">J318/$J$472</f>
        <v>6.510954213520566E-3</v>
      </c>
      <c r="L318" s="50"/>
      <c r="M318" s="207">
        <v>413902</v>
      </c>
      <c r="N318" s="207">
        <v>22522.488025199997</v>
      </c>
      <c r="O318" s="49">
        <f t="shared" si="433"/>
        <v>15582.284425199996</v>
      </c>
      <c r="P318" s="50">
        <f t="shared" si="434"/>
        <v>0.69185448817933726</v>
      </c>
      <c r="Q318" s="50">
        <f t="shared" si="435"/>
        <v>0.30814551182066274</v>
      </c>
      <c r="R318" s="50">
        <f t="shared" si="436"/>
        <v>0</v>
      </c>
      <c r="S318" s="50">
        <f t="shared" si="437"/>
        <v>0.30814551182066274</v>
      </c>
      <c r="T318" s="50">
        <f t="shared" si="479"/>
        <v>-0.30814551182066274</v>
      </c>
      <c r="U318" s="298"/>
      <c r="V318" s="298"/>
      <c r="W318" s="298"/>
      <c r="X318" s="113"/>
      <c r="Y318" s="113"/>
      <c r="Z318" s="113"/>
      <c r="AA318" s="113"/>
      <c r="AB318" s="113"/>
      <c r="AC318" s="113"/>
      <c r="AD318" s="113"/>
      <c r="AE318" s="113"/>
      <c r="AF318" s="113"/>
      <c r="AG318" s="113"/>
      <c r="AH318" s="113"/>
      <c r="AI318" s="113"/>
      <c r="AJ318" s="113"/>
      <c r="AK318" s="113"/>
      <c r="AL318" s="113"/>
      <c r="AM318" s="113"/>
      <c r="AN318" s="113"/>
      <c r="AO318" s="113"/>
      <c r="AP318" s="113"/>
      <c r="AQ318" s="113"/>
      <c r="AR318" s="113"/>
      <c r="AS318" s="113"/>
      <c r="AT318" s="113"/>
      <c r="AU318" s="113"/>
      <c r="AV318" s="113"/>
      <c r="AW318" s="113"/>
      <c r="AX318" s="113"/>
      <c r="AY318" s="113"/>
      <c r="AZ318" s="113"/>
      <c r="BA318" s="113"/>
    </row>
    <row r="319" spans="2:53" x14ac:dyDescent="0.25">
      <c r="B319" s="47">
        <f t="shared" si="438"/>
        <v>1</v>
      </c>
      <c r="C319" s="47">
        <f t="shared" si="477"/>
        <v>14</v>
      </c>
      <c r="D319" s="47" t="str">
        <f t="shared" si="550"/>
        <v>Duke Progress</v>
      </c>
      <c r="E319" s="48">
        <v>2008</v>
      </c>
      <c r="F319" s="207">
        <v>216.6</v>
      </c>
      <c r="G319" s="50">
        <f t="shared" si="431"/>
        <v>0.22461758517900135</v>
      </c>
      <c r="H319" s="49"/>
      <c r="I319" s="49"/>
      <c r="J319" s="207">
        <v>6364.1063999999997</v>
      </c>
      <c r="K319" s="50">
        <f t="shared" ref="K319" si="556">J319/$J$473</f>
        <v>5.4954313496934888E-3</v>
      </c>
      <c r="L319" s="50"/>
      <c r="M319" s="207">
        <v>426193</v>
      </c>
      <c r="N319" s="207">
        <v>27255.41967663699</v>
      </c>
      <c r="O319" s="49">
        <f t="shared" si="433"/>
        <v>20891.313276636989</v>
      </c>
      <c r="P319" s="50">
        <f t="shared" si="434"/>
        <v>0.76650125092532573</v>
      </c>
      <c r="Q319" s="50">
        <f t="shared" si="435"/>
        <v>0.23349874907467427</v>
      </c>
      <c r="R319" s="50">
        <f t="shared" si="436"/>
        <v>0</v>
      </c>
      <c r="S319" s="50">
        <f t="shared" si="437"/>
        <v>0.23349874907467427</v>
      </c>
      <c r="T319" s="50">
        <f t="shared" si="479"/>
        <v>-0.23349874907467427</v>
      </c>
      <c r="U319" s="298"/>
      <c r="V319" s="298"/>
      <c r="W319" s="298"/>
      <c r="X319" s="113"/>
      <c r="Y319" s="113"/>
      <c r="Z319" s="113"/>
      <c r="AA319" s="113"/>
      <c r="AB319" s="113"/>
      <c r="AC319" s="113"/>
      <c r="AD319" s="113"/>
      <c r="AE319" s="113"/>
      <c r="AF319" s="113"/>
      <c r="AG319" s="113"/>
      <c r="AH319" s="113"/>
      <c r="AI319" s="113"/>
      <c r="AJ319" s="113"/>
      <c r="AK319" s="113"/>
      <c r="AL319" s="113"/>
      <c r="AM319" s="113"/>
      <c r="AN319" s="113"/>
      <c r="AO319" s="113"/>
      <c r="AP319" s="113"/>
      <c r="AQ319" s="113"/>
      <c r="AR319" s="113"/>
      <c r="AS319" s="113"/>
      <c r="AT319" s="113"/>
      <c r="AU319" s="113"/>
      <c r="AV319" s="113"/>
      <c r="AW319" s="113"/>
      <c r="AX319" s="113"/>
      <c r="AY319" s="113"/>
      <c r="AZ319" s="113"/>
      <c r="BA319" s="113"/>
    </row>
    <row r="320" spans="2:53" x14ac:dyDescent="0.25">
      <c r="B320" s="47">
        <f t="shared" si="438"/>
        <v>1</v>
      </c>
      <c r="C320" s="47">
        <f t="shared" si="477"/>
        <v>14</v>
      </c>
      <c r="D320" s="47" t="str">
        <f t="shared" si="550"/>
        <v>Duke Progress</v>
      </c>
      <c r="E320" s="48">
        <v>2009</v>
      </c>
      <c r="F320" s="207">
        <v>216.61</v>
      </c>
      <c r="G320" s="50">
        <f t="shared" si="431"/>
        <v>0.3368125362186401</v>
      </c>
      <c r="H320" s="49"/>
      <c r="I320" s="49"/>
      <c r="J320" s="207">
        <v>7248.1559999999999</v>
      </c>
      <c r="K320" s="50">
        <f t="shared" ref="K320" si="557">J320/$J$474</f>
        <v>6.1425822539649746E-3</v>
      </c>
      <c r="L320" s="50"/>
      <c r="M320" s="207">
        <v>639103</v>
      </c>
      <c r="N320" s="207">
        <v>23694.73460735847</v>
      </c>
      <c r="O320" s="49">
        <f t="shared" si="433"/>
        <v>16446.578607358471</v>
      </c>
      <c r="P320" s="50">
        <f t="shared" si="434"/>
        <v>0.69410267217134969</v>
      </c>
      <c r="Q320" s="50">
        <f t="shared" si="435"/>
        <v>0.30589732782865031</v>
      </c>
      <c r="R320" s="50">
        <f t="shared" si="436"/>
        <v>0</v>
      </c>
      <c r="S320" s="50">
        <f t="shared" si="437"/>
        <v>0.30589732782865031</v>
      </c>
      <c r="T320" s="50">
        <f t="shared" si="479"/>
        <v>-0.30589732782865031</v>
      </c>
      <c r="U320" s="298"/>
      <c r="V320" s="298"/>
      <c r="W320" s="298"/>
      <c r="X320" s="113"/>
      <c r="Y320" s="113"/>
      <c r="Z320" s="113"/>
      <c r="AA320" s="113"/>
      <c r="AB320" s="113"/>
      <c r="AC320" s="113"/>
      <c r="AD320" s="113"/>
      <c r="AE320" s="113"/>
      <c r="AF320" s="113"/>
      <c r="AG320" s="113"/>
      <c r="AH320" s="113"/>
      <c r="AI320" s="113"/>
      <c r="AJ320" s="113"/>
      <c r="AK320" s="113"/>
      <c r="AL320" s="113"/>
      <c r="AM320" s="113"/>
      <c r="AN320" s="113"/>
      <c r="AO320" s="113"/>
      <c r="AP320" s="113"/>
      <c r="AQ320" s="113"/>
      <c r="AR320" s="113"/>
      <c r="AS320" s="113"/>
      <c r="AT320" s="113"/>
      <c r="AU320" s="113"/>
      <c r="AV320" s="113"/>
      <c r="AW320" s="113"/>
      <c r="AX320" s="113"/>
      <c r="AY320" s="113"/>
      <c r="AZ320" s="113"/>
      <c r="BA320" s="113"/>
    </row>
    <row r="321" spans="2:53" x14ac:dyDescent="0.25">
      <c r="B321" s="47">
        <f t="shared" si="438"/>
        <v>1</v>
      </c>
      <c r="C321" s="47">
        <f t="shared" si="477"/>
        <v>14</v>
      </c>
      <c r="D321" s="47" t="str">
        <f t="shared" si="550"/>
        <v>Duke Progress</v>
      </c>
      <c r="E321" s="48">
        <v>2010</v>
      </c>
      <c r="F321" s="207">
        <v>216.61</v>
      </c>
      <c r="G321" s="50">
        <f t="shared" si="431"/>
        <v>0.31411692183350798</v>
      </c>
      <c r="H321" s="49"/>
      <c r="I321" s="49"/>
      <c r="J321" s="207">
        <v>6387.8915999999999</v>
      </c>
      <c r="K321" s="50">
        <f t="shared" ref="K321" si="558">J321/$J$475</f>
        <v>5.2201999351546837E-3</v>
      </c>
      <c r="L321" s="50"/>
      <c r="M321" s="207">
        <v>596037.99</v>
      </c>
      <c r="N321" s="207">
        <v>25949.843133150898</v>
      </c>
      <c r="O321" s="49">
        <f t="shared" si="433"/>
        <v>19561.951533150899</v>
      </c>
      <c r="P321" s="50">
        <f t="shared" si="434"/>
        <v>0.75383698594156534</v>
      </c>
      <c r="Q321" s="50">
        <f t="shared" si="435"/>
        <v>0.24616301405843466</v>
      </c>
      <c r="R321" s="50">
        <f t="shared" si="436"/>
        <v>0</v>
      </c>
      <c r="S321" s="50">
        <f t="shared" si="437"/>
        <v>0.24616301405843466</v>
      </c>
      <c r="T321" s="50">
        <f t="shared" si="479"/>
        <v>-0.24616301405843466</v>
      </c>
      <c r="U321" s="298"/>
      <c r="V321" s="298"/>
      <c r="W321" s="298"/>
      <c r="X321" s="113"/>
      <c r="Y321" s="113"/>
      <c r="Z321" s="113"/>
      <c r="AA321" s="113"/>
      <c r="AB321" s="113"/>
      <c r="AC321" s="113"/>
      <c r="AD321" s="113"/>
      <c r="AE321" s="113"/>
      <c r="AF321" s="113"/>
      <c r="AG321" s="113"/>
      <c r="AH321" s="113"/>
      <c r="AI321" s="113"/>
      <c r="AJ321" s="113"/>
      <c r="AK321" s="113"/>
      <c r="AL321" s="113"/>
      <c r="AM321" s="113"/>
      <c r="AN321" s="113"/>
      <c r="AO321" s="113"/>
      <c r="AP321" s="113"/>
      <c r="AQ321" s="113"/>
      <c r="AR321" s="113"/>
      <c r="AS321" s="113"/>
      <c r="AT321" s="113"/>
      <c r="AU321" s="113"/>
      <c r="AV321" s="113"/>
      <c r="AW321" s="113"/>
      <c r="AX321" s="113"/>
      <c r="AY321" s="113"/>
      <c r="AZ321" s="113"/>
      <c r="BA321" s="113"/>
    </row>
    <row r="322" spans="2:53" x14ac:dyDescent="0.25">
      <c r="B322" s="47">
        <f t="shared" si="438"/>
        <v>1</v>
      </c>
      <c r="C322" s="47">
        <f t="shared" si="477"/>
        <v>14</v>
      </c>
      <c r="D322" s="47" t="str">
        <f t="shared" si="550"/>
        <v>Duke Progress</v>
      </c>
      <c r="E322" s="48">
        <v>2011</v>
      </c>
      <c r="F322" s="207">
        <v>216.61</v>
      </c>
      <c r="G322" s="50">
        <f t="shared" si="431"/>
        <v>0.30936174771947733</v>
      </c>
      <c r="H322" s="49"/>
      <c r="I322" s="49"/>
      <c r="J322" s="207">
        <v>6734.1107999999995</v>
      </c>
      <c r="K322" s="50">
        <f t="shared" ref="K322" si="559">J322/$J$476</f>
        <v>5.5793447473165116E-3</v>
      </c>
      <c r="L322" s="50"/>
      <c r="M322" s="207">
        <v>587015.03</v>
      </c>
      <c r="N322" s="207">
        <v>25875.746116797265</v>
      </c>
      <c r="O322" s="49">
        <f t="shared" si="433"/>
        <v>19141.635316797267</v>
      </c>
      <c r="P322" s="50">
        <f t="shared" si="434"/>
        <v>0.73975201450795869</v>
      </c>
      <c r="Q322" s="50">
        <f t="shared" si="435"/>
        <v>0.26024798549204131</v>
      </c>
      <c r="R322" s="50">
        <f t="shared" si="436"/>
        <v>0</v>
      </c>
      <c r="S322" s="50">
        <f t="shared" si="437"/>
        <v>0.26024798549204131</v>
      </c>
      <c r="T322" s="50">
        <f t="shared" si="479"/>
        <v>-0.26024798549204131</v>
      </c>
      <c r="U322" s="298"/>
      <c r="V322" s="298"/>
      <c r="W322" s="298"/>
      <c r="X322" s="113"/>
      <c r="Y322" s="113"/>
      <c r="Z322" s="113"/>
      <c r="AA322" s="113"/>
      <c r="AB322" s="113"/>
      <c r="AC322" s="113"/>
      <c r="AD322" s="113"/>
      <c r="AE322" s="113"/>
      <c r="AF322" s="113"/>
      <c r="AG322" s="113"/>
      <c r="AH322" s="113"/>
      <c r="AI322" s="113"/>
      <c r="AJ322" s="113"/>
      <c r="AK322" s="113"/>
      <c r="AL322" s="113"/>
      <c r="AM322" s="113"/>
      <c r="AN322" s="113"/>
      <c r="AO322" s="113"/>
      <c r="AP322" s="113"/>
      <c r="AQ322" s="113"/>
      <c r="AR322" s="113"/>
      <c r="AS322" s="113"/>
      <c r="AT322" s="113"/>
      <c r="AU322" s="113"/>
      <c r="AV322" s="113"/>
      <c r="AW322" s="113"/>
      <c r="AX322" s="113"/>
      <c r="AY322" s="113"/>
      <c r="AZ322" s="113"/>
      <c r="BA322" s="113"/>
    </row>
    <row r="323" spans="2:53" x14ac:dyDescent="0.25">
      <c r="B323" s="47">
        <f t="shared" si="438"/>
        <v>1</v>
      </c>
      <c r="C323" s="47">
        <f t="shared" si="477"/>
        <v>14</v>
      </c>
      <c r="D323" s="47" t="str">
        <f t="shared" si="550"/>
        <v>Duke Progress</v>
      </c>
      <c r="E323" s="48">
        <v>2012</v>
      </c>
      <c r="F323" s="207">
        <v>216.61</v>
      </c>
      <c r="G323" s="50">
        <f t="shared" si="431"/>
        <v>0.30485423584967108</v>
      </c>
      <c r="H323" s="49"/>
      <c r="I323" s="49"/>
      <c r="J323" s="207">
        <v>7100.2319999999991</v>
      </c>
      <c r="K323" s="50">
        <f t="shared" ref="K323" si="560">J323/$J$477</f>
        <v>5.7025974818502136E-3</v>
      </c>
      <c r="L323" s="50"/>
      <c r="M323" s="207">
        <v>578462.01</v>
      </c>
      <c r="N323" s="207">
        <v>19510.289259863152</v>
      </c>
      <c r="O323" s="49">
        <f t="shared" si="433"/>
        <v>12410.057259863152</v>
      </c>
      <c r="P323" s="50">
        <f t="shared" si="434"/>
        <v>0.63607756371881685</v>
      </c>
      <c r="Q323" s="50">
        <f t="shared" si="435"/>
        <v>0.36392243628118315</v>
      </c>
      <c r="R323" s="50">
        <f t="shared" si="436"/>
        <v>0</v>
      </c>
      <c r="S323" s="50">
        <f t="shared" si="437"/>
        <v>0.36392243628118315</v>
      </c>
      <c r="T323" s="50">
        <f t="shared" si="479"/>
        <v>-0.36392243628118315</v>
      </c>
      <c r="U323" s="298"/>
      <c r="V323" s="298"/>
      <c r="W323" s="298"/>
      <c r="X323" s="113"/>
      <c r="Y323" s="113"/>
      <c r="Z323" s="113"/>
      <c r="AA323" s="113"/>
      <c r="AB323" s="113"/>
      <c r="AC323" s="113"/>
      <c r="AD323" s="113"/>
      <c r="AE323" s="113"/>
      <c r="AF323" s="113"/>
      <c r="AG323" s="113"/>
      <c r="AH323" s="113"/>
      <c r="AI323" s="113"/>
      <c r="AJ323" s="113"/>
      <c r="AK323" s="113"/>
      <c r="AL323" s="113"/>
      <c r="AM323" s="113"/>
      <c r="AN323" s="113"/>
      <c r="AO323" s="113"/>
      <c r="AP323" s="113"/>
      <c r="AQ323" s="113"/>
      <c r="AR323" s="113"/>
      <c r="AS323" s="113"/>
      <c r="AT323" s="113"/>
      <c r="AU323" s="113"/>
      <c r="AV323" s="113"/>
      <c r="AW323" s="113"/>
      <c r="AX323" s="113"/>
      <c r="AY323" s="113"/>
      <c r="AZ323" s="113"/>
      <c r="BA323" s="113"/>
    </row>
    <row r="324" spans="2:53" x14ac:dyDescent="0.25">
      <c r="B324" s="47">
        <f t="shared" si="438"/>
        <v>1</v>
      </c>
      <c r="C324" s="47">
        <f t="shared" si="477"/>
        <v>14</v>
      </c>
      <c r="D324" s="47" t="str">
        <f t="shared" si="550"/>
        <v>Duke Progress</v>
      </c>
      <c r="E324" s="48">
        <v>2013</v>
      </c>
      <c r="F324" s="207">
        <v>216.61</v>
      </c>
      <c r="G324" s="50">
        <f t="shared" si="431"/>
        <v>0.49719468252919252</v>
      </c>
      <c r="H324" s="47"/>
      <c r="I324" s="47"/>
      <c r="J324" s="207">
        <v>6305.4947999999995</v>
      </c>
      <c r="K324" s="50">
        <f t="shared" ref="K324" si="561">J324/$J$478</f>
        <v>5.0723047300695722E-3</v>
      </c>
      <c r="L324" s="47"/>
      <c r="M324" s="207">
        <v>943428.7</v>
      </c>
      <c r="N324" s="207">
        <v>37038.536082167411</v>
      </c>
      <c r="O324" s="49">
        <f t="shared" si="433"/>
        <v>30733.041282167411</v>
      </c>
      <c r="P324" s="50">
        <f t="shared" si="434"/>
        <v>0.82975853079042594</v>
      </c>
      <c r="Q324" s="50">
        <f t="shared" si="435"/>
        <v>0.17024146920957406</v>
      </c>
      <c r="R324" s="50">
        <f t="shared" si="436"/>
        <v>0</v>
      </c>
      <c r="S324" s="50">
        <f t="shared" si="437"/>
        <v>0.17024146920957406</v>
      </c>
      <c r="T324" s="50">
        <f t="shared" si="479"/>
        <v>-0.17024146920957406</v>
      </c>
      <c r="U324" s="298"/>
      <c r="V324" s="298"/>
      <c r="W324" s="298"/>
      <c r="X324" s="113"/>
      <c r="Y324" s="113"/>
      <c r="Z324" s="113"/>
      <c r="AA324" s="113"/>
      <c r="AB324" s="113"/>
      <c r="AC324" s="113"/>
      <c r="AD324" s="113"/>
      <c r="AE324" s="113"/>
      <c r="AF324" s="113"/>
      <c r="AG324" s="113"/>
      <c r="AH324" s="113"/>
      <c r="AI324" s="113"/>
      <c r="AJ324" s="113"/>
      <c r="AK324" s="113"/>
      <c r="AL324" s="113"/>
      <c r="AM324" s="113"/>
      <c r="AN324" s="113"/>
      <c r="AO324" s="113"/>
      <c r="AP324" s="113"/>
      <c r="AQ324" s="113"/>
      <c r="AR324" s="113"/>
      <c r="AS324" s="113"/>
      <c r="AT324" s="113"/>
      <c r="AU324" s="113"/>
      <c r="AV324" s="113"/>
      <c r="AW324" s="113"/>
      <c r="AX324" s="113"/>
      <c r="AY324" s="113"/>
      <c r="AZ324" s="113"/>
      <c r="BA324" s="113"/>
    </row>
    <row r="325" spans="2:53" x14ac:dyDescent="0.25">
      <c r="B325" s="47">
        <f t="shared" si="438"/>
        <v>1</v>
      </c>
      <c r="C325" s="47">
        <f t="shared" si="477"/>
        <v>14</v>
      </c>
      <c r="D325" s="47" t="str">
        <f>D322</f>
        <v>Duke Progress</v>
      </c>
      <c r="E325" s="48">
        <v>2014</v>
      </c>
      <c r="F325" s="207">
        <v>216.61</v>
      </c>
      <c r="G325" s="50">
        <f t="shared" si="431"/>
        <v>0.33955191969069254</v>
      </c>
      <c r="H325" s="47"/>
      <c r="I325" s="47"/>
      <c r="J325" s="207">
        <v>7805.0544</v>
      </c>
      <c r="K325" s="50">
        <f t="shared" ref="K325" si="562">J325/$J$479</f>
        <v>6.2556384329657978E-3</v>
      </c>
      <c r="L325" s="47"/>
      <c r="M325" s="207">
        <v>644300.99</v>
      </c>
      <c r="N325" s="207">
        <v>32062.80201808496</v>
      </c>
      <c r="O325" s="49">
        <f t="shared" si="433"/>
        <v>24257.747618084959</v>
      </c>
      <c r="P325" s="50">
        <f t="shared" si="434"/>
        <v>0.75656979712510541</v>
      </c>
      <c r="Q325" s="50">
        <f t="shared" si="435"/>
        <v>0.24343020287489459</v>
      </c>
      <c r="R325" s="50">
        <f t="shared" si="436"/>
        <v>0</v>
      </c>
      <c r="S325" s="50">
        <f t="shared" si="437"/>
        <v>0.24343020287489459</v>
      </c>
      <c r="T325" s="50">
        <f t="shared" si="479"/>
        <v>-0.24343020287489459</v>
      </c>
      <c r="U325" s="298"/>
      <c r="V325" s="298"/>
      <c r="W325" s="298"/>
      <c r="X325" s="113"/>
      <c r="Y325" s="113"/>
      <c r="Z325" s="113"/>
      <c r="AA325" s="113"/>
      <c r="AB325" s="113"/>
      <c r="AC325" s="113"/>
      <c r="AD325" s="113"/>
      <c r="AE325" s="113"/>
      <c r="AF325" s="113"/>
      <c r="AG325" s="113"/>
      <c r="AH325" s="113"/>
      <c r="AI325" s="113"/>
      <c r="AJ325" s="113"/>
      <c r="AK325" s="113"/>
      <c r="AL325" s="113"/>
      <c r="AM325" s="113"/>
      <c r="AN325" s="113"/>
      <c r="AO325" s="113"/>
      <c r="AP325" s="113"/>
      <c r="AQ325" s="113"/>
      <c r="AR325" s="113"/>
      <c r="AS325" s="113"/>
      <c r="AT325" s="113"/>
      <c r="AU325" s="113"/>
      <c r="AV325" s="113"/>
      <c r="AW325" s="113"/>
      <c r="AX325" s="113"/>
      <c r="AY325" s="113"/>
      <c r="AZ325" s="113"/>
      <c r="BA325" s="113"/>
    </row>
    <row r="326" spans="2:53" x14ac:dyDescent="0.25">
      <c r="B326" s="47">
        <f t="shared" si="438"/>
        <v>1</v>
      </c>
      <c r="C326" s="47">
        <f t="shared" si="477"/>
        <v>14</v>
      </c>
      <c r="D326" s="47" t="str">
        <f>D323</f>
        <v>Duke Progress</v>
      </c>
      <c r="E326" s="48">
        <v>2015</v>
      </c>
      <c r="F326" s="207">
        <v>216.6</v>
      </c>
      <c r="G326" s="50">
        <f t="shared" si="431"/>
        <v>0.29873892704604577</v>
      </c>
      <c r="H326" s="47"/>
      <c r="I326" s="47"/>
      <c r="J326" s="207">
        <v>7481.4935999999998</v>
      </c>
      <c r="K326" s="50">
        <f t="shared" ref="K326" si="563">J326/$J$480</f>
        <v>5.6765845811265593E-3</v>
      </c>
      <c r="L326" s="47"/>
      <c r="M326" s="207">
        <v>566832.02</v>
      </c>
      <c r="N326" s="207">
        <v>17355.047422086947</v>
      </c>
      <c r="O326" s="49">
        <f t="shared" si="433"/>
        <v>9873.5538220869475</v>
      </c>
      <c r="P326" s="50">
        <f t="shared" si="434"/>
        <v>0.56891540437517574</v>
      </c>
      <c r="Q326" s="50">
        <f t="shared" si="435"/>
        <v>0.43108459562482426</v>
      </c>
      <c r="R326" s="50">
        <f t="shared" si="436"/>
        <v>0</v>
      </c>
      <c r="S326" s="50">
        <f t="shared" si="437"/>
        <v>0.43108459562482426</v>
      </c>
      <c r="T326" s="50">
        <f t="shared" si="479"/>
        <v>-0.43108459562482426</v>
      </c>
      <c r="U326" s="298"/>
      <c r="V326" s="298"/>
      <c r="W326" s="298"/>
      <c r="X326" s="113"/>
      <c r="Y326" s="113"/>
      <c r="Z326" s="113"/>
      <c r="AA326" s="113"/>
      <c r="AB326" s="113"/>
      <c r="AC326" s="113"/>
      <c r="AD326" s="113"/>
      <c r="AE326" s="113"/>
      <c r="AF326" s="113"/>
      <c r="AG326" s="113"/>
      <c r="AH326" s="113"/>
      <c r="AI326" s="113"/>
      <c r="AJ326" s="113"/>
      <c r="AK326" s="113"/>
      <c r="AL326" s="113"/>
      <c r="AM326" s="113"/>
      <c r="AN326" s="113"/>
      <c r="AO326" s="113"/>
      <c r="AP326" s="113"/>
      <c r="AQ326" s="113"/>
      <c r="AR326" s="113"/>
      <c r="AS326" s="113"/>
      <c r="AT326" s="113"/>
      <c r="AU326" s="113"/>
      <c r="AV326" s="113"/>
      <c r="AW326" s="113"/>
      <c r="AX326" s="113"/>
      <c r="AY326" s="113"/>
      <c r="AZ326" s="113"/>
      <c r="BA326" s="113"/>
    </row>
    <row r="327" spans="2:53" x14ac:dyDescent="0.25">
      <c r="B327" s="47">
        <f t="shared" si="438"/>
        <v>1</v>
      </c>
      <c r="C327" s="47">
        <f t="shared" si="477"/>
        <v>14</v>
      </c>
      <c r="D327" s="47" t="str">
        <f>D324</f>
        <v>Duke Progress</v>
      </c>
      <c r="E327" s="48">
        <v>2016</v>
      </c>
      <c r="F327" s="207">
        <v>216.6</v>
      </c>
      <c r="G327" s="50">
        <f t="shared" si="431"/>
        <v>0.2536228270447809</v>
      </c>
      <c r="H327" s="47"/>
      <c r="I327" s="47"/>
      <c r="J327" s="207">
        <v>8375.8631999999998</v>
      </c>
      <c r="K327" s="50">
        <f t="shared" ref="K327" si="564">J327/$J$481</f>
        <v>6.2934475115360034E-3</v>
      </c>
      <c r="L327" s="47"/>
      <c r="M327" s="207">
        <v>481228.01</v>
      </c>
      <c r="N327" s="207">
        <v>12104.548087593492</v>
      </c>
      <c r="O327" s="49">
        <f t="shared" si="433"/>
        <v>3728.684887593492</v>
      </c>
      <c r="P327" s="50">
        <f t="shared" si="434"/>
        <v>0.30803999130006288</v>
      </c>
      <c r="Q327" s="50">
        <f t="shared" si="435"/>
        <v>0.69196000869993712</v>
      </c>
      <c r="R327" s="50">
        <f t="shared" si="436"/>
        <v>0</v>
      </c>
      <c r="S327" s="50">
        <f t="shared" si="437"/>
        <v>0.69196000869993712</v>
      </c>
      <c r="T327" s="50">
        <f t="shared" si="479"/>
        <v>-0.69196000869993712</v>
      </c>
      <c r="U327" s="298"/>
      <c r="V327" s="298"/>
      <c r="W327" s="298"/>
      <c r="X327" s="113"/>
      <c r="Y327" s="113"/>
      <c r="Z327" s="113"/>
      <c r="AA327" s="113"/>
      <c r="AB327" s="113"/>
      <c r="AC327" s="113"/>
      <c r="AD327" s="113"/>
      <c r="AE327" s="113"/>
      <c r="AF327" s="113"/>
      <c r="AG327" s="113"/>
      <c r="AH327" s="113"/>
      <c r="AI327" s="113"/>
      <c r="AJ327" s="113"/>
      <c r="AK327" s="113"/>
      <c r="AL327" s="113"/>
      <c r="AM327" s="113"/>
      <c r="AN327" s="113"/>
      <c r="AO327" s="113"/>
      <c r="AP327" s="113"/>
      <c r="AQ327" s="113"/>
      <c r="AR327" s="113"/>
      <c r="AS327" s="113"/>
      <c r="AT327" s="113"/>
      <c r="AU327" s="113"/>
      <c r="AV327" s="113"/>
      <c r="AW327" s="113"/>
      <c r="AX327" s="113"/>
      <c r="AY327" s="113"/>
      <c r="AZ327" s="113"/>
      <c r="BA327" s="113"/>
    </row>
    <row r="328" spans="2:53" x14ac:dyDescent="0.25">
      <c r="B328" s="47">
        <f t="shared" si="438"/>
        <v>1</v>
      </c>
      <c r="C328" s="47">
        <f t="shared" si="477"/>
        <v>14</v>
      </c>
      <c r="D328" s="47" t="str">
        <f>D324</f>
        <v>Duke Progress</v>
      </c>
      <c r="E328" s="48">
        <v>2017</v>
      </c>
      <c r="F328" s="207">
        <v>216.6</v>
      </c>
      <c r="G328" s="50">
        <f t="shared" si="431"/>
        <v>0.25125749967323979</v>
      </c>
      <c r="H328" s="47"/>
      <c r="I328" s="47"/>
      <c r="J328" s="207">
        <v>8007.2255999999998</v>
      </c>
      <c r="K328" s="50">
        <f t="shared" ref="K328" si="565">J328/$J$482</f>
        <v>6.1500553406158573E-3</v>
      </c>
      <c r="L328" s="47"/>
      <c r="M328" s="207">
        <v>476740</v>
      </c>
      <c r="N328" s="207">
        <v>13731.117309667277</v>
      </c>
      <c r="O328" s="49">
        <f t="shared" si="433"/>
        <v>5723.8917096672776</v>
      </c>
      <c r="P328" s="50">
        <f t="shared" si="434"/>
        <v>0.4168554954837812</v>
      </c>
      <c r="Q328" s="50">
        <f t="shared" si="435"/>
        <v>0.5831445045162188</v>
      </c>
      <c r="R328" s="50">
        <f t="shared" si="436"/>
        <v>0</v>
      </c>
      <c r="S328" s="50">
        <f t="shared" si="437"/>
        <v>0.5831445045162188</v>
      </c>
      <c r="T328" s="50">
        <f t="shared" si="479"/>
        <v>-0.5831445045162188</v>
      </c>
      <c r="U328" s="298"/>
      <c r="V328" s="298"/>
      <c r="W328" s="298"/>
      <c r="X328" s="113"/>
      <c r="Y328" s="113"/>
      <c r="Z328" s="113"/>
      <c r="AA328" s="113"/>
      <c r="AB328" s="113"/>
      <c r="AC328" s="113"/>
      <c r="AD328" s="113"/>
      <c r="AE328" s="113"/>
      <c r="AF328" s="113"/>
      <c r="AG328" s="113"/>
      <c r="AH328" s="113"/>
      <c r="AI328" s="113"/>
      <c r="AJ328" s="113"/>
      <c r="AK328" s="113"/>
      <c r="AL328" s="113"/>
      <c r="AM328" s="113"/>
      <c r="AN328" s="113"/>
      <c r="AO328" s="113"/>
      <c r="AP328" s="113"/>
      <c r="AQ328" s="113"/>
      <c r="AR328" s="113"/>
      <c r="AS328" s="113"/>
      <c r="AT328" s="113"/>
      <c r="AU328" s="113"/>
      <c r="AV328" s="113"/>
      <c r="AW328" s="113"/>
      <c r="AX328" s="113"/>
      <c r="AY328" s="113"/>
      <c r="AZ328" s="113"/>
      <c r="BA328" s="113"/>
    </row>
    <row r="329" spans="2:53" x14ac:dyDescent="0.25">
      <c r="B329" s="47">
        <f t="shared" si="438"/>
        <v>1</v>
      </c>
      <c r="C329" s="47">
        <f t="shared" ref="C329:C334" si="566">IF(D329=D328,C328,C328+1)</f>
        <v>14</v>
      </c>
      <c r="D329" s="47" t="str">
        <f t="shared" ref="D329:D334" si="567">D328</f>
        <v>Duke Progress</v>
      </c>
      <c r="E329" s="48">
        <v>2018</v>
      </c>
      <c r="F329" s="207">
        <v>216.6</v>
      </c>
      <c r="G329" s="50">
        <f t="shared" ref="G329" si="568">M329/(F329*8760)</f>
        <v>0.42417055616691329</v>
      </c>
      <c r="H329" s="47"/>
      <c r="I329" s="47"/>
      <c r="J329" s="207">
        <v>7042.6331999999993</v>
      </c>
      <c r="K329" s="50">
        <f t="shared" ref="K329" si="569">J329/$J$483</f>
        <v>5.0193256467559698E-3</v>
      </c>
      <c r="L329" s="47"/>
      <c r="M329" s="208">
        <v>804828</v>
      </c>
      <c r="N329" s="207">
        <v>26435.663956224798</v>
      </c>
      <c r="O329" s="49">
        <f t="shared" ref="O329:O333" si="570">N329-J329</f>
        <v>19393.030756224798</v>
      </c>
      <c r="P329" s="50">
        <f t="shared" ref="P329:P333" si="571">O329/N329</f>
        <v>0.73359348145512826</v>
      </c>
      <c r="Q329" s="50">
        <f t="shared" ref="Q329:Q333" si="572">1-P329</f>
        <v>0.26640651854487174</v>
      </c>
      <c r="R329" s="50">
        <f t="shared" ref="R329:R333" si="573">Q329*L329</f>
        <v>0</v>
      </c>
      <c r="S329" s="50">
        <f t="shared" ref="S329:S333" si="574">Q329-R329</f>
        <v>0.26640651854487174</v>
      </c>
      <c r="T329" s="50">
        <f t="shared" ref="T329:T333" si="575">R329-S329</f>
        <v>-0.26640651854487174</v>
      </c>
      <c r="U329" s="298"/>
      <c r="V329" s="298"/>
      <c r="W329" s="298"/>
      <c r="X329" s="113"/>
      <c r="Y329" s="113"/>
      <c r="Z329" s="113"/>
      <c r="AA329" s="113"/>
      <c r="AB329" s="113"/>
      <c r="AC329" s="113"/>
      <c r="AD329" s="113"/>
      <c r="AE329" s="113"/>
      <c r="AF329" s="113"/>
      <c r="AG329" s="113"/>
      <c r="AH329" s="113"/>
      <c r="AI329" s="113"/>
      <c r="AJ329" s="113"/>
      <c r="AK329" s="113"/>
      <c r="AL329" s="113"/>
      <c r="AM329" s="113"/>
      <c r="AN329" s="113"/>
      <c r="AO329" s="113"/>
      <c r="AP329" s="113"/>
      <c r="AQ329" s="113"/>
      <c r="AR329" s="113"/>
      <c r="AS329" s="113"/>
      <c r="AT329" s="113"/>
      <c r="AU329" s="113"/>
      <c r="AV329" s="113"/>
      <c r="AW329" s="113"/>
      <c r="AX329" s="113"/>
      <c r="AY329" s="113"/>
      <c r="AZ329" s="113"/>
      <c r="BA329" s="113"/>
    </row>
    <row r="330" spans="2:53" x14ac:dyDescent="0.25">
      <c r="B330" s="47">
        <f t="shared" si="438"/>
        <v>1</v>
      </c>
      <c r="C330" s="47">
        <f t="shared" si="566"/>
        <v>14</v>
      </c>
      <c r="D330" s="47" t="str">
        <f t="shared" ref="D330:D332" si="576">D327</f>
        <v>Duke Progress</v>
      </c>
      <c r="E330" s="48">
        <v>2019</v>
      </c>
      <c r="F330" s="207">
        <v>216.6</v>
      </c>
      <c r="G330" s="50">
        <f t="shared" si="431"/>
        <v>0.35507500727304925</v>
      </c>
      <c r="H330" s="47"/>
      <c r="I330" s="47"/>
      <c r="J330" s="207">
        <v>7924.5396000000001</v>
      </c>
      <c r="K330" s="50">
        <f t="shared" ref="K330" si="577">J330/$J$484</f>
        <v>5.7550103591029753E-3</v>
      </c>
      <c r="L330" s="47"/>
      <c r="M330" s="207">
        <v>673725</v>
      </c>
      <c r="N330" s="207">
        <v>21979.200857389045</v>
      </c>
      <c r="O330" s="49">
        <f t="shared" si="570"/>
        <v>14054.661257389045</v>
      </c>
      <c r="P330" s="50">
        <f t="shared" si="571"/>
        <v>0.6394527875959648</v>
      </c>
      <c r="Q330" s="50">
        <f t="shared" si="572"/>
        <v>0.3605472124040352</v>
      </c>
      <c r="R330" s="50">
        <f t="shared" si="573"/>
        <v>0</v>
      </c>
      <c r="S330" s="50">
        <f t="shared" si="574"/>
        <v>0.3605472124040352</v>
      </c>
      <c r="T330" s="50">
        <f t="shared" si="575"/>
        <v>-0.3605472124040352</v>
      </c>
      <c r="U330" s="298"/>
      <c r="V330" s="298"/>
      <c r="W330" s="298"/>
      <c r="X330" s="113"/>
      <c r="Y330" s="113"/>
      <c r="Z330" s="113"/>
      <c r="AA330" s="113"/>
      <c r="AB330" s="113"/>
      <c r="AC330" s="113"/>
      <c r="AD330" s="113"/>
      <c r="AE330" s="113"/>
      <c r="AF330" s="113"/>
      <c r="AG330" s="113"/>
      <c r="AH330" s="113"/>
      <c r="AI330" s="113"/>
      <c r="AJ330" s="113"/>
      <c r="AK330" s="113"/>
      <c r="AL330" s="113"/>
      <c r="AM330" s="113"/>
      <c r="AN330" s="113"/>
      <c r="AO330" s="113"/>
      <c r="AP330" s="113"/>
      <c r="AQ330" s="113"/>
      <c r="AR330" s="113"/>
      <c r="AS330" s="113"/>
      <c r="AT330" s="113"/>
      <c r="AU330" s="113"/>
      <c r="AV330" s="113"/>
      <c r="AW330" s="113"/>
      <c r="AX330" s="113"/>
      <c r="AY330" s="113"/>
      <c r="AZ330" s="113"/>
      <c r="BA330" s="113"/>
    </row>
    <row r="331" spans="2:53" x14ac:dyDescent="0.25">
      <c r="B331" s="47">
        <f t="shared" si="438"/>
        <v>1</v>
      </c>
      <c r="C331" s="47">
        <f t="shared" si="566"/>
        <v>14</v>
      </c>
      <c r="D331" s="47" t="str">
        <f t="shared" si="576"/>
        <v>Duke Progress</v>
      </c>
      <c r="E331" s="48">
        <v>2020</v>
      </c>
      <c r="F331" s="207">
        <v>216.6</v>
      </c>
      <c r="G331" s="50">
        <f t="shared" si="431"/>
        <v>0.46387566037178984</v>
      </c>
      <c r="H331" s="47"/>
      <c r="I331" s="47"/>
      <c r="J331" s="207">
        <v>6255.1728000000003</v>
      </c>
      <c r="K331" s="50">
        <f t="shared" ref="K331" si="578">J331/$J$485</f>
        <v>4.5164878621819513E-3</v>
      </c>
      <c r="L331" s="47"/>
      <c r="M331" s="207">
        <v>880165.1</v>
      </c>
      <c r="N331" s="207">
        <v>20261.623879344912</v>
      </c>
      <c r="O331" s="49">
        <f t="shared" si="570"/>
        <v>14006.451079344912</v>
      </c>
      <c r="P331" s="50">
        <f t="shared" si="571"/>
        <v>0.69127978896219455</v>
      </c>
      <c r="Q331" s="50">
        <f t="shared" si="572"/>
        <v>0.30872021103780545</v>
      </c>
      <c r="R331" s="50">
        <f t="shared" si="573"/>
        <v>0</v>
      </c>
      <c r="S331" s="50">
        <f t="shared" si="574"/>
        <v>0.30872021103780545</v>
      </c>
      <c r="T331" s="50">
        <f t="shared" si="575"/>
        <v>-0.30872021103780545</v>
      </c>
      <c r="U331" s="298"/>
      <c r="V331" s="298"/>
      <c r="W331" s="298"/>
      <c r="X331" s="113"/>
      <c r="Y331" s="113"/>
      <c r="Z331" s="113"/>
      <c r="AA331" s="113"/>
      <c r="AB331" s="113"/>
      <c r="AC331" s="113"/>
      <c r="AD331" s="113"/>
      <c r="AE331" s="113"/>
      <c r="AF331" s="113"/>
      <c r="AG331" s="113"/>
      <c r="AH331" s="113"/>
      <c r="AI331" s="113"/>
      <c r="AJ331" s="113"/>
      <c r="AK331" s="113"/>
      <c r="AL331" s="113"/>
      <c r="AM331" s="113"/>
      <c r="AN331" s="113"/>
      <c r="AO331" s="113"/>
      <c r="AP331" s="113"/>
      <c r="AQ331" s="113"/>
      <c r="AR331" s="113"/>
      <c r="AS331" s="113"/>
      <c r="AT331" s="113"/>
      <c r="AU331" s="113"/>
      <c r="AV331" s="113"/>
      <c r="AW331" s="113"/>
      <c r="AX331" s="113"/>
      <c r="AY331" s="113"/>
      <c r="AZ331" s="113"/>
      <c r="BA331" s="113"/>
    </row>
    <row r="332" spans="2:53" x14ac:dyDescent="0.25">
      <c r="B332" s="47">
        <f t="shared" si="438"/>
        <v>1</v>
      </c>
      <c r="C332" s="47">
        <f t="shared" si="566"/>
        <v>14</v>
      </c>
      <c r="D332" s="47" t="str">
        <f t="shared" si="576"/>
        <v>Duke Progress</v>
      </c>
      <c r="E332" s="48">
        <v>2021</v>
      </c>
      <c r="F332" s="207">
        <v>216.6</v>
      </c>
      <c r="G332" s="50">
        <f t="shared" si="431"/>
        <v>0.35685901246748208</v>
      </c>
      <c r="H332" s="47"/>
      <c r="I332" s="47"/>
      <c r="J332" s="207">
        <v>6896.3483999999999</v>
      </c>
      <c r="K332" s="50">
        <f t="shared" ref="K332" si="579">J332/$J$486</f>
        <v>4.7594357619915283E-3</v>
      </c>
      <c r="L332" s="47"/>
      <c r="M332" s="207">
        <v>677110</v>
      </c>
      <c r="N332" s="207">
        <v>28720.82517080969</v>
      </c>
      <c r="O332" s="49">
        <f t="shared" si="570"/>
        <v>21824.476770809692</v>
      </c>
      <c r="P332" s="50">
        <f t="shared" si="571"/>
        <v>0.7598833473973764</v>
      </c>
      <c r="Q332" s="50">
        <f t="shared" si="572"/>
        <v>0.2401166526026236</v>
      </c>
      <c r="R332" s="50">
        <f t="shared" si="573"/>
        <v>0</v>
      </c>
      <c r="S332" s="50">
        <f t="shared" si="574"/>
        <v>0.2401166526026236</v>
      </c>
      <c r="T332" s="50">
        <f t="shared" si="575"/>
        <v>-0.2401166526026236</v>
      </c>
      <c r="U332" s="298"/>
      <c r="V332" s="298"/>
      <c r="W332" s="298"/>
      <c r="X332" s="113"/>
      <c r="Y332" s="113"/>
      <c r="Z332" s="113"/>
      <c r="AA332" s="113"/>
      <c r="AB332" s="113"/>
      <c r="AC332" s="113"/>
      <c r="AD332" s="113"/>
      <c r="AE332" s="113"/>
      <c r="AF332" s="113"/>
      <c r="AG332" s="113"/>
      <c r="AH332" s="113"/>
      <c r="AI332" s="113"/>
      <c r="AJ332" s="113"/>
      <c r="AK332" s="113"/>
      <c r="AL332" s="113"/>
      <c r="AM332" s="113"/>
      <c r="AN332" s="113"/>
      <c r="AO332" s="113"/>
      <c r="AP332" s="113"/>
      <c r="AQ332" s="113"/>
      <c r="AR332" s="113"/>
      <c r="AS332" s="113"/>
      <c r="AT332" s="113"/>
      <c r="AU332" s="113"/>
      <c r="AV332" s="113"/>
      <c r="AW332" s="113"/>
      <c r="AX332" s="113"/>
      <c r="AY332" s="113"/>
      <c r="AZ332" s="113"/>
      <c r="BA332" s="113"/>
    </row>
    <row r="333" spans="2:53" x14ac:dyDescent="0.25">
      <c r="B333" s="47">
        <f t="shared" si="438"/>
        <v>1</v>
      </c>
      <c r="C333" s="47">
        <f t="shared" si="566"/>
        <v>14</v>
      </c>
      <c r="D333" s="47" t="str">
        <f t="shared" ref="D333" si="580">D329</f>
        <v>Duke Progress</v>
      </c>
      <c r="E333" s="48">
        <v>2022</v>
      </c>
      <c r="F333" s="207">
        <v>216.6</v>
      </c>
      <c r="G333" s="50">
        <f t="shared" si="431"/>
        <v>0.30089658778043404</v>
      </c>
      <c r="H333" s="47"/>
      <c r="I333" s="47"/>
      <c r="J333" s="207">
        <v>7135.9535999999998</v>
      </c>
      <c r="K333" s="50">
        <f t="shared" ref="K333" si="581">J333/$J$487</f>
        <v>4.8539119631929332E-3</v>
      </c>
      <c r="L333" s="47"/>
      <c r="M333" s="207">
        <v>570926</v>
      </c>
      <c r="N333" s="207">
        <v>52895.114159289536</v>
      </c>
      <c r="O333" s="49">
        <f t="shared" si="570"/>
        <v>45759.160559289536</v>
      </c>
      <c r="P333" s="50">
        <f t="shared" si="571"/>
        <v>0.8650923868221434</v>
      </c>
      <c r="Q333" s="50">
        <f t="shared" si="572"/>
        <v>0.1349076131778566</v>
      </c>
      <c r="R333" s="50">
        <f t="shared" si="573"/>
        <v>0</v>
      </c>
      <c r="S333" s="50">
        <f t="shared" si="574"/>
        <v>0.1349076131778566</v>
      </c>
      <c r="T333" s="50">
        <f t="shared" si="575"/>
        <v>-0.1349076131778566</v>
      </c>
      <c r="U333" s="298"/>
      <c r="V333" s="298"/>
      <c r="W333" s="298"/>
      <c r="X333" s="113"/>
      <c r="Y333" s="113"/>
      <c r="Z333" s="113"/>
      <c r="AA333" s="113"/>
      <c r="AB333" s="113"/>
      <c r="AC333" s="113"/>
      <c r="AD333" s="113"/>
      <c r="AE333" s="113"/>
      <c r="AF333" s="113"/>
      <c r="AG333" s="113"/>
      <c r="AH333" s="113"/>
      <c r="AI333" s="113"/>
      <c r="AJ333" s="113"/>
      <c r="AK333" s="113"/>
      <c r="AL333" s="113"/>
      <c r="AM333" s="113"/>
      <c r="AN333" s="113"/>
      <c r="AO333" s="113"/>
      <c r="AP333" s="113"/>
      <c r="AQ333" s="113"/>
      <c r="AR333" s="113"/>
      <c r="AS333" s="113"/>
      <c r="AT333" s="113"/>
      <c r="AU333" s="113"/>
      <c r="AV333" s="113"/>
      <c r="AW333" s="113"/>
      <c r="AX333" s="113"/>
      <c r="AY333" s="113"/>
      <c r="AZ333" s="113"/>
      <c r="BA333" s="113"/>
    </row>
    <row r="334" spans="2:53" x14ac:dyDescent="0.25">
      <c r="B334" s="47">
        <f t="shared" si="438"/>
        <v>1</v>
      </c>
      <c r="C334" s="47">
        <f t="shared" si="566"/>
        <v>14</v>
      </c>
      <c r="D334" s="47" t="str">
        <f t="shared" si="567"/>
        <v>Duke Progress</v>
      </c>
      <c r="E334" s="48">
        <v>2023</v>
      </c>
      <c r="F334" s="207">
        <v>216.6</v>
      </c>
      <c r="G334" s="50">
        <f t="shared" si="431"/>
        <v>0.3180752138698103</v>
      </c>
      <c r="H334" s="47"/>
      <c r="I334" s="47"/>
      <c r="J334" s="207">
        <v>6539.8308000000006</v>
      </c>
      <c r="K334" s="50">
        <f t="shared" ref="K334" si="582">J334/$J$488</f>
        <v>4.094238594697759E-3</v>
      </c>
      <c r="L334" s="47"/>
      <c r="M334" s="208">
        <v>603521</v>
      </c>
      <c r="N334" s="207">
        <v>35973.25950322178</v>
      </c>
      <c r="O334" s="49">
        <f t="shared" ref="O334" si="583">N334-J334</f>
        <v>29433.42870322178</v>
      </c>
      <c r="P334" s="50">
        <f t="shared" ref="P334" si="584">O334/N334</f>
        <v>0.8182029960500441</v>
      </c>
      <c r="Q334" s="50">
        <f t="shared" ref="Q334" si="585">1-P334</f>
        <v>0.1817970039499559</v>
      </c>
      <c r="R334" s="50">
        <f t="shared" ref="R334" si="586">Q334*L334</f>
        <v>0</v>
      </c>
      <c r="S334" s="50">
        <f t="shared" ref="S334" si="587">Q334-R334</f>
        <v>0.1817970039499559</v>
      </c>
      <c r="T334" s="50">
        <f t="shared" ref="T334" si="588">R334-S334</f>
        <v>-0.1817970039499559</v>
      </c>
      <c r="U334" s="298"/>
      <c r="V334" s="298"/>
      <c r="W334" s="298"/>
      <c r="X334" s="113"/>
      <c r="Y334" s="113"/>
      <c r="Z334" s="113"/>
      <c r="AA334" s="113"/>
      <c r="AB334" s="113"/>
      <c r="AC334" s="113"/>
      <c r="AD334" s="113"/>
      <c r="AE334" s="113"/>
      <c r="AF334" s="113"/>
      <c r="AG334" s="113"/>
      <c r="AH334" s="113"/>
      <c r="AI334" s="113"/>
      <c r="AJ334" s="113"/>
      <c r="AK334" s="113"/>
      <c r="AL334" s="113"/>
      <c r="AM334" s="113"/>
      <c r="AN334" s="113"/>
      <c r="AO334" s="113"/>
      <c r="AP334" s="113"/>
      <c r="AQ334" s="113"/>
      <c r="AR334" s="113"/>
      <c r="AS334" s="113"/>
      <c r="AT334" s="113"/>
      <c r="AU334" s="113"/>
      <c r="AV334" s="113"/>
      <c r="AW334" s="113"/>
      <c r="AX334" s="113"/>
      <c r="AY334" s="113"/>
      <c r="AZ334" s="113"/>
      <c r="BA334" s="113"/>
    </row>
    <row r="335" spans="2:53" x14ac:dyDescent="0.25">
      <c r="B335" s="44">
        <f t="shared" si="438"/>
        <v>1</v>
      </c>
      <c r="C335" s="44">
        <f t="shared" si="477"/>
        <v>15</v>
      </c>
      <c r="D335" s="44" t="str">
        <f>'OPG hydro peers'!D19</f>
        <v>Lockhart</v>
      </c>
      <c r="E335" s="45">
        <v>2002</v>
      </c>
      <c r="F335" s="206">
        <v>18</v>
      </c>
      <c r="G335" s="51">
        <f t="shared" si="431"/>
        <v>0.25564434297311012</v>
      </c>
      <c r="H335" s="46"/>
      <c r="I335" s="46"/>
      <c r="J335" s="206">
        <v>729.05640000000005</v>
      </c>
      <c r="K335" s="51">
        <f t="shared" ref="K335" si="589">J335/$J$467</f>
        <v>9.5008895461246761E-4</v>
      </c>
      <c r="L335" s="51"/>
      <c r="M335" s="206">
        <v>40310</v>
      </c>
      <c r="N335" s="206">
        <v>1187.925436402596</v>
      </c>
      <c r="O335" s="46">
        <f t="shared" si="433"/>
        <v>458.86903640259595</v>
      </c>
      <c r="P335" s="51">
        <f t="shared" si="434"/>
        <v>0.38627764196395414</v>
      </c>
      <c r="Q335" s="51">
        <f t="shared" si="435"/>
        <v>0.6137223580360458</v>
      </c>
      <c r="R335" s="51">
        <f t="shared" si="436"/>
        <v>0</v>
      </c>
      <c r="S335" s="51">
        <f t="shared" si="437"/>
        <v>0.6137223580360458</v>
      </c>
      <c r="T335" s="51">
        <f t="shared" si="479"/>
        <v>-0.6137223580360458</v>
      </c>
      <c r="U335" s="298"/>
      <c r="V335" s="298"/>
      <c r="W335" s="298"/>
      <c r="X335" s="113"/>
      <c r="Y335" s="113"/>
      <c r="Z335" s="113"/>
      <c r="AA335" s="113"/>
      <c r="AB335" s="113"/>
      <c r="AC335" s="113"/>
      <c r="AD335" s="113"/>
      <c r="AE335" s="113"/>
      <c r="AF335" s="113"/>
      <c r="AG335" s="113"/>
      <c r="AH335" s="113"/>
      <c r="AI335" s="113"/>
      <c r="AJ335" s="113"/>
      <c r="AK335" s="113"/>
      <c r="AL335" s="113"/>
      <c r="AM335" s="113"/>
      <c r="AN335" s="113"/>
      <c r="AO335" s="113"/>
      <c r="AP335" s="113"/>
      <c r="AQ335" s="113"/>
      <c r="AR335" s="113"/>
      <c r="AS335" s="113"/>
      <c r="AT335" s="113"/>
      <c r="AU335" s="113"/>
      <c r="AV335" s="113"/>
      <c r="AW335" s="113"/>
      <c r="AX335" s="113"/>
      <c r="AY335" s="113"/>
      <c r="AZ335" s="113"/>
      <c r="BA335" s="113"/>
    </row>
    <row r="336" spans="2:53" x14ac:dyDescent="0.25">
      <c r="B336" s="44">
        <f t="shared" si="438"/>
        <v>1</v>
      </c>
      <c r="C336" s="44">
        <f t="shared" si="477"/>
        <v>15</v>
      </c>
      <c r="D336" s="44" t="str">
        <f t="shared" ref="D336:D343" si="590">D335</f>
        <v>Lockhart</v>
      </c>
      <c r="E336" s="45">
        <v>2003</v>
      </c>
      <c r="F336" s="206">
        <v>18</v>
      </c>
      <c r="G336" s="51">
        <f t="shared" si="431"/>
        <v>0.63288304794520533</v>
      </c>
      <c r="H336" s="46"/>
      <c r="I336" s="46"/>
      <c r="J336" s="206">
        <v>820.70279999999991</v>
      </c>
      <c r="K336" s="51">
        <f t="shared" ref="K336" si="591">J336/$J$468</f>
        <v>9.6770597869192754E-4</v>
      </c>
      <c r="L336" s="51"/>
      <c r="M336" s="206">
        <v>99792.998999999982</v>
      </c>
      <c r="N336" s="206">
        <v>3687.2901650776093</v>
      </c>
      <c r="O336" s="46">
        <f t="shared" si="433"/>
        <v>2866.5873650776093</v>
      </c>
      <c r="P336" s="51">
        <f t="shared" si="434"/>
        <v>0.77742386325521906</v>
      </c>
      <c r="Q336" s="51">
        <f t="shared" si="435"/>
        <v>0.22257613674478094</v>
      </c>
      <c r="R336" s="51">
        <f t="shared" si="436"/>
        <v>0</v>
      </c>
      <c r="S336" s="51">
        <f t="shared" si="437"/>
        <v>0.22257613674478094</v>
      </c>
      <c r="T336" s="51">
        <f t="shared" si="479"/>
        <v>-0.22257613674478094</v>
      </c>
      <c r="U336" s="298"/>
      <c r="V336" s="298"/>
      <c r="W336" s="298"/>
      <c r="X336" s="113"/>
      <c r="Y336" s="113"/>
      <c r="Z336" s="113"/>
      <c r="AA336" s="113"/>
      <c r="AB336" s="113"/>
      <c r="AC336" s="113"/>
      <c r="AD336" s="113"/>
      <c r="AE336" s="113"/>
      <c r="AF336" s="113"/>
      <c r="AG336" s="113"/>
      <c r="AH336" s="113"/>
      <c r="AI336" s="113"/>
      <c r="AJ336" s="113"/>
      <c r="AK336" s="113"/>
      <c r="AL336" s="113"/>
      <c r="AM336" s="113"/>
      <c r="AN336" s="113"/>
      <c r="AO336" s="113"/>
      <c r="AP336" s="113"/>
      <c r="AQ336" s="113"/>
      <c r="AR336" s="113"/>
      <c r="AS336" s="113"/>
      <c r="AT336" s="113"/>
      <c r="AU336" s="113"/>
      <c r="AV336" s="113"/>
      <c r="AW336" s="113"/>
      <c r="AX336" s="113"/>
      <c r="AY336" s="113"/>
      <c r="AZ336" s="113"/>
      <c r="BA336" s="113"/>
    </row>
    <row r="337" spans="2:53" x14ac:dyDescent="0.25">
      <c r="B337" s="44">
        <f t="shared" si="438"/>
        <v>1</v>
      </c>
      <c r="C337" s="44">
        <f t="shared" si="477"/>
        <v>15</v>
      </c>
      <c r="D337" s="44" t="str">
        <f t="shared" si="590"/>
        <v>Lockhart</v>
      </c>
      <c r="E337" s="45">
        <v>2004</v>
      </c>
      <c r="F337" s="206">
        <v>18</v>
      </c>
      <c r="G337" s="51">
        <f t="shared" ref="G337:G415" si="592">M337/(F337*8760)</f>
        <v>0.50360222602739735</v>
      </c>
      <c r="H337" s="46"/>
      <c r="I337" s="46"/>
      <c r="J337" s="206">
        <v>777.37679999999989</v>
      </c>
      <c r="K337" s="51">
        <f t="shared" ref="K337" si="593">J337/$J$469</f>
        <v>8.7976664254255305E-4</v>
      </c>
      <c r="L337" s="51"/>
      <c r="M337" s="206">
        <v>79407.999000000011</v>
      </c>
      <c r="N337" s="206">
        <v>3531.0517748584198</v>
      </c>
      <c r="O337" s="46">
        <f t="shared" ref="O337:O415" si="594">N337-J337</f>
        <v>2753.6749748584198</v>
      </c>
      <c r="P337" s="51">
        <f t="shared" ref="P337:P415" si="595">O337/N337</f>
        <v>0.77984553907279663</v>
      </c>
      <c r="Q337" s="51">
        <f t="shared" ref="Q337:Q415" si="596">1-P337</f>
        <v>0.22015446092720337</v>
      </c>
      <c r="R337" s="51">
        <f t="shared" ref="R337:R415" si="597">Q337*L337</f>
        <v>0</v>
      </c>
      <c r="S337" s="51">
        <f t="shared" ref="S337:S415" si="598">Q337-R337</f>
        <v>0.22015446092720337</v>
      </c>
      <c r="T337" s="51">
        <f t="shared" si="479"/>
        <v>-0.22015446092720337</v>
      </c>
      <c r="U337" s="298"/>
      <c r="V337" s="298"/>
      <c r="W337" s="298"/>
      <c r="X337" s="113"/>
      <c r="Y337" s="113"/>
      <c r="Z337" s="113"/>
      <c r="AA337" s="113"/>
      <c r="AB337" s="113"/>
      <c r="AC337" s="113"/>
      <c r="AD337" s="113"/>
      <c r="AE337" s="113"/>
      <c r="AF337" s="113"/>
      <c r="AG337" s="113"/>
      <c r="AH337" s="113"/>
      <c r="AI337" s="113"/>
      <c r="AJ337" s="113"/>
      <c r="AK337" s="113"/>
      <c r="AL337" s="113"/>
      <c r="AM337" s="113"/>
      <c r="AN337" s="113"/>
      <c r="AO337" s="113"/>
      <c r="AP337" s="113"/>
      <c r="AQ337" s="113"/>
      <c r="AR337" s="113"/>
      <c r="AS337" s="113"/>
      <c r="AT337" s="113"/>
      <c r="AU337" s="113"/>
      <c r="AV337" s="113"/>
      <c r="AW337" s="113"/>
      <c r="AX337" s="113"/>
      <c r="AY337" s="113"/>
      <c r="AZ337" s="113"/>
      <c r="BA337" s="113"/>
    </row>
    <row r="338" spans="2:53" x14ac:dyDescent="0.25">
      <c r="B338" s="44">
        <f t="shared" ref="B338:B415" si="599">B337</f>
        <v>1</v>
      </c>
      <c r="C338" s="44">
        <f t="shared" si="477"/>
        <v>15</v>
      </c>
      <c r="D338" s="44" t="str">
        <f t="shared" si="590"/>
        <v>Lockhart</v>
      </c>
      <c r="E338" s="45">
        <v>2005</v>
      </c>
      <c r="F338" s="206">
        <v>18</v>
      </c>
      <c r="G338" s="51">
        <f t="shared" si="592"/>
        <v>0.53873033992897001</v>
      </c>
      <c r="H338" s="46"/>
      <c r="I338" s="46"/>
      <c r="J338" s="206">
        <v>780.19679999999994</v>
      </c>
      <c r="K338" s="51">
        <f t="shared" ref="K338" si="600">J338/$J$470</f>
        <v>8.3981518554968222E-4</v>
      </c>
      <c r="L338" s="51"/>
      <c r="M338" s="206">
        <v>84947</v>
      </c>
      <c r="N338" s="206">
        <v>5449.716084149064</v>
      </c>
      <c r="O338" s="46">
        <f t="shared" si="594"/>
        <v>4669.5192841490643</v>
      </c>
      <c r="P338" s="51">
        <f t="shared" si="595"/>
        <v>0.8568371658352506</v>
      </c>
      <c r="Q338" s="51">
        <f t="shared" si="596"/>
        <v>0.1431628341647494</v>
      </c>
      <c r="R338" s="51">
        <f t="shared" si="597"/>
        <v>0</v>
      </c>
      <c r="S338" s="51">
        <f t="shared" si="598"/>
        <v>0.1431628341647494</v>
      </c>
      <c r="T338" s="51">
        <f t="shared" si="479"/>
        <v>-0.1431628341647494</v>
      </c>
      <c r="U338" s="298"/>
      <c r="V338" s="298"/>
      <c r="W338" s="298"/>
      <c r="X338" s="113"/>
      <c r="Y338" s="113"/>
      <c r="Z338" s="113"/>
      <c r="AA338" s="113"/>
      <c r="AB338" s="113"/>
      <c r="AC338" s="113"/>
      <c r="AD338" s="113"/>
      <c r="AE338" s="113"/>
      <c r="AF338" s="113"/>
      <c r="AG338" s="113"/>
      <c r="AH338" s="113"/>
      <c r="AI338" s="113"/>
      <c r="AJ338" s="113"/>
      <c r="AK338" s="113"/>
      <c r="AL338" s="113"/>
      <c r="AM338" s="113"/>
      <c r="AN338" s="113"/>
      <c r="AO338" s="113"/>
      <c r="AP338" s="113"/>
      <c r="AQ338" s="113"/>
      <c r="AR338" s="113"/>
      <c r="AS338" s="113"/>
      <c r="AT338" s="113"/>
      <c r="AU338" s="113"/>
      <c r="AV338" s="113"/>
      <c r="AW338" s="113"/>
      <c r="AX338" s="113"/>
      <c r="AY338" s="113"/>
      <c r="AZ338" s="113"/>
      <c r="BA338" s="113"/>
    </row>
    <row r="339" spans="2:53" x14ac:dyDescent="0.25">
      <c r="B339" s="44">
        <f t="shared" si="599"/>
        <v>1</v>
      </c>
      <c r="C339" s="44">
        <f t="shared" si="477"/>
        <v>15</v>
      </c>
      <c r="D339" s="44" t="str">
        <f t="shared" si="590"/>
        <v>Lockhart</v>
      </c>
      <c r="E339" s="45">
        <v>2006</v>
      </c>
      <c r="F339" s="206">
        <v>18</v>
      </c>
      <c r="G339" s="51">
        <f t="shared" si="592"/>
        <v>0.34308727168949776</v>
      </c>
      <c r="H339" s="46"/>
      <c r="I339" s="46"/>
      <c r="J339" s="206">
        <v>805.3356</v>
      </c>
      <c r="K339" s="51">
        <f t="shared" ref="K339" si="601">J339/$J$471</f>
        <v>8.1811829375755794E-4</v>
      </c>
      <c r="L339" s="51"/>
      <c r="M339" s="206">
        <v>54098.001000000011</v>
      </c>
      <c r="N339" s="206">
        <v>2979.3867657608885</v>
      </c>
      <c r="O339" s="46">
        <f t="shared" si="594"/>
        <v>2174.0511657608886</v>
      </c>
      <c r="P339" s="51">
        <f t="shared" si="595"/>
        <v>0.72969753062780696</v>
      </c>
      <c r="Q339" s="51">
        <f t="shared" si="596"/>
        <v>0.27030246937219304</v>
      </c>
      <c r="R339" s="51">
        <f t="shared" si="597"/>
        <v>0</v>
      </c>
      <c r="S339" s="51">
        <f t="shared" si="598"/>
        <v>0.27030246937219304</v>
      </c>
      <c r="T339" s="51">
        <f t="shared" si="479"/>
        <v>-0.27030246937219304</v>
      </c>
      <c r="U339" s="298"/>
      <c r="V339" s="298"/>
      <c r="W339" s="298"/>
      <c r="X339" s="113"/>
      <c r="Y339" s="113"/>
      <c r="Z339" s="113"/>
      <c r="AA339" s="113"/>
      <c r="AB339" s="113"/>
      <c r="AC339" s="113"/>
      <c r="AD339" s="113"/>
      <c r="AE339" s="113"/>
      <c r="AF339" s="113"/>
      <c r="AG339" s="113"/>
      <c r="AH339" s="113"/>
      <c r="AI339" s="113"/>
      <c r="AJ339" s="113"/>
      <c r="AK339" s="113"/>
      <c r="AL339" s="113"/>
      <c r="AM339" s="113"/>
      <c r="AN339" s="113"/>
      <c r="AO339" s="113"/>
      <c r="AP339" s="113"/>
      <c r="AQ339" s="113"/>
      <c r="AR339" s="113"/>
      <c r="AS339" s="113"/>
      <c r="AT339" s="113"/>
      <c r="AU339" s="113"/>
      <c r="AV339" s="113"/>
      <c r="AW339" s="113"/>
      <c r="AX339" s="113"/>
      <c r="AY339" s="113"/>
      <c r="AZ339" s="113"/>
      <c r="BA339" s="113"/>
    </row>
    <row r="340" spans="2:53" x14ac:dyDescent="0.25">
      <c r="B340" s="44">
        <f t="shared" si="599"/>
        <v>1</v>
      </c>
      <c r="C340" s="44">
        <f t="shared" si="477"/>
        <v>15</v>
      </c>
      <c r="D340" s="44" t="str">
        <f t="shared" si="590"/>
        <v>Lockhart</v>
      </c>
      <c r="E340" s="45">
        <v>2007</v>
      </c>
      <c r="F340" s="206">
        <v>18.8</v>
      </c>
      <c r="G340" s="51">
        <f t="shared" si="592"/>
        <v>0.23837195181191101</v>
      </c>
      <c r="H340" s="46"/>
      <c r="I340" s="46"/>
      <c r="J340" s="206">
        <v>830.95559999999989</v>
      </c>
      <c r="K340" s="51">
        <f t="shared" ref="K340" si="602">J340/$J$472</f>
        <v>7.7956126028759585E-4</v>
      </c>
      <c r="L340" s="51"/>
      <c r="M340" s="206">
        <v>39257</v>
      </c>
      <c r="N340" s="206">
        <v>2166.008455364256</v>
      </c>
      <c r="O340" s="46">
        <f t="shared" si="594"/>
        <v>1335.0528553642562</v>
      </c>
      <c r="P340" s="51">
        <f t="shared" si="595"/>
        <v>0.61636548650487211</v>
      </c>
      <c r="Q340" s="51">
        <f t="shared" si="596"/>
        <v>0.38363451349512789</v>
      </c>
      <c r="R340" s="51">
        <f t="shared" si="597"/>
        <v>0</v>
      </c>
      <c r="S340" s="51">
        <f t="shared" si="598"/>
        <v>0.38363451349512789</v>
      </c>
      <c r="T340" s="51">
        <f t="shared" si="479"/>
        <v>-0.38363451349512789</v>
      </c>
      <c r="U340" s="298"/>
      <c r="V340" s="298"/>
      <c r="W340" s="298"/>
      <c r="X340" s="113"/>
      <c r="Y340" s="113"/>
      <c r="Z340" s="113"/>
      <c r="AA340" s="113"/>
      <c r="AB340" s="113"/>
      <c r="AC340" s="113"/>
      <c r="AD340" s="113"/>
      <c r="AE340" s="113"/>
      <c r="AF340" s="113"/>
      <c r="AG340" s="113"/>
      <c r="AH340" s="113"/>
      <c r="AI340" s="113"/>
      <c r="AJ340" s="113"/>
      <c r="AK340" s="113"/>
      <c r="AL340" s="113"/>
      <c r="AM340" s="113"/>
      <c r="AN340" s="113"/>
      <c r="AO340" s="113"/>
      <c r="AP340" s="113"/>
      <c r="AQ340" s="113"/>
      <c r="AR340" s="113"/>
      <c r="AS340" s="113"/>
      <c r="AT340" s="113"/>
      <c r="AU340" s="113"/>
      <c r="AV340" s="113"/>
      <c r="AW340" s="113"/>
      <c r="AX340" s="113"/>
      <c r="AY340" s="113"/>
      <c r="AZ340" s="113"/>
      <c r="BA340" s="113"/>
    </row>
    <row r="341" spans="2:53" x14ac:dyDescent="0.25">
      <c r="B341" s="44">
        <f t="shared" si="599"/>
        <v>1</v>
      </c>
      <c r="C341" s="44">
        <f t="shared" si="477"/>
        <v>15</v>
      </c>
      <c r="D341" s="44" t="str">
        <f t="shared" si="590"/>
        <v>Lockhart</v>
      </c>
      <c r="E341" s="45">
        <v>2008</v>
      </c>
      <c r="F341" s="206">
        <v>18.8</v>
      </c>
      <c r="G341" s="51">
        <f t="shared" si="592"/>
        <v>0.18012241329058584</v>
      </c>
      <c r="H341" s="46"/>
      <c r="I341" s="46"/>
      <c r="J341" s="206">
        <v>912.58439999999996</v>
      </c>
      <c r="K341" s="51">
        <f t="shared" ref="K341" si="603">J341/$J$473</f>
        <v>7.8802028215637981E-4</v>
      </c>
      <c r="L341" s="51"/>
      <c r="M341" s="206">
        <v>29664</v>
      </c>
      <c r="N341" s="206">
        <v>1918.755716039592</v>
      </c>
      <c r="O341" s="46">
        <f t="shared" si="594"/>
        <v>1006.1713160395921</v>
      </c>
      <c r="P341" s="51">
        <f t="shared" si="595"/>
        <v>0.52438739732662798</v>
      </c>
      <c r="Q341" s="51">
        <f t="shared" si="596"/>
        <v>0.47561260267337202</v>
      </c>
      <c r="R341" s="51">
        <f t="shared" si="597"/>
        <v>0</v>
      </c>
      <c r="S341" s="51">
        <f t="shared" si="598"/>
        <v>0.47561260267337202</v>
      </c>
      <c r="T341" s="51">
        <f t="shared" si="479"/>
        <v>-0.47561260267337202</v>
      </c>
      <c r="U341" s="298"/>
      <c r="V341" s="298"/>
      <c r="W341" s="298"/>
      <c r="X341" s="113"/>
      <c r="Y341" s="113"/>
      <c r="Z341" s="113"/>
      <c r="AA341" s="113"/>
      <c r="AB341" s="113"/>
      <c r="AC341" s="113"/>
      <c r="AD341" s="113"/>
      <c r="AE341" s="113"/>
      <c r="AF341" s="113"/>
      <c r="AG341" s="113"/>
      <c r="AH341" s="113"/>
      <c r="AI341" s="113"/>
      <c r="AJ341" s="113"/>
      <c r="AK341" s="113"/>
      <c r="AL341" s="113"/>
      <c r="AM341" s="113"/>
      <c r="AN341" s="113"/>
      <c r="AO341" s="113"/>
      <c r="AP341" s="113"/>
      <c r="AQ341" s="113"/>
      <c r="AR341" s="113"/>
      <c r="AS341" s="113"/>
      <c r="AT341" s="113"/>
      <c r="AU341" s="113"/>
      <c r="AV341" s="113"/>
      <c r="AW341" s="113"/>
      <c r="AX341" s="113"/>
      <c r="AY341" s="113"/>
      <c r="AZ341" s="113"/>
      <c r="BA341" s="113"/>
    </row>
    <row r="342" spans="2:53" x14ac:dyDescent="0.25">
      <c r="B342" s="44">
        <f t="shared" si="599"/>
        <v>1</v>
      </c>
      <c r="C342" s="44">
        <f t="shared" si="477"/>
        <v>15</v>
      </c>
      <c r="D342" s="44" t="str">
        <f t="shared" si="590"/>
        <v>Lockhart</v>
      </c>
      <c r="E342" s="45">
        <v>2009</v>
      </c>
      <c r="F342" s="206">
        <v>18</v>
      </c>
      <c r="G342" s="51">
        <f t="shared" si="592"/>
        <v>0.40071029934043634</v>
      </c>
      <c r="H342" s="46"/>
      <c r="I342" s="46"/>
      <c r="J342" s="206">
        <v>1032.5016000000001</v>
      </c>
      <c r="K342" s="51">
        <f t="shared" ref="K342" si="604">J342/$J$474</f>
        <v>8.7501234870640792E-4</v>
      </c>
      <c r="L342" s="51"/>
      <c r="M342" s="206">
        <v>63184</v>
      </c>
      <c r="N342" s="206">
        <v>2417.8014655108805</v>
      </c>
      <c r="O342" s="46">
        <f t="shared" si="594"/>
        <v>1385.2998655108804</v>
      </c>
      <c r="P342" s="51">
        <f t="shared" si="595"/>
        <v>0.57295848533128713</v>
      </c>
      <c r="Q342" s="51">
        <f t="shared" si="596"/>
        <v>0.42704151466871287</v>
      </c>
      <c r="R342" s="51">
        <f t="shared" si="597"/>
        <v>0</v>
      </c>
      <c r="S342" s="51">
        <f t="shared" si="598"/>
        <v>0.42704151466871287</v>
      </c>
      <c r="T342" s="51">
        <f t="shared" si="479"/>
        <v>-0.42704151466871287</v>
      </c>
      <c r="U342" s="298"/>
      <c r="V342" s="298"/>
      <c r="W342" s="298"/>
      <c r="X342" s="113"/>
      <c r="Y342" s="113"/>
      <c r="Z342" s="113"/>
      <c r="AA342" s="113"/>
      <c r="AB342" s="113"/>
      <c r="AC342" s="113"/>
      <c r="AD342" s="113"/>
      <c r="AE342" s="113"/>
      <c r="AF342" s="113"/>
      <c r="AG342" s="113"/>
      <c r="AH342" s="113"/>
      <c r="AI342" s="113"/>
      <c r="AJ342" s="113"/>
      <c r="AK342" s="113"/>
      <c r="AL342" s="113"/>
      <c r="AM342" s="113"/>
      <c r="AN342" s="113"/>
      <c r="AO342" s="113"/>
      <c r="AP342" s="113"/>
      <c r="AQ342" s="113"/>
      <c r="AR342" s="113"/>
      <c r="AS342" s="113"/>
      <c r="AT342" s="113"/>
      <c r="AU342" s="113"/>
      <c r="AV342" s="113"/>
      <c r="AW342" s="113"/>
      <c r="AX342" s="113"/>
      <c r="AY342" s="113"/>
      <c r="AZ342" s="113"/>
      <c r="BA342" s="113"/>
    </row>
    <row r="343" spans="2:53" x14ac:dyDescent="0.25">
      <c r="B343" s="44">
        <f t="shared" si="599"/>
        <v>1</v>
      </c>
      <c r="C343" s="44">
        <f t="shared" si="477"/>
        <v>15</v>
      </c>
      <c r="D343" s="44" t="str">
        <f t="shared" si="590"/>
        <v>Lockhart</v>
      </c>
      <c r="E343" s="45">
        <v>2010</v>
      </c>
      <c r="F343" s="206">
        <v>18</v>
      </c>
      <c r="G343" s="51">
        <f t="shared" si="592"/>
        <v>0.42293886352105531</v>
      </c>
      <c r="H343" s="46"/>
      <c r="I343" s="46"/>
      <c r="J343" s="206">
        <v>991.76400000000001</v>
      </c>
      <c r="K343" s="51">
        <f t="shared" ref="K343" si="605">J343/$J$475</f>
        <v>8.1047185717565251E-4</v>
      </c>
      <c r="L343" s="51"/>
      <c r="M343" s="206">
        <v>66689</v>
      </c>
      <c r="N343" s="206">
        <v>3021.0755432839937</v>
      </c>
      <c r="O343" s="46">
        <f t="shared" si="594"/>
        <v>2029.3115432839936</v>
      </c>
      <c r="P343" s="51">
        <f t="shared" si="595"/>
        <v>0.67171823882234838</v>
      </c>
      <c r="Q343" s="51">
        <f t="shared" si="596"/>
        <v>0.32828176117765162</v>
      </c>
      <c r="R343" s="51">
        <f t="shared" si="597"/>
        <v>0</v>
      </c>
      <c r="S343" s="51">
        <f t="shared" si="598"/>
        <v>0.32828176117765162</v>
      </c>
      <c r="T343" s="51">
        <f t="shared" si="479"/>
        <v>-0.32828176117765162</v>
      </c>
      <c r="U343" s="298"/>
      <c r="V343" s="298"/>
      <c r="W343" s="298"/>
      <c r="X343" s="113"/>
      <c r="Y343" s="113"/>
      <c r="Z343" s="113"/>
      <c r="AA343" s="113"/>
      <c r="AB343" s="113"/>
      <c r="AC343" s="113"/>
      <c r="AD343" s="113"/>
      <c r="AE343" s="113"/>
      <c r="AF343" s="113"/>
      <c r="AG343" s="113"/>
      <c r="AH343" s="113"/>
      <c r="AI343" s="113"/>
      <c r="AJ343" s="113"/>
      <c r="AK343" s="113"/>
      <c r="AL343" s="113"/>
      <c r="AM343" s="113"/>
      <c r="AN343" s="113"/>
      <c r="AO343" s="113"/>
      <c r="AP343" s="113"/>
      <c r="AQ343" s="113"/>
      <c r="AR343" s="113"/>
      <c r="AS343" s="113"/>
      <c r="AT343" s="113"/>
      <c r="AU343" s="113"/>
      <c r="AV343" s="113"/>
      <c r="AW343" s="113"/>
      <c r="AX343" s="113"/>
      <c r="AY343" s="113"/>
      <c r="AZ343" s="113"/>
      <c r="BA343" s="113"/>
    </row>
    <row r="344" spans="2:53" x14ac:dyDescent="0.25">
      <c r="B344" s="44">
        <f t="shared" si="599"/>
        <v>1</v>
      </c>
      <c r="C344" s="44">
        <f t="shared" si="477"/>
        <v>15</v>
      </c>
      <c r="D344" s="44" t="str">
        <f>D343</f>
        <v>Lockhart</v>
      </c>
      <c r="E344" s="45">
        <v>2011</v>
      </c>
      <c r="F344" s="206">
        <v>28.6</v>
      </c>
      <c r="G344" s="51">
        <f t="shared" si="592"/>
        <v>0.18127933710125491</v>
      </c>
      <c r="H344" s="46"/>
      <c r="I344" s="46"/>
      <c r="J344" s="206">
        <v>1095.4679999999996</v>
      </c>
      <c r="K344" s="51">
        <f t="shared" ref="K344" si="606">J344/$J$476</f>
        <v>9.0761702816848848E-4</v>
      </c>
      <c r="L344" s="51"/>
      <c r="M344" s="206">
        <v>45417</v>
      </c>
      <c r="N344" s="206">
        <v>2053.2188043413639</v>
      </c>
      <c r="O344" s="46">
        <f t="shared" si="594"/>
        <v>957.7508043413643</v>
      </c>
      <c r="P344" s="51">
        <f t="shared" si="595"/>
        <v>0.46646309799826413</v>
      </c>
      <c r="Q344" s="51">
        <f t="shared" si="596"/>
        <v>0.53353690200173587</v>
      </c>
      <c r="R344" s="51">
        <f t="shared" si="597"/>
        <v>0</v>
      </c>
      <c r="S344" s="51">
        <f t="shared" si="598"/>
        <v>0.53353690200173587</v>
      </c>
      <c r="T344" s="51">
        <f t="shared" si="479"/>
        <v>-0.53353690200173587</v>
      </c>
      <c r="U344" s="298"/>
      <c r="V344" s="298"/>
      <c r="W344" s="298"/>
      <c r="X344" s="113"/>
      <c r="Y344" s="113"/>
      <c r="Z344" s="113"/>
      <c r="AA344" s="113"/>
      <c r="AB344" s="113"/>
      <c r="AC344" s="113"/>
      <c r="AD344" s="113"/>
      <c r="AE344" s="113"/>
      <c r="AF344" s="113"/>
      <c r="AG344" s="113"/>
      <c r="AH344" s="113"/>
      <c r="AI344" s="113"/>
      <c r="AJ344" s="113"/>
      <c r="AK344" s="113"/>
      <c r="AL344" s="113"/>
      <c r="AM344" s="113"/>
      <c r="AN344" s="113"/>
      <c r="AO344" s="113"/>
      <c r="AP344" s="113"/>
      <c r="AQ344" s="113"/>
      <c r="AR344" s="113"/>
      <c r="AS344" s="113"/>
      <c r="AT344" s="113"/>
      <c r="AU344" s="113"/>
      <c r="AV344" s="113"/>
      <c r="AW344" s="113"/>
      <c r="AX344" s="113"/>
      <c r="AY344" s="113"/>
      <c r="AZ344" s="113"/>
      <c r="BA344" s="113"/>
    </row>
    <row r="345" spans="2:53" x14ac:dyDescent="0.25">
      <c r="B345" s="44">
        <f t="shared" si="599"/>
        <v>1</v>
      </c>
      <c r="C345" s="44">
        <f t="shared" si="477"/>
        <v>15</v>
      </c>
      <c r="D345" s="44" t="str">
        <f>D344</f>
        <v>Lockhart</v>
      </c>
      <c r="E345" s="45">
        <v>2012</v>
      </c>
      <c r="F345" s="206">
        <v>28.6</v>
      </c>
      <c r="G345" s="51">
        <f t="shared" si="592"/>
        <v>0.17341220423412204</v>
      </c>
      <c r="H345" s="46"/>
      <c r="I345" s="46"/>
      <c r="J345" s="206">
        <v>1630.5971999999999</v>
      </c>
      <c r="K345" s="51">
        <f t="shared" ref="K345" si="607">J345/$J$477</f>
        <v>1.3096247399566677E-3</v>
      </c>
      <c r="L345" s="51"/>
      <c r="M345" s="206">
        <v>43446</v>
      </c>
      <c r="N345" s="206">
        <v>1495.7374099999442</v>
      </c>
      <c r="O345" s="46">
        <f t="shared" si="594"/>
        <v>-134.85979000005568</v>
      </c>
      <c r="P345" s="51">
        <f t="shared" si="595"/>
        <v>-9.0162744542212597E-2</v>
      </c>
      <c r="Q345" s="51">
        <f t="shared" si="596"/>
        <v>1.0901627445422126</v>
      </c>
      <c r="R345" s="51">
        <f t="shared" si="597"/>
        <v>0</v>
      </c>
      <c r="S345" s="51">
        <f t="shared" si="598"/>
        <v>1.0901627445422126</v>
      </c>
      <c r="T345" s="51">
        <f t="shared" si="479"/>
        <v>-1.0901627445422126</v>
      </c>
      <c r="U345" s="298"/>
      <c r="V345" s="298"/>
      <c r="W345" s="298"/>
      <c r="X345" s="113"/>
      <c r="Y345" s="113"/>
      <c r="Z345" s="113"/>
      <c r="AA345" s="113"/>
      <c r="AB345" s="113"/>
      <c r="AC345" s="113"/>
      <c r="AD345" s="113"/>
      <c r="AE345" s="113"/>
      <c r="AF345" s="113"/>
      <c r="AG345" s="113"/>
      <c r="AH345" s="113"/>
      <c r="AI345" s="113"/>
      <c r="AJ345" s="113"/>
      <c r="AK345" s="113"/>
      <c r="AL345" s="113"/>
      <c r="AM345" s="113"/>
      <c r="AN345" s="113"/>
      <c r="AO345" s="113"/>
      <c r="AP345" s="113"/>
      <c r="AQ345" s="113"/>
      <c r="AR345" s="113"/>
      <c r="AS345" s="113"/>
      <c r="AT345" s="113"/>
      <c r="AU345" s="113"/>
      <c r="AV345" s="113"/>
      <c r="AW345" s="113"/>
      <c r="AX345" s="113"/>
      <c r="AY345" s="113"/>
      <c r="AZ345" s="113"/>
      <c r="BA345" s="113"/>
    </row>
    <row r="346" spans="2:53" x14ac:dyDescent="0.25">
      <c r="B346" s="44">
        <f t="shared" si="599"/>
        <v>1</v>
      </c>
      <c r="C346" s="44">
        <f t="shared" si="477"/>
        <v>15</v>
      </c>
      <c r="D346" s="44" t="str">
        <f>D345</f>
        <v>Lockhart</v>
      </c>
      <c r="E346" s="45">
        <v>2013</v>
      </c>
      <c r="F346" s="206">
        <v>28.6</v>
      </c>
      <c r="G346" s="51">
        <f t="shared" si="592"/>
        <v>0.39055065938627587</v>
      </c>
      <c r="H346" s="44"/>
      <c r="I346" s="44"/>
      <c r="J346" s="206">
        <v>2196.81</v>
      </c>
      <c r="K346" s="51">
        <f t="shared" ref="K346" si="608">J346/$J$478</f>
        <v>1.767171349354556E-3</v>
      </c>
      <c r="L346" s="44"/>
      <c r="M346" s="206">
        <v>97847.000000000015</v>
      </c>
      <c r="N346" s="206">
        <v>3811.603621155456</v>
      </c>
      <c r="O346" s="46">
        <f t="shared" si="594"/>
        <v>1614.7936211554561</v>
      </c>
      <c r="P346" s="51">
        <f t="shared" si="595"/>
        <v>0.42365203249175865</v>
      </c>
      <c r="Q346" s="51">
        <f t="shared" si="596"/>
        <v>0.57634796750824135</v>
      </c>
      <c r="R346" s="51">
        <f t="shared" si="597"/>
        <v>0</v>
      </c>
      <c r="S346" s="51">
        <f t="shared" si="598"/>
        <v>0.57634796750824135</v>
      </c>
      <c r="T346" s="51">
        <f t="shared" si="479"/>
        <v>-0.57634796750824135</v>
      </c>
      <c r="U346" s="298"/>
      <c r="V346" s="298"/>
      <c r="W346" s="298"/>
      <c r="X346" s="113"/>
      <c r="Y346" s="113"/>
      <c r="Z346" s="113"/>
      <c r="AA346" s="113"/>
      <c r="AB346" s="113"/>
      <c r="AC346" s="113"/>
      <c r="AD346" s="113"/>
      <c r="AE346" s="113"/>
      <c r="AF346" s="113"/>
      <c r="AG346" s="113"/>
      <c r="AH346" s="113"/>
      <c r="AI346" s="113"/>
      <c r="AJ346" s="113"/>
      <c r="AK346" s="113"/>
      <c r="AL346" s="113"/>
      <c r="AM346" s="113"/>
      <c r="AN346" s="113"/>
      <c r="AO346" s="113"/>
      <c r="AP346" s="113"/>
      <c r="AQ346" s="113"/>
      <c r="AR346" s="113"/>
      <c r="AS346" s="113"/>
      <c r="AT346" s="113"/>
      <c r="AU346" s="113"/>
      <c r="AV346" s="113"/>
      <c r="AW346" s="113"/>
      <c r="AX346" s="113"/>
      <c r="AY346" s="113"/>
      <c r="AZ346" s="113"/>
      <c r="BA346" s="113"/>
    </row>
    <row r="347" spans="2:53" x14ac:dyDescent="0.25">
      <c r="B347" s="44">
        <f t="shared" si="599"/>
        <v>1</v>
      </c>
      <c r="C347" s="44">
        <f t="shared" si="477"/>
        <v>15</v>
      </c>
      <c r="D347" s="44" t="str">
        <f>D344</f>
        <v>Lockhart</v>
      </c>
      <c r="E347" s="45">
        <v>2014</v>
      </c>
      <c r="F347" s="206">
        <v>28.6</v>
      </c>
      <c r="G347" s="51">
        <f t="shared" si="592"/>
        <v>0.31991410416067945</v>
      </c>
      <c r="H347" s="44"/>
      <c r="I347" s="44"/>
      <c r="J347" s="206">
        <v>2857.5408000000002</v>
      </c>
      <c r="K347" s="51">
        <f t="shared" ref="K347" si="609">J347/$J$479</f>
        <v>2.2902777016195856E-3</v>
      </c>
      <c r="L347" s="44"/>
      <c r="M347" s="206">
        <v>80149.999999999985</v>
      </c>
      <c r="N347" s="206">
        <v>4163.2787125125169</v>
      </c>
      <c r="O347" s="46">
        <f t="shared" si="594"/>
        <v>1305.7379125125167</v>
      </c>
      <c r="P347" s="51">
        <f t="shared" si="595"/>
        <v>0.31363211609835046</v>
      </c>
      <c r="Q347" s="51">
        <f t="shared" si="596"/>
        <v>0.6863678839016496</v>
      </c>
      <c r="R347" s="51">
        <f t="shared" si="597"/>
        <v>0</v>
      </c>
      <c r="S347" s="51">
        <f t="shared" si="598"/>
        <v>0.6863678839016496</v>
      </c>
      <c r="T347" s="51">
        <f t="shared" si="479"/>
        <v>-0.6863678839016496</v>
      </c>
      <c r="U347" s="298"/>
      <c r="V347" s="298"/>
      <c r="W347" s="298"/>
      <c r="X347" s="113"/>
      <c r="Y347" s="113"/>
      <c r="Z347" s="113"/>
      <c r="AA347" s="113"/>
      <c r="AB347" s="113"/>
      <c r="AC347" s="113"/>
      <c r="AD347" s="113"/>
      <c r="AE347" s="113"/>
      <c r="AF347" s="113"/>
      <c r="AG347" s="113"/>
      <c r="AH347" s="113"/>
      <c r="AI347" s="113"/>
      <c r="AJ347" s="113"/>
      <c r="AK347" s="113"/>
      <c r="AL347" s="113"/>
      <c r="AM347" s="113"/>
      <c r="AN347" s="113"/>
      <c r="AO347" s="113"/>
      <c r="AP347" s="113"/>
      <c r="AQ347" s="113"/>
      <c r="AR347" s="113"/>
      <c r="AS347" s="113"/>
      <c r="AT347" s="113"/>
      <c r="AU347" s="113"/>
      <c r="AV347" s="113"/>
      <c r="AW347" s="113"/>
      <c r="AX347" s="113"/>
      <c r="AY347" s="113"/>
      <c r="AZ347" s="113"/>
      <c r="BA347" s="113"/>
    </row>
    <row r="348" spans="2:53" x14ac:dyDescent="0.25">
      <c r="B348" s="44">
        <f t="shared" si="599"/>
        <v>1</v>
      </c>
      <c r="C348" s="44">
        <f t="shared" si="477"/>
        <v>15</v>
      </c>
      <c r="D348" s="44" t="str">
        <f>D345</f>
        <v>Lockhart</v>
      </c>
      <c r="E348" s="45">
        <v>2015</v>
      </c>
      <c r="F348" s="206">
        <v>28.6</v>
      </c>
      <c r="G348" s="51">
        <f t="shared" si="592"/>
        <v>0.26099642366765652</v>
      </c>
      <c r="H348" s="44"/>
      <c r="I348" s="44"/>
      <c r="J348" s="206">
        <v>1914.7583999999999</v>
      </c>
      <c r="K348" s="51">
        <f t="shared" ref="K348" si="610">J348/$J$480</f>
        <v>1.4528232718160131E-3</v>
      </c>
      <c r="L348" s="44"/>
      <c r="M348" s="206">
        <v>65389</v>
      </c>
      <c r="N348" s="206">
        <v>1903.1389576086524</v>
      </c>
      <c r="O348" s="46">
        <f t="shared" si="594"/>
        <v>-11.619442391347548</v>
      </c>
      <c r="P348" s="51">
        <f t="shared" si="595"/>
        <v>-6.1054093527399093E-3</v>
      </c>
      <c r="Q348" s="51">
        <f t="shared" si="596"/>
        <v>1.00610540935274</v>
      </c>
      <c r="R348" s="51">
        <f t="shared" si="597"/>
        <v>0</v>
      </c>
      <c r="S348" s="51">
        <f t="shared" si="598"/>
        <v>1.00610540935274</v>
      </c>
      <c r="T348" s="51">
        <f t="shared" si="479"/>
        <v>-1.00610540935274</v>
      </c>
      <c r="U348" s="298"/>
      <c r="V348" s="298"/>
      <c r="W348" s="298"/>
      <c r="X348" s="113"/>
      <c r="Y348" s="113"/>
      <c r="Z348" s="113"/>
      <c r="AA348" s="113"/>
      <c r="AB348" s="113"/>
      <c r="AC348" s="113"/>
      <c r="AD348" s="113"/>
      <c r="AE348" s="113"/>
      <c r="AF348" s="113"/>
      <c r="AG348" s="113"/>
      <c r="AH348" s="113"/>
      <c r="AI348" s="113"/>
      <c r="AJ348" s="113"/>
      <c r="AK348" s="113"/>
      <c r="AL348" s="113"/>
      <c r="AM348" s="113"/>
      <c r="AN348" s="113"/>
      <c r="AO348" s="113"/>
      <c r="AP348" s="113"/>
      <c r="AQ348" s="113"/>
      <c r="AR348" s="113"/>
      <c r="AS348" s="113"/>
      <c r="AT348" s="113"/>
      <c r="AU348" s="113"/>
      <c r="AV348" s="113"/>
      <c r="AW348" s="113"/>
      <c r="AX348" s="113"/>
      <c r="AY348" s="113"/>
      <c r="AZ348" s="113"/>
      <c r="BA348" s="113"/>
    </row>
    <row r="349" spans="2:53" x14ac:dyDescent="0.25">
      <c r="B349" s="44">
        <f t="shared" si="599"/>
        <v>1</v>
      </c>
      <c r="C349" s="44">
        <f t="shared" si="477"/>
        <v>15</v>
      </c>
      <c r="D349" s="44" t="str">
        <f>D346</f>
        <v>Lockhart</v>
      </c>
      <c r="E349" s="45">
        <v>2016</v>
      </c>
      <c r="F349" s="206">
        <v>28.6</v>
      </c>
      <c r="G349" s="51">
        <f t="shared" si="592"/>
        <v>0.26190647252291094</v>
      </c>
      <c r="H349" s="44"/>
      <c r="I349" s="44"/>
      <c r="J349" s="206">
        <v>1881.4487999999999</v>
      </c>
      <c r="K349" s="51">
        <f t="shared" ref="K349" si="611">J349/$J$481</f>
        <v>1.4136810721123525E-3</v>
      </c>
      <c r="L349" s="44"/>
      <c r="M349" s="206">
        <v>65617.000000000015</v>
      </c>
      <c r="N349" s="206">
        <v>1696.489110783566</v>
      </c>
      <c r="O349" s="46">
        <f t="shared" si="594"/>
        <v>-184.95968921643384</v>
      </c>
      <c r="P349" s="51">
        <f t="shared" si="595"/>
        <v>-0.1090249787285729</v>
      </c>
      <c r="Q349" s="51">
        <f t="shared" si="596"/>
        <v>1.1090249787285729</v>
      </c>
      <c r="R349" s="51">
        <f t="shared" si="597"/>
        <v>0</v>
      </c>
      <c r="S349" s="51">
        <f t="shared" si="598"/>
        <v>1.1090249787285729</v>
      </c>
      <c r="T349" s="51">
        <f t="shared" si="479"/>
        <v>-1.1090249787285729</v>
      </c>
      <c r="U349" s="298"/>
      <c r="V349" s="298"/>
      <c r="W349" s="298"/>
      <c r="X349" s="113"/>
      <c r="Y349" s="113"/>
      <c r="Z349" s="113"/>
      <c r="AA349" s="113"/>
      <c r="AB349" s="113"/>
      <c r="AC349" s="113"/>
      <c r="AD349" s="113"/>
      <c r="AE349" s="113"/>
      <c r="AF349" s="113"/>
      <c r="AG349" s="113"/>
      <c r="AH349" s="113"/>
      <c r="AI349" s="113"/>
      <c r="AJ349" s="113"/>
      <c r="AK349" s="113"/>
      <c r="AL349" s="113"/>
      <c r="AM349" s="113"/>
      <c r="AN349" s="113"/>
      <c r="AO349" s="113"/>
      <c r="AP349" s="113"/>
      <c r="AQ349" s="113"/>
      <c r="AR349" s="113"/>
      <c r="AS349" s="113"/>
      <c r="AT349" s="113"/>
      <c r="AU349" s="113"/>
      <c r="AV349" s="113"/>
      <c r="AW349" s="113"/>
      <c r="AX349" s="113"/>
      <c r="AY349" s="113"/>
      <c r="AZ349" s="113"/>
      <c r="BA349" s="113"/>
    </row>
    <row r="350" spans="2:53" x14ac:dyDescent="0.25">
      <c r="B350" s="44">
        <f>B349</f>
        <v>1</v>
      </c>
      <c r="C350" s="44">
        <f>IF(D350=D349,C349,C349+1)</f>
        <v>15</v>
      </c>
      <c r="D350" s="44" t="str">
        <f>D346</f>
        <v>Lockhart</v>
      </c>
      <c r="E350" s="45">
        <v>2017</v>
      </c>
      <c r="F350" s="206">
        <v>28.6</v>
      </c>
      <c r="G350" s="51">
        <f t="shared" si="592"/>
        <v>0.20399064405913722</v>
      </c>
      <c r="H350" s="44"/>
      <c r="I350" s="44"/>
      <c r="J350" s="206">
        <v>1581.3515999999997</v>
      </c>
      <c r="K350" s="51">
        <f t="shared" ref="K350" si="612">J350/$J$482</f>
        <v>1.2145779747945941E-3</v>
      </c>
      <c r="L350" s="44"/>
      <c r="M350" s="206">
        <v>51107</v>
      </c>
      <c r="N350" s="206">
        <v>1500.999870984919</v>
      </c>
      <c r="O350" s="46">
        <f t="shared" si="594"/>
        <v>-80.351729015080764</v>
      </c>
      <c r="P350" s="51">
        <f t="shared" si="595"/>
        <v>-5.3532135857117663E-2</v>
      </c>
      <c r="Q350" s="51">
        <f t="shared" si="596"/>
        <v>1.0535321358571177</v>
      </c>
      <c r="R350" s="51">
        <f t="shared" si="597"/>
        <v>0</v>
      </c>
      <c r="S350" s="51">
        <f t="shared" si="598"/>
        <v>1.0535321358571177</v>
      </c>
      <c r="T350" s="51">
        <f t="shared" si="479"/>
        <v>-1.0535321358571177</v>
      </c>
      <c r="U350" s="298"/>
      <c r="V350" s="298"/>
      <c r="W350" s="298"/>
      <c r="X350" s="113"/>
      <c r="Y350" s="113"/>
      <c r="Z350" s="113"/>
      <c r="AA350" s="113"/>
      <c r="AB350" s="113"/>
      <c r="AC350" s="113"/>
      <c r="AD350" s="113"/>
      <c r="AE350" s="113"/>
      <c r="AF350" s="113"/>
      <c r="AG350" s="113"/>
      <c r="AH350" s="113"/>
      <c r="AI350" s="113"/>
      <c r="AJ350" s="113"/>
      <c r="AK350" s="113"/>
      <c r="AL350" s="113"/>
      <c r="AM350" s="113"/>
      <c r="AN350" s="113"/>
      <c r="AO350" s="113"/>
      <c r="AP350" s="113"/>
      <c r="AQ350" s="113"/>
      <c r="AR350" s="113"/>
      <c r="AS350" s="113"/>
      <c r="AT350" s="113"/>
      <c r="AU350" s="113"/>
      <c r="AV350" s="113"/>
      <c r="AW350" s="113"/>
      <c r="AX350" s="113"/>
      <c r="AY350" s="113"/>
      <c r="AZ350" s="113"/>
      <c r="BA350" s="113"/>
    </row>
    <row r="351" spans="2:53" x14ac:dyDescent="0.25">
      <c r="B351" s="44">
        <f t="shared" si="599"/>
        <v>1</v>
      </c>
      <c r="C351" s="44">
        <f t="shared" ref="C351:C354" si="613">IF(D351=D350,C350,C350+1)</f>
        <v>15</v>
      </c>
      <c r="D351" s="44" t="str">
        <f t="shared" ref="D351" si="614">D350</f>
        <v>Lockhart</v>
      </c>
      <c r="E351" s="45">
        <v>2018</v>
      </c>
      <c r="F351" s="206">
        <v>28.6</v>
      </c>
      <c r="G351" s="51">
        <f t="shared" ref="G351" si="615">M351/(F351*8760)</f>
        <v>0.37032202956860494</v>
      </c>
      <c r="H351" s="44"/>
      <c r="I351" s="44"/>
      <c r="J351" s="206">
        <v>1576.2660000000001</v>
      </c>
      <c r="K351" s="51">
        <f t="shared" ref="K351" si="616">J351/$J$483</f>
        <v>1.1234139469182417E-3</v>
      </c>
      <c r="L351" s="44"/>
      <c r="M351" s="206">
        <v>92779</v>
      </c>
      <c r="N351" s="206">
        <v>2963.2140650202787</v>
      </c>
      <c r="O351" s="46">
        <f t="shared" ref="O351:O354" si="617">N351-J351</f>
        <v>1386.9480650202786</v>
      </c>
      <c r="P351" s="51">
        <f t="shared" ref="P351:P354" si="618">O351/N351</f>
        <v>0.468055305687403</v>
      </c>
      <c r="Q351" s="51">
        <f t="shared" ref="Q351:Q354" si="619">1-P351</f>
        <v>0.53194469431259694</v>
      </c>
      <c r="R351" s="51">
        <f t="shared" ref="R351:R354" si="620">Q351*L351</f>
        <v>0</v>
      </c>
      <c r="S351" s="51">
        <f t="shared" ref="S351:S354" si="621">Q351-R351</f>
        <v>0.53194469431259694</v>
      </c>
      <c r="T351" s="51">
        <f t="shared" ref="T351:T354" si="622">R351-S351</f>
        <v>-0.53194469431259694</v>
      </c>
      <c r="U351" s="298"/>
      <c r="V351" s="298"/>
      <c r="W351" s="298"/>
      <c r="X351" s="113"/>
      <c r="Y351" s="113"/>
      <c r="Z351" s="113"/>
      <c r="AA351" s="113"/>
      <c r="AB351" s="113"/>
      <c r="AC351" s="113"/>
      <c r="AD351" s="113"/>
      <c r="AE351" s="113"/>
      <c r="AF351" s="113"/>
      <c r="AG351" s="113"/>
      <c r="AH351" s="113"/>
      <c r="AI351" s="113"/>
      <c r="AJ351" s="113"/>
      <c r="AK351" s="113"/>
      <c r="AL351" s="113"/>
      <c r="AM351" s="113"/>
      <c r="AN351" s="113"/>
      <c r="AO351" s="113"/>
      <c r="AP351" s="113"/>
      <c r="AQ351" s="113"/>
      <c r="AR351" s="113"/>
      <c r="AS351" s="113"/>
      <c r="AT351" s="113"/>
      <c r="AU351" s="113"/>
      <c r="AV351" s="113"/>
      <c r="AW351" s="113"/>
      <c r="AX351" s="113"/>
      <c r="AY351" s="113"/>
      <c r="AZ351" s="113"/>
      <c r="BA351" s="113"/>
    </row>
    <row r="352" spans="2:53" x14ac:dyDescent="0.25">
      <c r="B352" s="44">
        <f t="shared" si="599"/>
        <v>1</v>
      </c>
      <c r="C352" s="44">
        <f t="shared" si="613"/>
        <v>15</v>
      </c>
      <c r="D352" s="44" t="str">
        <f t="shared" ref="D352:D354" si="623">D349</f>
        <v>Lockhart</v>
      </c>
      <c r="E352" s="45">
        <v>2019</v>
      </c>
      <c r="F352" s="206">
        <v>28.6</v>
      </c>
      <c r="G352" s="51">
        <f t="shared" si="592"/>
        <v>0.38864985471149854</v>
      </c>
      <c r="H352" s="44"/>
      <c r="I352" s="44"/>
      <c r="J352" s="206">
        <v>1698.4811999999999</v>
      </c>
      <c r="K352" s="51">
        <f t="shared" ref="K352" si="624">J352/$J$484</f>
        <v>1.2334819931673572E-3</v>
      </c>
      <c r="L352" s="44"/>
      <c r="M352" s="206">
        <v>97370.78</v>
      </c>
      <c r="N352" s="206">
        <v>4295.2064359723809</v>
      </c>
      <c r="O352" s="46">
        <f t="shared" si="617"/>
        <v>2596.7252359723807</v>
      </c>
      <c r="P352" s="51">
        <f t="shared" si="618"/>
        <v>0.60456354652125466</v>
      </c>
      <c r="Q352" s="51">
        <f t="shared" si="619"/>
        <v>0.39543645347874534</v>
      </c>
      <c r="R352" s="51">
        <f t="shared" si="620"/>
        <v>0</v>
      </c>
      <c r="S352" s="51">
        <f t="shared" si="621"/>
        <v>0.39543645347874534</v>
      </c>
      <c r="T352" s="51">
        <f t="shared" si="622"/>
        <v>-0.39543645347874534</v>
      </c>
      <c r="U352" s="298"/>
      <c r="V352" s="298"/>
      <c r="W352" s="298"/>
      <c r="X352" s="113"/>
      <c r="Y352" s="113"/>
      <c r="Z352" s="113"/>
      <c r="AA352" s="113"/>
      <c r="AB352" s="113"/>
      <c r="AC352" s="113"/>
      <c r="AD352" s="113"/>
      <c r="AE352" s="113"/>
      <c r="AF352" s="113"/>
      <c r="AG352" s="113"/>
      <c r="AH352" s="113"/>
      <c r="AI352" s="113"/>
      <c r="AJ352" s="113"/>
      <c r="AK352" s="113"/>
      <c r="AL352" s="113"/>
      <c r="AM352" s="113"/>
      <c r="AN352" s="113"/>
      <c r="AO352" s="113"/>
      <c r="AP352" s="113"/>
      <c r="AQ352" s="113"/>
      <c r="AR352" s="113"/>
      <c r="AS352" s="113"/>
      <c r="AT352" s="113"/>
      <c r="AU352" s="113"/>
      <c r="AV352" s="113"/>
      <c r="AW352" s="113"/>
      <c r="AX352" s="113"/>
      <c r="AY352" s="113"/>
      <c r="AZ352" s="113"/>
      <c r="BA352" s="113"/>
    </row>
    <row r="353" spans="2:53" x14ac:dyDescent="0.25">
      <c r="B353" s="44">
        <f t="shared" si="599"/>
        <v>1</v>
      </c>
      <c r="C353" s="44">
        <f t="shared" si="613"/>
        <v>15</v>
      </c>
      <c r="D353" s="44" t="str">
        <f t="shared" si="623"/>
        <v>Lockhart</v>
      </c>
      <c r="E353" s="45">
        <v>2020</v>
      </c>
      <c r="F353" s="206">
        <v>43.6</v>
      </c>
      <c r="G353" s="51">
        <f t="shared" si="592"/>
        <v>0.3779105399857568</v>
      </c>
      <c r="H353" s="44"/>
      <c r="I353" s="44"/>
      <c r="J353" s="206">
        <v>2069.7743999999998</v>
      </c>
      <c r="K353" s="51">
        <f t="shared" ref="K353" si="625">J353/$J$485</f>
        <v>1.494460865262576E-3</v>
      </c>
      <c r="L353" s="44"/>
      <c r="M353" s="206">
        <v>144337.64000000001</v>
      </c>
      <c r="N353" s="206">
        <v>3184.9355158181938</v>
      </c>
      <c r="O353" s="46">
        <f t="shared" si="617"/>
        <v>1115.161115818194</v>
      </c>
      <c r="P353" s="51">
        <f t="shared" si="618"/>
        <v>0.35013616768052991</v>
      </c>
      <c r="Q353" s="51">
        <f t="shared" si="619"/>
        <v>0.64986383231947009</v>
      </c>
      <c r="R353" s="51">
        <f t="shared" si="620"/>
        <v>0</v>
      </c>
      <c r="S353" s="51">
        <f t="shared" si="621"/>
        <v>0.64986383231947009</v>
      </c>
      <c r="T353" s="51">
        <f t="shared" si="622"/>
        <v>-0.64986383231947009</v>
      </c>
      <c r="U353" s="298"/>
      <c r="V353" s="298"/>
      <c r="W353" s="298"/>
      <c r="X353" s="113"/>
      <c r="Y353" s="113"/>
      <c r="Z353" s="113"/>
      <c r="AA353" s="113"/>
      <c r="AB353" s="113"/>
      <c r="AC353" s="113"/>
      <c r="AD353" s="113"/>
      <c r="AE353" s="113"/>
      <c r="AF353" s="113"/>
      <c r="AG353" s="113"/>
      <c r="AH353" s="113"/>
      <c r="AI353" s="113"/>
      <c r="AJ353" s="113"/>
      <c r="AK353" s="113"/>
      <c r="AL353" s="113"/>
      <c r="AM353" s="113"/>
      <c r="AN353" s="113"/>
      <c r="AO353" s="113"/>
      <c r="AP353" s="113"/>
      <c r="AQ353" s="113"/>
      <c r="AR353" s="113"/>
      <c r="AS353" s="113"/>
      <c r="AT353" s="113"/>
      <c r="AU353" s="113"/>
      <c r="AV353" s="113"/>
      <c r="AW353" s="113"/>
      <c r="AX353" s="113"/>
      <c r="AY353" s="113"/>
      <c r="AZ353" s="113"/>
      <c r="BA353" s="113"/>
    </row>
    <row r="354" spans="2:53" x14ac:dyDescent="0.25">
      <c r="B354" s="44">
        <f t="shared" si="599"/>
        <v>1</v>
      </c>
      <c r="C354" s="44">
        <f t="shared" si="613"/>
        <v>15</v>
      </c>
      <c r="D354" s="44" t="str">
        <f t="shared" si="623"/>
        <v>Lockhart</v>
      </c>
      <c r="E354" s="45">
        <v>2021</v>
      </c>
      <c r="F354" s="206">
        <v>44.4</v>
      </c>
      <c r="G354" s="51">
        <f t="shared" si="592"/>
        <v>0.32046183512279403</v>
      </c>
      <c r="H354" s="44"/>
      <c r="I354" s="44"/>
      <c r="J354" s="206">
        <v>2528.5452</v>
      </c>
      <c r="K354" s="51">
        <f t="shared" ref="K354" si="626">J354/$J$486</f>
        <v>1.7450464728104545E-3</v>
      </c>
      <c r="L354" s="44"/>
      <c r="M354" s="206">
        <v>124641.708</v>
      </c>
      <c r="N354" s="206">
        <v>5072.3858884545398</v>
      </c>
      <c r="O354" s="46">
        <f t="shared" si="617"/>
        <v>2543.8406884545398</v>
      </c>
      <c r="P354" s="51">
        <f t="shared" si="618"/>
        <v>0.50150772129633847</v>
      </c>
      <c r="Q354" s="51">
        <f t="shared" si="619"/>
        <v>0.49849227870366153</v>
      </c>
      <c r="R354" s="51">
        <f t="shared" si="620"/>
        <v>0</v>
      </c>
      <c r="S354" s="51">
        <f t="shared" si="621"/>
        <v>0.49849227870366153</v>
      </c>
      <c r="T354" s="51">
        <f t="shared" si="622"/>
        <v>-0.49849227870366153</v>
      </c>
      <c r="U354" s="298"/>
      <c r="V354" s="298"/>
      <c r="W354" s="298"/>
      <c r="X354" s="113"/>
      <c r="Y354" s="113"/>
      <c r="Z354" s="113"/>
      <c r="AA354" s="113"/>
      <c r="AB354" s="113"/>
      <c r="AC354" s="113"/>
      <c r="AD354" s="113"/>
      <c r="AE354" s="113"/>
      <c r="AF354" s="113"/>
      <c r="AG354" s="113"/>
      <c r="AH354" s="113"/>
      <c r="AI354" s="113"/>
      <c r="AJ354" s="113"/>
      <c r="AK354" s="113"/>
      <c r="AL354" s="113"/>
      <c r="AM354" s="113"/>
      <c r="AN354" s="113"/>
      <c r="AO354" s="113"/>
      <c r="AP354" s="113"/>
      <c r="AQ354" s="113"/>
      <c r="AR354" s="113"/>
      <c r="AS354" s="113"/>
      <c r="AT354" s="113"/>
      <c r="AU354" s="113"/>
      <c r="AV354" s="113"/>
      <c r="AW354" s="113"/>
      <c r="AX354" s="113"/>
      <c r="AY354" s="113"/>
      <c r="AZ354" s="113"/>
      <c r="BA354" s="113"/>
    </row>
    <row r="355" spans="2:53" x14ac:dyDescent="0.25">
      <c r="B355" s="44">
        <f t="shared" si="599"/>
        <v>1</v>
      </c>
      <c r="C355" s="44">
        <f t="shared" ref="C355:C356" si="627">IF(D355=D354,C354,C354+1)</f>
        <v>15</v>
      </c>
      <c r="D355" s="44" t="str">
        <f t="shared" ref="D355" si="628">D351</f>
        <v>Lockhart</v>
      </c>
      <c r="E355" s="45">
        <v>2022</v>
      </c>
      <c r="F355" s="206">
        <v>44.400000000000006</v>
      </c>
      <c r="G355" s="51">
        <f t="shared" si="592"/>
        <v>0.2647999069274754</v>
      </c>
      <c r="H355" s="44"/>
      <c r="I355" s="44"/>
      <c r="J355" s="206">
        <v>2708.2284</v>
      </c>
      <c r="K355" s="51">
        <f t="shared" ref="K355" si="629">J355/$J$487</f>
        <v>1.8421507434996293E-3</v>
      </c>
      <c r="L355" s="44"/>
      <c r="M355" s="206">
        <v>102992.33500000001</v>
      </c>
      <c r="N355" s="206">
        <v>8474.6948535446481</v>
      </c>
      <c r="O355" s="46">
        <f t="shared" ref="O355:O356" si="630">N355-J355</f>
        <v>5766.4664535446482</v>
      </c>
      <c r="P355" s="51">
        <f t="shared" ref="P355:P356" si="631">O355/N355</f>
        <v>0.68043352040371707</v>
      </c>
      <c r="Q355" s="51">
        <f t="shared" ref="Q355:Q356" si="632">1-P355</f>
        <v>0.31956647959628293</v>
      </c>
      <c r="R355" s="51">
        <f t="shared" ref="R355:R356" si="633">Q355*L355</f>
        <v>0</v>
      </c>
      <c r="S355" s="51">
        <f t="shared" ref="S355:S356" si="634">Q355-R355</f>
        <v>0.31956647959628293</v>
      </c>
      <c r="T355" s="51">
        <f t="shared" ref="T355:T356" si="635">R355-S355</f>
        <v>-0.31956647959628293</v>
      </c>
      <c r="U355" s="298"/>
      <c r="V355" s="298"/>
      <c r="W355" s="298"/>
      <c r="X355" s="113"/>
      <c r="Y355" s="113"/>
      <c r="Z355" s="113"/>
      <c r="AA355" s="113"/>
      <c r="AB355" s="113"/>
      <c r="AC355" s="113"/>
      <c r="AD355" s="113"/>
      <c r="AE355" s="113"/>
      <c r="AF355" s="113"/>
      <c r="AG355" s="113"/>
      <c r="AH355" s="113"/>
      <c r="AI355" s="113"/>
      <c r="AJ355" s="113"/>
      <c r="AK355" s="113"/>
      <c r="AL355" s="113"/>
      <c r="AM355" s="113"/>
      <c r="AN355" s="113"/>
      <c r="AO355" s="113"/>
      <c r="AP355" s="113"/>
      <c r="AQ355" s="113"/>
      <c r="AR355" s="113"/>
      <c r="AS355" s="113"/>
      <c r="AT355" s="113"/>
      <c r="AU355" s="113"/>
      <c r="AV355" s="113"/>
      <c r="AW355" s="113"/>
      <c r="AX355" s="113"/>
      <c r="AY355" s="113"/>
      <c r="AZ355" s="113"/>
      <c r="BA355" s="113"/>
    </row>
    <row r="356" spans="2:53" x14ac:dyDescent="0.25">
      <c r="B356" s="44">
        <f t="shared" si="599"/>
        <v>1</v>
      </c>
      <c r="C356" s="44">
        <f t="shared" si="627"/>
        <v>15</v>
      </c>
      <c r="D356" s="44" t="str">
        <f t="shared" ref="D356" si="636">D355</f>
        <v>Lockhart</v>
      </c>
      <c r="E356" s="45">
        <v>2023</v>
      </c>
      <c r="F356" s="206">
        <v>44.400000000000006</v>
      </c>
      <c r="G356" s="51">
        <f t="shared" si="592"/>
        <v>0.28031392179851083</v>
      </c>
      <c r="H356" s="44"/>
      <c r="I356" s="44"/>
      <c r="J356" s="206">
        <v>2755.4603999999999</v>
      </c>
      <c r="K356" s="51">
        <f t="shared" ref="K356" si="637">J356/$J$488</f>
        <v>1.7250465127998911E-3</v>
      </c>
      <c r="L356" s="44"/>
      <c r="M356" s="206">
        <v>109026.41800000001</v>
      </c>
      <c r="N356" s="206">
        <v>3272.497322901047</v>
      </c>
      <c r="O356" s="46">
        <f t="shared" si="630"/>
        <v>517.03692290104709</v>
      </c>
      <c r="P356" s="51">
        <f t="shared" si="631"/>
        <v>0.15799460530733064</v>
      </c>
      <c r="Q356" s="51">
        <f t="shared" si="632"/>
        <v>0.84200539469266933</v>
      </c>
      <c r="R356" s="51">
        <f t="shared" si="633"/>
        <v>0</v>
      </c>
      <c r="S356" s="51">
        <f t="shared" si="634"/>
        <v>0.84200539469266933</v>
      </c>
      <c r="T356" s="51">
        <f t="shared" si="635"/>
        <v>-0.84200539469266933</v>
      </c>
      <c r="U356" s="298"/>
      <c r="V356" s="298"/>
      <c r="W356" s="298"/>
      <c r="X356" s="113"/>
      <c r="Y356" s="113"/>
      <c r="Z356" s="113"/>
      <c r="AA356" s="113"/>
      <c r="AB356" s="113"/>
      <c r="AC356" s="113"/>
      <c r="AD356" s="113"/>
      <c r="AE356" s="113"/>
      <c r="AF356" s="113"/>
      <c r="AG356" s="113"/>
      <c r="AH356" s="113"/>
      <c r="AI356" s="113"/>
      <c r="AJ356" s="113"/>
      <c r="AK356" s="113"/>
      <c r="AL356" s="113"/>
      <c r="AM356" s="113"/>
      <c r="AN356" s="113"/>
      <c r="AO356" s="113"/>
      <c r="AP356" s="113"/>
      <c r="AQ356" s="113"/>
      <c r="AR356" s="113"/>
      <c r="AS356" s="113"/>
      <c r="AT356" s="113"/>
      <c r="AU356" s="113"/>
      <c r="AV356" s="113"/>
      <c r="AW356" s="113"/>
      <c r="AX356" s="113"/>
      <c r="AY356" s="113"/>
      <c r="AZ356" s="113"/>
      <c r="BA356" s="113"/>
    </row>
    <row r="357" spans="2:53" x14ac:dyDescent="0.25">
      <c r="B357" s="47">
        <f t="shared" si="599"/>
        <v>1</v>
      </c>
      <c r="C357" s="47">
        <f t="shared" si="477"/>
        <v>16</v>
      </c>
      <c r="D357" s="47" t="str">
        <f>'OPG hydro peers'!D20</f>
        <v>NYSEG</v>
      </c>
      <c r="E357" s="48">
        <v>2002</v>
      </c>
      <c r="F357" s="207">
        <v>45</v>
      </c>
      <c r="G357" s="50">
        <f t="shared" si="592"/>
        <v>0.27432267630644347</v>
      </c>
      <c r="H357" s="49"/>
      <c r="I357" s="49"/>
      <c r="J357" s="207">
        <v>976.63919999999996</v>
      </c>
      <c r="K357" s="50">
        <f t="shared" ref="K357" si="638">J357/$J$467</f>
        <v>1.2727329690289484E-3</v>
      </c>
      <c r="L357" s="50"/>
      <c r="M357" s="207">
        <v>108137.99900000001</v>
      </c>
      <c r="N357" s="207">
        <v>4689.9123052353607</v>
      </c>
      <c r="O357" s="49">
        <f t="shared" si="594"/>
        <v>3713.2731052353606</v>
      </c>
      <c r="P357" s="50">
        <f t="shared" si="595"/>
        <v>0.79175747083590986</v>
      </c>
      <c r="Q357" s="50">
        <f t="shared" si="596"/>
        <v>0.20824252916409014</v>
      </c>
      <c r="R357" s="50">
        <f t="shared" si="597"/>
        <v>0</v>
      </c>
      <c r="S357" s="50">
        <f t="shared" si="598"/>
        <v>0.20824252916409014</v>
      </c>
      <c r="T357" s="50">
        <f t="shared" si="479"/>
        <v>-0.20824252916409014</v>
      </c>
      <c r="U357" s="298"/>
      <c r="V357" s="298"/>
      <c r="W357" s="298"/>
      <c r="X357" s="113"/>
      <c r="Y357" s="113"/>
      <c r="Z357" s="113"/>
      <c r="AA357" s="113"/>
      <c r="AB357" s="113"/>
      <c r="AC357" s="113"/>
      <c r="AD357" s="113"/>
      <c r="AE357" s="113"/>
      <c r="AF357" s="113"/>
      <c r="AG357" s="113"/>
      <c r="AH357" s="113"/>
      <c r="AI357" s="113"/>
      <c r="AJ357" s="113"/>
      <c r="AK357" s="113"/>
      <c r="AL357" s="113"/>
      <c r="AM357" s="113"/>
      <c r="AN357" s="113"/>
      <c r="AO357" s="113"/>
      <c r="AP357" s="113"/>
      <c r="AQ357" s="113"/>
      <c r="AR357" s="113"/>
      <c r="AS357" s="113"/>
      <c r="AT357" s="113"/>
      <c r="AU357" s="113"/>
      <c r="AV357" s="113"/>
      <c r="AW357" s="113"/>
      <c r="AX357" s="113"/>
      <c r="AY357" s="113"/>
      <c r="AZ357" s="113"/>
      <c r="BA357" s="113"/>
    </row>
    <row r="358" spans="2:53" x14ac:dyDescent="0.25">
      <c r="B358" s="47">
        <f t="shared" si="599"/>
        <v>1</v>
      </c>
      <c r="C358" s="47">
        <f t="shared" si="477"/>
        <v>16</v>
      </c>
      <c r="D358" s="47" t="str">
        <f t="shared" ref="D358:D368" si="639">D357</f>
        <v>NYSEG</v>
      </c>
      <c r="E358" s="48">
        <v>2003</v>
      </c>
      <c r="F358" s="207">
        <v>45</v>
      </c>
      <c r="G358" s="50">
        <f t="shared" si="592"/>
        <v>0.36805428209030955</v>
      </c>
      <c r="H358" s="49"/>
      <c r="I358" s="49"/>
      <c r="J358" s="207">
        <v>976.63919999999996</v>
      </c>
      <c r="K358" s="50">
        <f t="shared" ref="K358" si="640">J358/$J$468</f>
        <v>1.1515734963556859E-3</v>
      </c>
      <c r="L358" s="50"/>
      <c r="M358" s="207">
        <v>145086.99800000002</v>
      </c>
      <c r="N358" s="207">
        <v>8739.4154868554633</v>
      </c>
      <c r="O358" s="49">
        <f t="shared" si="594"/>
        <v>7762.7762868554637</v>
      </c>
      <c r="P358" s="50">
        <f t="shared" si="595"/>
        <v>0.88824891075737089</v>
      </c>
      <c r="Q358" s="50">
        <f t="shared" si="596"/>
        <v>0.11175108924262911</v>
      </c>
      <c r="R358" s="50">
        <f t="shared" si="597"/>
        <v>0</v>
      </c>
      <c r="S358" s="50">
        <f t="shared" si="598"/>
        <v>0.11175108924262911</v>
      </c>
      <c r="T358" s="50">
        <f t="shared" si="479"/>
        <v>-0.11175108924262911</v>
      </c>
      <c r="U358" s="298"/>
      <c r="V358" s="298"/>
      <c r="W358" s="298"/>
      <c r="X358" s="113"/>
      <c r="Y358" s="113"/>
      <c r="Z358" s="113"/>
      <c r="AA358" s="113"/>
      <c r="AB358" s="113"/>
      <c r="AC358" s="113"/>
      <c r="AD358" s="113"/>
      <c r="AE358" s="113"/>
      <c r="AF358" s="113"/>
      <c r="AG358" s="113"/>
      <c r="AH358" s="113"/>
      <c r="AI358" s="113"/>
      <c r="AJ358" s="113"/>
      <c r="AK358" s="113"/>
      <c r="AL358" s="113"/>
      <c r="AM358" s="113"/>
      <c r="AN358" s="113"/>
      <c r="AO358" s="113"/>
      <c r="AP358" s="113"/>
      <c r="AQ358" s="113"/>
      <c r="AR358" s="113"/>
      <c r="AS358" s="113"/>
      <c r="AT358" s="113"/>
      <c r="AU358" s="113"/>
      <c r="AV358" s="113"/>
      <c r="AW358" s="113"/>
      <c r="AX358" s="113"/>
      <c r="AY358" s="113"/>
      <c r="AZ358" s="113"/>
      <c r="BA358" s="113"/>
    </row>
    <row r="359" spans="2:53" x14ac:dyDescent="0.25">
      <c r="B359" s="47">
        <f t="shared" si="599"/>
        <v>1</v>
      </c>
      <c r="C359" s="47">
        <f t="shared" ref="C359:C415" si="641">IF(D359=D358,C358,C358+1)</f>
        <v>16</v>
      </c>
      <c r="D359" s="47" t="str">
        <f t="shared" si="639"/>
        <v>NYSEG</v>
      </c>
      <c r="E359" s="48">
        <v>2004</v>
      </c>
      <c r="F359" s="207">
        <v>45.1</v>
      </c>
      <c r="G359" s="50">
        <f t="shared" si="592"/>
        <v>0.41663882898480292</v>
      </c>
      <c r="H359" s="49"/>
      <c r="I359" s="49"/>
      <c r="J359" s="207">
        <v>764.79600000000005</v>
      </c>
      <c r="K359" s="50">
        <f t="shared" ref="K359" si="642">J359/$J$469</f>
        <v>8.6552880038351355E-4</v>
      </c>
      <c r="L359" s="50"/>
      <c r="M359" s="207">
        <v>164604.00200000001</v>
      </c>
      <c r="N359" s="207">
        <v>10034.656599245165</v>
      </c>
      <c r="O359" s="49">
        <f t="shared" si="594"/>
        <v>9269.8605992451648</v>
      </c>
      <c r="P359" s="50">
        <f t="shared" si="595"/>
        <v>0.92378453687617668</v>
      </c>
      <c r="Q359" s="50">
        <f t="shared" si="596"/>
        <v>7.6215463123823324E-2</v>
      </c>
      <c r="R359" s="50">
        <f t="shared" si="597"/>
        <v>0</v>
      </c>
      <c r="S359" s="50">
        <f t="shared" si="598"/>
        <v>7.6215463123823324E-2</v>
      </c>
      <c r="T359" s="50">
        <f t="shared" ref="T359:T416" si="643">R359-S359</f>
        <v>-7.6215463123823324E-2</v>
      </c>
      <c r="U359" s="298"/>
      <c r="V359" s="298"/>
      <c r="W359" s="298"/>
      <c r="X359" s="113"/>
      <c r="Y359" s="113"/>
      <c r="Z359" s="113"/>
      <c r="AA359" s="113"/>
      <c r="AB359" s="113"/>
      <c r="AC359" s="113"/>
      <c r="AD359" s="113"/>
      <c r="AE359" s="113"/>
      <c r="AF359" s="113"/>
      <c r="AG359" s="113"/>
      <c r="AH359" s="113"/>
      <c r="AI359" s="113"/>
      <c r="AJ359" s="113"/>
      <c r="AK359" s="113"/>
      <c r="AL359" s="113"/>
      <c r="AM359" s="113"/>
      <c r="AN359" s="113"/>
      <c r="AO359" s="113"/>
      <c r="AP359" s="113"/>
      <c r="AQ359" s="113"/>
      <c r="AR359" s="113"/>
      <c r="AS359" s="113"/>
      <c r="AT359" s="113"/>
      <c r="AU359" s="113"/>
      <c r="AV359" s="113"/>
      <c r="AW359" s="113"/>
      <c r="AX359" s="113"/>
      <c r="AY359" s="113"/>
      <c r="AZ359" s="113"/>
      <c r="BA359" s="113"/>
    </row>
    <row r="360" spans="2:53" x14ac:dyDescent="0.25">
      <c r="B360" s="47">
        <f t="shared" si="599"/>
        <v>1</v>
      </c>
      <c r="C360" s="47">
        <f t="shared" si="641"/>
        <v>16</v>
      </c>
      <c r="D360" s="47" t="str">
        <f t="shared" si="639"/>
        <v>NYSEG</v>
      </c>
      <c r="E360" s="48">
        <v>2005</v>
      </c>
      <c r="F360" s="207">
        <v>45.1</v>
      </c>
      <c r="G360" s="50">
        <f t="shared" si="592"/>
        <v>0.43282305176725488</v>
      </c>
      <c r="H360" s="49"/>
      <c r="I360" s="49"/>
      <c r="J360" s="207">
        <v>915.69719999999995</v>
      </c>
      <c r="K360" s="50">
        <f t="shared" ref="K360" si="644">J360/$J$470</f>
        <v>9.8566978732202506E-4</v>
      </c>
      <c r="L360" s="50"/>
      <c r="M360" s="207">
        <v>170998</v>
      </c>
      <c r="N360" s="207">
        <v>14970.086742955997</v>
      </c>
      <c r="O360" s="49">
        <f t="shared" si="594"/>
        <v>14054.389542955996</v>
      </c>
      <c r="P360" s="50">
        <f t="shared" si="595"/>
        <v>0.93883153680249243</v>
      </c>
      <c r="Q360" s="50">
        <f t="shared" si="596"/>
        <v>6.1168463197507572E-2</v>
      </c>
      <c r="R360" s="50">
        <f t="shared" si="597"/>
        <v>0</v>
      </c>
      <c r="S360" s="50">
        <f t="shared" si="598"/>
        <v>6.1168463197507572E-2</v>
      </c>
      <c r="T360" s="50">
        <f t="shared" si="643"/>
        <v>-6.1168463197507572E-2</v>
      </c>
      <c r="U360" s="298"/>
      <c r="V360" s="298"/>
      <c r="W360" s="298"/>
      <c r="X360" s="113"/>
      <c r="Y360" s="113"/>
      <c r="Z360" s="113"/>
      <c r="AA360" s="113"/>
      <c r="AB360" s="113"/>
      <c r="AC360" s="113"/>
      <c r="AD360" s="113"/>
      <c r="AE360" s="113"/>
      <c r="AF360" s="113"/>
      <c r="AG360" s="113"/>
      <c r="AH360" s="113"/>
      <c r="AI360" s="113"/>
      <c r="AJ360" s="113"/>
      <c r="AK360" s="113"/>
      <c r="AL360" s="113"/>
      <c r="AM360" s="113"/>
      <c r="AN360" s="113"/>
      <c r="AO360" s="113"/>
      <c r="AP360" s="113"/>
      <c r="AQ360" s="113"/>
      <c r="AR360" s="113"/>
      <c r="AS360" s="113"/>
      <c r="AT360" s="113"/>
      <c r="AU360" s="113"/>
      <c r="AV360" s="113"/>
      <c r="AW360" s="113"/>
      <c r="AX360" s="113"/>
      <c r="AY360" s="113"/>
      <c r="AZ360" s="113"/>
      <c r="BA360" s="113"/>
    </row>
    <row r="361" spans="2:53" x14ac:dyDescent="0.25">
      <c r="B361" s="47">
        <f t="shared" si="599"/>
        <v>1</v>
      </c>
      <c r="C361" s="47">
        <f t="shared" si="641"/>
        <v>16</v>
      </c>
      <c r="D361" s="47" t="str">
        <f t="shared" si="639"/>
        <v>NYSEG</v>
      </c>
      <c r="E361" s="48">
        <v>2006</v>
      </c>
      <c r="F361" s="207">
        <v>45.1</v>
      </c>
      <c r="G361" s="50">
        <f t="shared" si="592"/>
        <v>1.0098006484828237</v>
      </c>
      <c r="H361" s="49"/>
      <c r="I361" s="49"/>
      <c r="J361" s="207">
        <v>849.14880000000005</v>
      </c>
      <c r="K361" s="50">
        <f t="shared" ref="K361" si="645">J361/$J$471</f>
        <v>8.62626919016467E-4</v>
      </c>
      <c r="L361" s="50"/>
      <c r="M361" s="207">
        <v>398948.00100000005</v>
      </c>
      <c r="N361" s="207">
        <v>28253.304449401057</v>
      </c>
      <c r="O361" s="49">
        <f t="shared" si="594"/>
        <v>27404.155649401058</v>
      </c>
      <c r="P361" s="50">
        <f t="shared" si="595"/>
        <v>0.96994515096381939</v>
      </c>
      <c r="Q361" s="50">
        <f t="shared" si="596"/>
        <v>3.0054849036180609E-2</v>
      </c>
      <c r="R361" s="50">
        <f t="shared" si="597"/>
        <v>0</v>
      </c>
      <c r="S361" s="50">
        <f t="shared" si="598"/>
        <v>3.0054849036180609E-2</v>
      </c>
      <c r="T361" s="50">
        <f t="shared" si="643"/>
        <v>-3.0054849036180609E-2</v>
      </c>
      <c r="U361" s="298"/>
      <c r="V361" s="298"/>
      <c r="W361" s="298"/>
      <c r="X361" s="113"/>
      <c r="Y361" s="113"/>
      <c r="Z361" s="113"/>
      <c r="AA361" s="113"/>
      <c r="AB361" s="113"/>
      <c r="AC361" s="113"/>
      <c r="AD361" s="113"/>
      <c r="AE361" s="113"/>
      <c r="AF361" s="113"/>
      <c r="AG361" s="113"/>
      <c r="AH361" s="113"/>
      <c r="AI361" s="113"/>
      <c r="AJ361" s="113"/>
      <c r="AK361" s="113"/>
      <c r="AL361" s="113"/>
      <c r="AM361" s="113"/>
      <c r="AN361" s="113"/>
      <c r="AO361" s="113"/>
      <c r="AP361" s="113"/>
      <c r="AQ361" s="113"/>
      <c r="AR361" s="113"/>
      <c r="AS361" s="113"/>
      <c r="AT361" s="113"/>
      <c r="AU361" s="113"/>
      <c r="AV361" s="113"/>
      <c r="AW361" s="113"/>
      <c r="AX361" s="113"/>
      <c r="AY361" s="113"/>
      <c r="AZ361" s="113"/>
      <c r="BA361" s="113"/>
    </row>
    <row r="362" spans="2:53" x14ac:dyDescent="0.25">
      <c r="B362" s="47">
        <f t="shared" si="599"/>
        <v>1</v>
      </c>
      <c r="C362" s="47">
        <f t="shared" si="641"/>
        <v>16</v>
      </c>
      <c r="D362" s="47" t="str">
        <f t="shared" si="639"/>
        <v>NYSEG</v>
      </c>
      <c r="E362" s="48">
        <v>2007</v>
      </c>
      <c r="F362" s="207">
        <v>45.1</v>
      </c>
      <c r="G362" s="50">
        <f t="shared" si="592"/>
        <v>0.38028379602911844</v>
      </c>
      <c r="H362" s="49"/>
      <c r="I362" s="49"/>
      <c r="J362" s="207">
        <v>1187.4096</v>
      </c>
      <c r="K362" s="50">
        <f t="shared" ref="K362" si="646">J362/$J$472</f>
        <v>1.1139686936986646E-3</v>
      </c>
      <c r="L362" s="50"/>
      <c r="M362" s="207">
        <v>150241.00099999999</v>
      </c>
      <c r="N362" s="207">
        <v>11825.366879918993</v>
      </c>
      <c r="O362" s="49">
        <f t="shared" si="594"/>
        <v>10637.957279918992</v>
      </c>
      <c r="P362" s="50">
        <f t="shared" si="595"/>
        <v>0.8995879272028019</v>
      </c>
      <c r="Q362" s="50">
        <f t="shared" si="596"/>
        <v>0.1004120727971981</v>
      </c>
      <c r="R362" s="50">
        <f t="shared" si="597"/>
        <v>0</v>
      </c>
      <c r="S362" s="50">
        <f t="shared" si="598"/>
        <v>0.1004120727971981</v>
      </c>
      <c r="T362" s="50">
        <f t="shared" si="643"/>
        <v>-0.1004120727971981</v>
      </c>
      <c r="U362" s="298"/>
      <c r="V362" s="298"/>
      <c r="W362" s="298"/>
      <c r="X362" s="113"/>
      <c r="Y362" s="113"/>
      <c r="Z362" s="113"/>
      <c r="AA362" s="113"/>
      <c r="AB362" s="113"/>
      <c r="AC362" s="113"/>
      <c r="AD362" s="113"/>
      <c r="AE362" s="113"/>
      <c r="AF362" s="113"/>
      <c r="AG362" s="113"/>
      <c r="AH362" s="113"/>
      <c r="AI362" s="113"/>
      <c r="AJ362" s="113"/>
      <c r="AK362" s="113"/>
      <c r="AL362" s="113"/>
      <c r="AM362" s="113"/>
      <c r="AN362" s="113"/>
      <c r="AO362" s="113"/>
      <c r="AP362" s="113"/>
      <c r="AQ362" s="113"/>
      <c r="AR362" s="113"/>
      <c r="AS362" s="113"/>
      <c r="AT362" s="113"/>
      <c r="AU362" s="113"/>
      <c r="AV362" s="113"/>
      <c r="AW362" s="113"/>
      <c r="AX362" s="113"/>
      <c r="AY362" s="113"/>
      <c r="AZ362" s="113"/>
      <c r="BA362" s="113"/>
    </row>
    <row r="363" spans="2:53" x14ac:dyDescent="0.25">
      <c r="B363" s="47">
        <f t="shared" si="599"/>
        <v>1</v>
      </c>
      <c r="C363" s="47">
        <f t="shared" si="641"/>
        <v>16</v>
      </c>
      <c r="D363" s="47" t="str">
        <f t="shared" si="639"/>
        <v>NYSEG</v>
      </c>
      <c r="E363" s="48">
        <v>2008</v>
      </c>
      <c r="F363" s="207">
        <v>45.1</v>
      </c>
      <c r="G363" s="50">
        <f t="shared" si="592"/>
        <v>0.43174477821988683</v>
      </c>
      <c r="H363" s="49"/>
      <c r="I363" s="49"/>
      <c r="J363" s="207">
        <v>1109.9843999999998</v>
      </c>
      <c r="K363" s="50">
        <f t="shared" ref="K363" si="647">J363/$J$473</f>
        <v>9.5847597227958299E-4</v>
      </c>
      <c r="L363" s="50"/>
      <c r="M363" s="207">
        <v>170572</v>
      </c>
      <c r="N363" s="207">
        <v>15682.602886295957</v>
      </c>
      <c r="O363" s="49">
        <f t="shared" si="594"/>
        <v>14572.618486295958</v>
      </c>
      <c r="P363" s="50">
        <f t="shared" si="595"/>
        <v>0.92922192775983981</v>
      </c>
      <c r="Q363" s="50">
        <f t="shared" si="596"/>
        <v>7.0778072240160195E-2</v>
      </c>
      <c r="R363" s="50">
        <f t="shared" si="597"/>
        <v>0</v>
      </c>
      <c r="S363" s="50">
        <f t="shared" si="598"/>
        <v>7.0778072240160195E-2</v>
      </c>
      <c r="T363" s="50">
        <f t="shared" si="643"/>
        <v>-7.0778072240160195E-2</v>
      </c>
      <c r="U363" s="298"/>
      <c r="V363" s="298"/>
      <c r="W363" s="298"/>
      <c r="X363" s="113"/>
      <c r="Y363" s="113"/>
      <c r="Z363" s="113"/>
      <c r="AA363" s="113"/>
      <c r="AB363" s="113"/>
      <c r="AC363" s="113"/>
      <c r="AD363" s="113"/>
      <c r="AE363" s="113"/>
      <c r="AF363" s="113"/>
      <c r="AG363" s="113"/>
      <c r="AH363" s="113"/>
      <c r="AI363" s="113"/>
      <c r="AJ363" s="113"/>
      <c r="AK363" s="113"/>
      <c r="AL363" s="113"/>
      <c r="AM363" s="113"/>
      <c r="AN363" s="113"/>
      <c r="AO363" s="113"/>
      <c r="AP363" s="113"/>
      <c r="AQ363" s="113"/>
      <c r="AR363" s="113"/>
      <c r="AS363" s="113"/>
      <c r="AT363" s="113"/>
      <c r="AU363" s="113"/>
      <c r="AV363" s="113"/>
      <c r="AW363" s="113"/>
      <c r="AX363" s="113"/>
      <c r="AY363" s="113"/>
      <c r="AZ363" s="113"/>
      <c r="BA363" s="113"/>
    </row>
    <row r="364" spans="2:53" x14ac:dyDescent="0.25">
      <c r="B364" s="47">
        <f t="shared" si="599"/>
        <v>1</v>
      </c>
      <c r="C364" s="47">
        <f t="shared" si="641"/>
        <v>16</v>
      </c>
      <c r="D364" s="47" t="str">
        <f t="shared" si="639"/>
        <v>NYSEG</v>
      </c>
      <c r="E364" s="48">
        <v>2009</v>
      </c>
      <c r="F364" s="207">
        <v>47.1</v>
      </c>
      <c r="G364" s="50">
        <f t="shared" si="592"/>
        <v>0.41888190869518849</v>
      </c>
      <c r="H364" s="49"/>
      <c r="I364" s="49"/>
      <c r="J364" s="207">
        <v>1167.912</v>
      </c>
      <c r="K364" s="50">
        <f t="shared" ref="K364" si="648">J364/$J$474</f>
        <v>9.897683666566699E-4</v>
      </c>
      <c r="L364" s="50"/>
      <c r="M364" s="207">
        <v>172829</v>
      </c>
      <c r="N364" s="207">
        <v>8075.2510600124624</v>
      </c>
      <c r="O364" s="49">
        <f t="shared" si="594"/>
        <v>6907.3390600124621</v>
      </c>
      <c r="P364" s="50">
        <f t="shared" si="595"/>
        <v>0.85537143163469675</v>
      </c>
      <c r="Q364" s="50">
        <f t="shared" si="596"/>
        <v>0.14462856836530325</v>
      </c>
      <c r="R364" s="50">
        <f t="shared" si="597"/>
        <v>0</v>
      </c>
      <c r="S364" s="50">
        <f t="shared" si="598"/>
        <v>0.14462856836530325</v>
      </c>
      <c r="T364" s="50">
        <f t="shared" si="643"/>
        <v>-0.14462856836530325</v>
      </c>
      <c r="U364" s="298"/>
      <c r="V364" s="298"/>
      <c r="W364" s="298"/>
      <c r="X364" s="113"/>
      <c r="Y364" s="113"/>
      <c r="Z364" s="113"/>
      <c r="AA364" s="113"/>
      <c r="AB364" s="113"/>
      <c r="AC364" s="113"/>
      <c r="AD364" s="113"/>
      <c r="AE364" s="113"/>
      <c r="AF364" s="113"/>
      <c r="AG364" s="113"/>
      <c r="AH364" s="113"/>
      <c r="AI364" s="113"/>
      <c r="AJ364" s="113"/>
      <c r="AK364" s="113"/>
      <c r="AL364" s="113"/>
      <c r="AM364" s="113"/>
      <c r="AN364" s="113"/>
      <c r="AO364" s="113"/>
      <c r="AP364" s="113"/>
      <c r="AQ364" s="113"/>
      <c r="AR364" s="113"/>
      <c r="AS364" s="113"/>
      <c r="AT364" s="113"/>
      <c r="AU364" s="113"/>
      <c r="AV364" s="113"/>
      <c r="AW364" s="113"/>
      <c r="AX364" s="113"/>
      <c r="AY364" s="113"/>
      <c r="AZ364" s="113"/>
      <c r="BA364" s="113"/>
    </row>
    <row r="365" spans="2:53" x14ac:dyDescent="0.25">
      <c r="B365" s="47">
        <f t="shared" si="599"/>
        <v>1</v>
      </c>
      <c r="C365" s="47">
        <f t="shared" si="641"/>
        <v>16</v>
      </c>
      <c r="D365" s="47" t="str">
        <f t="shared" si="639"/>
        <v>NYSEG</v>
      </c>
      <c r="E365" s="48">
        <v>2010</v>
      </c>
      <c r="F365" s="207">
        <v>47.1</v>
      </c>
      <c r="G365" s="50">
        <f t="shared" si="592"/>
        <v>0.36718969645852118</v>
      </c>
      <c r="H365" s="49"/>
      <c r="I365" s="49"/>
      <c r="J365" s="207">
        <v>960.30719999999997</v>
      </c>
      <c r="K365" s="50">
        <f t="shared" ref="K365" si="649">J365/$J$475</f>
        <v>7.8476528674478068E-4</v>
      </c>
      <c r="L365" s="50"/>
      <c r="M365" s="207">
        <v>151501</v>
      </c>
      <c r="N365" s="207">
        <v>8327.8757615577688</v>
      </c>
      <c r="O365" s="49">
        <f t="shared" si="594"/>
        <v>7367.5685615577686</v>
      </c>
      <c r="P365" s="50">
        <f t="shared" si="595"/>
        <v>0.88468761692713216</v>
      </c>
      <c r="Q365" s="50">
        <f t="shared" si="596"/>
        <v>0.11531238307286784</v>
      </c>
      <c r="R365" s="50">
        <f t="shared" si="597"/>
        <v>0</v>
      </c>
      <c r="S365" s="50">
        <f t="shared" si="598"/>
        <v>0.11531238307286784</v>
      </c>
      <c r="T365" s="50">
        <f t="shared" si="643"/>
        <v>-0.11531238307286784</v>
      </c>
      <c r="U365" s="298"/>
      <c r="V365" s="298"/>
      <c r="W365" s="298"/>
      <c r="X365" s="113"/>
      <c r="Y365" s="113"/>
      <c r="Z365" s="113"/>
      <c r="AA365" s="113"/>
      <c r="AB365" s="113"/>
      <c r="AC365" s="113"/>
      <c r="AD365" s="113"/>
      <c r="AE365" s="113"/>
      <c r="AF365" s="113"/>
      <c r="AG365" s="113"/>
      <c r="AH365" s="113"/>
      <c r="AI365" s="113"/>
      <c r="AJ365" s="113"/>
      <c r="AK365" s="113"/>
      <c r="AL365" s="113"/>
      <c r="AM365" s="113"/>
      <c r="AN365" s="113"/>
      <c r="AO365" s="113"/>
      <c r="AP365" s="113"/>
      <c r="AQ365" s="113"/>
      <c r="AR365" s="113"/>
      <c r="AS365" s="113"/>
      <c r="AT365" s="113"/>
      <c r="AU365" s="113"/>
      <c r="AV365" s="113"/>
      <c r="AW365" s="113"/>
      <c r="AX365" s="113"/>
      <c r="AY365" s="113"/>
      <c r="AZ365" s="113"/>
      <c r="BA365" s="113"/>
    </row>
    <row r="366" spans="2:53" x14ac:dyDescent="0.25">
      <c r="B366" s="47">
        <f t="shared" si="599"/>
        <v>1</v>
      </c>
      <c r="C366" s="47">
        <f t="shared" si="641"/>
        <v>16</v>
      </c>
      <c r="D366" s="47" t="str">
        <f t="shared" si="639"/>
        <v>NYSEG</v>
      </c>
      <c r="E366" s="48">
        <v>2011</v>
      </c>
      <c r="F366" s="207">
        <v>47.18</v>
      </c>
      <c r="G366" s="50">
        <f t="shared" si="592"/>
        <v>0.3875907096304641</v>
      </c>
      <c r="H366" s="49"/>
      <c r="I366" s="49"/>
      <c r="J366" s="207">
        <v>691.12079999999992</v>
      </c>
      <c r="K366" s="50">
        <f t="shared" ref="K366" si="650">J366/$J$476</f>
        <v>5.7260733001915939E-4</v>
      </c>
      <c r="L366" s="50"/>
      <c r="M366" s="207">
        <v>160190</v>
      </c>
      <c r="N366" s="207">
        <v>8158.6530358119016</v>
      </c>
      <c r="O366" s="49">
        <f t="shared" si="594"/>
        <v>7467.532235811902</v>
      </c>
      <c r="P366" s="50">
        <f t="shared" si="595"/>
        <v>0.91528984049617412</v>
      </c>
      <c r="Q366" s="50">
        <f t="shared" si="596"/>
        <v>8.4710159503825877E-2</v>
      </c>
      <c r="R366" s="50">
        <f t="shared" si="597"/>
        <v>0</v>
      </c>
      <c r="S366" s="50">
        <f t="shared" si="598"/>
        <v>8.4710159503825877E-2</v>
      </c>
      <c r="T366" s="50">
        <f t="shared" si="643"/>
        <v>-8.4710159503825877E-2</v>
      </c>
      <c r="U366" s="298"/>
      <c r="V366" s="298"/>
      <c r="W366" s="298"/>
      <c r="X366" s="113"/>
      <c r="Y366" s="113"/>
      <c r="Z366" s="113"/>
      <c r="AA366" s="113"/>
      <c r="AB366" s="113"/>
      <c r="AC366" s="113"/>
      <c r="AD366" s="113"/>
      <c r="AE366" s="113"/>
      <c r="AF366" s="113"/>
      <c r="AG366" s="113"/>
      <c r="AH366" s="113"/>
      <c r="AI366" s="113"/>
      <c r="AJ366" s="113"/>
      <c r="AK366" s="113"/>
      <c r="AL366" s="113"/>
      <c r="AM366" s="113"/>
      <c r="AN366" s="113"/>
      <c r="AO366" s="113"/>
      <c r="AP366" s="113"/>
      <c r="AQ366" s="113"/>
      <c r="AR366" s="113"/>
      <c r="AS366" s="113"/>
      <c r="AT366" s="113"/>
      <c r="AU366" s="113"/>
      <c r="AV366" s="113"/>
      <c r="AW366" s="113"/>
      <c r="AX366" s="113"/>
      <c r="AY366" s="113"/>
      <c r="AZ366" s="113"/>
      <c r="BA366" s="113"/>
    </row>
    <row r="367" spans="2:53" x14ac:dyDescent="0.25">
      <c r="B367" s="47">
        <f t="shared" si="599"/>
        <v>1</v>
      </c>
      <c r="C367" s="47">
        <f t="shared" si="641"/>
        <v>16</v>
      </c>
      <c r="D367" s="47" t="str">
        <f t="shared" si="639"/>
        <v>NYSEG</v>
      </c>
      <c r="E367" s="48">
        <v>2012</v>
      </c>
      <c r="F367" s="207">
        <v>47.18</v>
      </c>
      <c r="G367" s="50">
        <f t="shared" si="592"/>
        <v>0.32681356352142088</v>
      </c>
      <c r="H367" s="49"/>
      <c r="I367" s="49"/>
      <c r="J367" s="207">
        <v>1307.2716</v>
      </c>
      <c r="K367" s="50">
        <f t="shared" ref="K367" si="651">J367/$J$477</f>
        <v>1.049943682721114E-3</v>
      </c>
      <c r="L367" s="50"/>
      <c r="M367" s="207">
        <v>135070.99999999997</v>
      </c>
      <c r="N367" s="207">
        <v>5448.0747309854332</v>
      </c>
      <c r="O367" s="49">
        <f t="shared" si="594"/>
        <v>4140.8031309854332</v>
      </c>
      <c r="P367" s="50">
        <f t="shared" si="595"/>
        <v>0.76004888615697375</v>
      </c>
      <c r="Q367" s="50">
        <f t="shared" si="596"/>
        <v>0.23995111384302625</v>
      </c>
      <c r="R367" s="50">
        <f t="shared" si="597"/>
        <v>0</v>
      </c>
      <c r="S367" s="50">
        <f t="shared" si="598"/>
        <v>0.23995111384302625</v>
      </c>
      <c r="T367" s="50">
        <f t="shared" si="643"/>
        <v>-0.23995111384302625</v>
      </c>
      <c r="U367" s="298"/>
      <c r="V367" s="298"/>
      <c r="W367" s="298"/>
      <c r="X367" s="113"/>
      <c r="Y367" s="113"/>
      <c r="Z367" s="113"/>
      <c r="AA367" s="113"/>
      <c r="AB367" s="113"/>
      <c r="AC367" s="113"/>
      <c r="AD367" s="113"/>
      <c r="AE367" s="113"/>
      <c r="AF367" s="113"/>
      <c r="AG367" s="113"/>
      <c r="AH367" s="113"/>
      <c r="AI367" s="113"/>
      <c r="AJ367" s="113"/>
      <c r="AK367" s="113"/>
      <c r="AL367" s="113"/>
      <c r="AM367" s="113"/>
      <c r="AN367" s="113"/>
      <c r="AO367" s="113"/>
      <c r="AP367" s="113"/>
      <c r="AQ367" s="113"/>
      <c r="AR367" s="113"/>
      <c r="AS367" s="113"/>
      <c r="AT367" s="113"/>
      <c r="AU367" s="113"/>
      <c r="AV367" s="113"/>
      <c r="AW367" s="113"/>
      <c r="AX367" s="113"/>
      <c r="AY367" s="113"/>
      <c r="AZ367" s="113"/>
      <c r="BA367" s="113"/>
    </row>
    <row r="368" spans="2:53" x14ac:dyDescent="0.25">
      <c r="B368" s="47">
        <f t="shared" si="599"/>
        <v>1</v>
      </c>
      <c r="C368" s="47">
        <f t="shared" si="641"/>
        <v>16</v>
      </c>
      <c r="D368" s="47" t="str">
        <f t="shared" si="639"/>
        <v>NYSEG</v>
      </c>
      <c r="E368" s="48">
        <v>2013</v>
      </c>
      <c r="F368" s="207">
        <v>47.18</v>
      </c>
      <c r="G368" s="50">
        <f t="shared" si="592"/>
        <v>0.57245301681503469</v>
      </c>
      <c r="H368" s="47"/>
      <c r="I368" s="47"/>
      <c r="J368" s="207">
        <v>1109.5775999999998</v>
      </c>
      <c r="K368" s="50">
        <f t="shared" ref="K368" si="652">J368/$J$478</f>
        <v>8.9257320596937818E-4</v>
      </c>
      <c r="L368" s="47"/>
      <c r="M368" s="207">
        <v>236593</v>
      </c>
      <c r="N368" s="207">
        <v>11611.607043282866</v>
      </c>
      <c r="O368" s="49">
        <f t="shared" si="594"/>
        <v>10502.029443282865</v>
      </c>
      <c r="P368" s="50">
        <f t="shared" si="595"/>
        <v>0.90444237426705942</v>
      </c>
      <c r="Q368" s="50">
        <f t="shared" si="596"/>
        <v>9.5557625732940576E-2</v>
      </c>
      <c r="R368" s="50">
        <f t="shared" si="597"/>
        <v>0</v>
      </c>
      <c r="S368" s="50">
        <f t="shared" si="598"/>
        <v>9.5557625732940576E-2</v>
      </c>
      <c r="T368" s="50">
        <f t="shared" si="643"/>
        <v>-9.5557625732940576E-2</v>
      </c>
      <c r="U368" s="298"/>
      <c r="V368" s="298"/>
      <c r="W368" s="298"/>
      <c r="X368" s="113"/>
      <c r="Y368" s="113"/>
      <c r="Z368" s="113"/>
      <c r="AA368" s="113"/>
      <c r="AB368" s="113"/>
      <c r="AC368" s="113"/>
      <c r="AD368" s="113"/>
      <c r="AE368" s="113"/>
      <c r="AF368" s="113"/>
      <c r="AG368" s="113"/>
      <c r="AH368" s="113"/>
      <c r="AI368" s="113"/>
      <c r="AJ368" s="113"/>
      <c r="AK368" s="113"/>
      <c r="AL368" s="113"/>
      <c r="AM368" s="113"/>
      <c r="AN368" s="113"/>
      <c r="AO368" s="113"/>
      <c r="AP368" s="113"/>
      <c r="AQ368" s="113"/>
      <c r="AR368" s="113"/>
      <c r="AS368" s="113"/>
      <c r="AT368" s="113"/>
      <c r="AU368" s="113"/>
      <c r="AV368" s="113"/>
      <c r="AW368" s="113"/>
      <c r="AX368" s="113"/>
      <c r="AY368" s="113"/>
      <c r="AZ368" s="113"/>
      <c r="BA368" s="113"/>
    </row>
    <row r="369" spans="2:53" x14ac:dyDescent="0.25">
      <c r="B369" s="47">
        <f t="shared" si="599"/>
        <v>1</v>
      </c>
      <c r="C369" s="47">
        <f t="shared" si="641"/>
        <v>16</v>
      </c>
      <c r="D369" s="47" t="str">
        <f>D366</f>
        <v>NYSEG</v>
      </c>
      <c r="E369" s="48">
        <v>2014</v>
      </c>
      <c r="F369" s="207">
        <v>47.18</v>
      </c>
      <c r="G369" s="50">
        <f t="shared" si="592"/>
        <v>0.5236987075631846</v>
      </c>
      <c r="H369" s="47"/>
      <c r="I369" s="47"/>
      <c r="J369" s="207">
        <v>1182.2916</v>
      </c>
      <c r="K369" s="50">
        <f t="shared" ref="K369" si="653">J369/$J$479</f>
        <v>9.4758965061571201E-4</v>
      </c>
      <c r="L369" s="47"/>
      <c r="M369" s="207">
        <v>216443</v>
      </c>
      <c r="N369" s="207">
        <v>13005.439004564449</v>
      </c>
      <c r="O369" s="49">
        <f t="shared" si="594"/>
        <v>11823.147404564448</v>
      </c>
      <c r="P369" s="50">
        <f t="shared" si="595"/>
        <v>0.9090925266278933</v>
      </c>
      <c r="Q369" s="50">
        <f t="shared" si="596"/>
        <v>9.0907473372106695E-2</v>
      </c>
      <c r="R369" s="50">
        <f t="shared" si="597"/>
        <v>0</v>
      </c>
      <c r="S369" s="50">
        <f t="shared" si="598"/>
        <v>9.0907473372106695E-2</v>
      </c>
      <c r="T369" s="50">
        <f t="shared" si="643"/>
        <v>-9.0907473372106695E-2</v>
      </c>
      <c r="U369" s="298"/>
      <c r="V369" s="298"/>
      <c r="W369" s="298"/>
      <c r="X369" s="113"/>
      <c r="Y369" s="113"/>
      <c r="Z369" s="113"/>
      <c r="AA369" s="113"/>
      <c r="AB369" s="113"/>
      <c r="AC369" s="113"/>
      <c r="AD369" s="113"/>
      <c r="AE369" s="113"/>
      <c r="AF369" s="113"/>
      <c r="AG369" s="113"/>
      <c r="AH369" s="113"/>
      <c r="AI369" s="113"/>
      <c r="AJ369" s="113"/>
      <c r="AK369" s="113"/>
      <c r="AL369" s="113"/>
      <c r="AM369" s="113"/>
      <c r="AN369" s="113"/>
      <c r="AO369" s="113"/>
      <c r="AP369" s="113"/>
      <c r="AQ369" s="113"/>
      <c r="AR369" s="113"/>
      <c r="AS369" s="113"/>
      <c r="AT369" s="113"/>
      <c r="AU369" s="113"/>
      <c r="AV369" s="113"/>
      <c r="AW369" s="113"/>
      <c r="AX369" s="113"/>
      <c r="AY369" s="113"/>
      <c r="AZ369" s="113"/>
      <c r="BA369" s="113"/>
    </row>
    <row r="370" spans="2:53" x14ac:dyDescent="0.25">
      <c r="B370" s="47">
        <f t="shared" si="599"/>
        <v>1</v>
      </c>
      <c r="C370" s="47">
        <f t="shared" si="641"/>
        <v>16</v>
      </c>
      <c r="D370" s="47" t="str">
        <f>D367</f>
        <v>NYSEG</v>
      </c>
      <c r="E370" s="48">
        <v>2015</v>
      </c>
      <c r="F370" s="207">
        <v>47.18</v>
      </c>
      <c r="G370" s="50">
        <f t="shared" si="592"/>
        <v>0.42471415215409364</v>
      </c>
      <c r="H370" s="47"/>
      <c r="I370" s="47"/>
      <c r="J370" s="207">
        <v>1214.0916</v>
      </c>
      <c r="K370" s="50">
        <f t="shared" ref="K370" si="654">J370/$J$480</f>
        <v>9.2119221443098939E-4</v>
      </c>
      <c r="L370" s="47"/>
      <c r="M370" s="207">
        <v>175533</v>
      </c>
      <c r="N370" s="207">
        <v>6135.725524697832</v>
      </c>
      <c r="O370" s="49">
        <f t="shared" si="594"/>
        <v>4921.6339246978323</v>
      </c>
      <c r="P370" s="50">
        <f t="shared" si="595"/>
        <v>0.80212745907342542</v>
      </c>
      <c r="Q370" s="50">
        <f t="shared" si="596"/>
        <v>0.19787254092657458</v>
      </c>
      <c r="R370" s="50">
        <f t="shared" si="597"/>
        <v>0</v>
      </c>
      <c r="S370" s="50">
        <f t="shared" si="598"/>
        <v>0.19787254092657458</v>
      </c>
      <c r="T370" s="50">
        <f t="shared" si="643"/>
        <v>-0.19787254092657458</v>
      </c>
      <c r="U370" s="298"/>
      <c r="V370" s="298"/>
      <c r="W370" s="298"/>
      <c r="X370" s="113"/>
      <c r="Y370" s="113"/>
      <c r="Z370" s="113"/>
      <c r="AA370" s="113"/>
      <c r="AB370" s="113"/>
      <c r="AC370" s="113"/>
      <c r="AD370" s="113"/>
      <c r="AE370" s="113"/>
      <c r="AF370" s="113"/>
      <c r="AG370" s="113"/>
      <c r="AH370" s="113"/>
      <c r="AI370" s="113"/>
      <c r="AJ370" s="113"/>
      <c r="AK370" s="113"/>
      <c r="AL370" s="113"/>
      <c r="AM370" s="113"/>
      <c r="AN370" s="113"/>
      <c r="AO370" s="113"/>
      <c r="AP370" s="113"/>
      <c r="AQ370" s="113"/>
      <c r="AR370" s="113"/>
      <c r="AS370" s="113"/>
      <c r="AT370" s="113"/>
      <c r="AU370" s="113"/>
      <c r="AV370" s="113"/>
      <c r="AW370" s="113"/>
      <c r="AX370" s="113"/>
      <c r="AY370" s="113"/>
      <c r="AZ370" s="113"/>
      <c r="BA370" s="113"/>
    </row>
    <row r="371" spans="2:53" x14ac:dyDescent="0.25">
      <c r="B371" s="47">
        <f t="shared" si="599"/>
        <v>1</v>
      </c>
      <c r="C371" s="47">
        <f t="shared" si="641"/>
        <v>16</v>
      </c>
      <c r="D371" s="47" t="str">
        <f>D368</f>
        <v>NYSEG</v>
      </c>
      <c r="E371" s="48">
        <v>2016</v>
      </c>
      <c r="F371" s="207">
        <v>47.18</v>
      </c>
      <c r="G371" s="50">
        <f t="shared" si="592"/>
        <v>0.36865032586751217</v>
      </c>
      <c r="H371" s="47"/>
      <c r="I371" s="47"/>
      <c r="J371" s="207">
        <v>1046.5847999999999</v>
      </c>
      <c r="K371" s="50">
        <f t="shared" ref="K371" si="655">J371/$J$481</f>
        <v>7.863818149717876E-4</v>
      </c>
      <c r="L371" s="47"/>
      <c r="M371" s="207">
        <v>152362</v>
      </c>
      <c r="N371" s="207">
        <v>3849.6975185642004</v>
      </c>
      <c r="O371" s="49">
        <f t="shared" si="594"/>
        <v>2803.1127185642008</v>
      </c>
      <c r="P371" s="50">
        <f t="shared" si="595"/>
        <v>0.728138432966978</v>
      </c>
      <c r="Q371" s="50">
        <f t="shared" si="596"/>
        <v>0.271861567033022</v>
      </c>
      <c r="R371" s="50">
        <f t="shared" si="597"/>
        <v>0</v>
      </c>
      <c r="S371" s="50">
        <f t="shared" si="598"/>
        <v>0.271861567033022</v>
      </c>
      <c r="T371" s="50">
        <f t="shared" si="643"/>
        <v>-0.271861567033022</v>
      </c>
      <c r="U371" s="298"/>
      <c r="V371" s="298"/>
      <c r="W371" s="298"/>
      <c r="X371" s="113"/>
      <c r="Y371" s="113"/>
      <c r="Z371" s="113"/>
      <c r="AA371" s="113"/>
      <c r="AB371" s="113"/>
      <c r="AC371" s="113"/>
      <c r="AD371" s="113"/>
      <c r="AE371" s="113"/>
      <c r="AF371" s="113"/>
      <c r="AG371" s="113"/>
      <c r="AH371" s="113"/>
      <c r="AI371" s="113"/>
      <c r="AJ371" s="113"/>
      <c r="AK371" s="113"/>
      <c r="AL371" s="113"/>
      <c r="AM371" s="113"/>
      <c r="AN371" s="113"/>
      <c r="AO371" s="113"/>
      <c r="AP371" s="113"/>
      <c r="AQ371" s="113"/>
      <c r="AR371" s="113"/>
      <c r="AS371" s="113"/>
      <c r="AT371" s="113"/>
      <c r="AU371" s="113"/>
      <c r="AV371" s="113"/>
      <c r="AW371" s="113"/>
      <c r="AX371" s="113"/>
      <c r="AY371" s="113"/>
      <c r="AZ371" s="113"/>
      <c r="BA371" s="113"/>
    </row>
    <row r="372" spans="2:53" x14ac:dyDescent="0.25">
      <c r="B372" s="47">
        <f t="shared" si="599"/>
        <v>1</v>
      </c>
      <c r="C372" s="47">
        <f t="shared" si="641"/>
        <v>16</v>
      </c>
      <c r="D372" s="47" t="str">
        <f>D369</f>
        <v>NYSEG</v>
      </c>
      <c r="E372" s="48">
        <v>2017</v>
      </c>
      <c r="F372" s="207">
        <v>47.18</v>
      </c>
      <c r="G372" s="50">
        <f t="shared" si="592"/>
        <v>0.34633464377173984</v>
      </c>
      <c r="H372" s="47"/>
      <c r="I372" s="47"/>
      <c r="J372" s="207">
        <v>1172.6592000000001</v>
      </c>
      <c r="K372" s="50">
        <f t="shared" ref="K372" si="656">J372/$J$482</f>
        <v>9.0067638105292293E-4</v>
      </c>
      <c r="L372" s="47"/>
      <c r="M372" s="207">
        <v>143139</v>
      </c>
      <c r="N372" s="207">
        <v>4404.7311977476484</v>
      </c>
      <c r="O372" s="49">
        <f t="shared" si="594"/>
        <v>3232.0719977476483</v>
      </c>
      <c r="P372" s="50">
        <f t="shared" si="595"/>
        <v>0.73377281215261503</v>
      </c>
      <c r="Q372" s="50">
        <f t="shared" si="596"/>
        <v>0.26622718784738497</v>
      </c>
      <c r="R372" s="50">
        <f t="shared" si="597"/>
        <v>0</v>
      </c>
      <c r="S372" s="50">
        <f t="shared" si="598"/>
        <v>0.26622718784738497</v>
      </c>
      <c r="T372" s="50">
        <f t="shared" si="643"/>
        <v>-0.26622718784738497</v>
      </c>
      <c r="U372" s="298"/>
      <c r="V372" s="298"/>
      <c r="W372" s="298"/>
      <c r="X372" s="113"/>
      <c r="Y372" s="113"/>
      <c r="Z372" s="113"/>
      <c r="AA372" s="113"/>
      <c r="AB372" s="113"/>
      <c r="AC372" s="113"/>
      <c r="AD372" s="113"/>
      <c r="AE372" s="113"/>
      <c r="AF372" s="113"/>
      <c r="AG372" s="113"/>
      <c r="AH372" s="113"/>
      <c r="AI372" s="113"/>
      <c r="AJ372" s="113"/>
      <c r="AK372" s="113"/>
      <c r="AL372" s="113"/>
      <c r="AM372" s="113"/>
      <c r="AN372" s="113"/>
      <c r="AO372" s="113"/>
      <c r="AP372" s="113"/>
      <c r="AQ372" s="113"/>
      <c r="AR372" s="113"/>
      <c r="AS372" s="113"/>
      <c r="AT372" s="113"/>
      <c r="AU372" s="113"/>
      <c r="AV372" s="113"/>
      <c r="AW372" s="113"/>
      <c r="AX372" s="113"/>
      <c r="AY372" s="113"/>
      <c r="AZ372" s="113"/>
      <c r="BA372" s="113"/>
    </row>
    <row r="373" spans="2:53" x14ac:dyDescent="0.25">
      <c r="B373" s="47">
        <f t="shared" si="599"/>
        <v>1</v>
      </c>
      <c r="C373" s="47">
        <f t="shared" ref="C373:C378" si="657">IF(D373=D372,C372,C372+1)</f>
        <v>16</v>
      </c>
      <c r="D373" s="47" t="str">
        <f t="shared" ref="D373:D376" si="658">D370</f>
        <v>NYSEG</v>
      </c>
      <c r="E373" s="48">
        <v>2018</v>
      </c>
      <c r="F373" s="207">
        <v>47.18</v>
      </c>
      <c r="G373" s="50">
        <f t="shared" ref="G373" si="659">M373/(F373*8760)</f>
        <v>0.43106793955336697</v>
      </c>
      <c r="H373" s="47"/>
      <c r="I373" s="47"/>
      <c r="J373" s="207">
        <v>819.81</v>
      </c>
      <c r="K373" s="50">
        <f t="shared" ref="K373" si="660">J373/$J$483</f>
        <v>5.8428335561576763E-4</v>
      </c>
      <c r="L373" s="47"/>
      <c r="M373" s="208">
        <v>178159</v>
      </c>
      <c r="N373" s="207">
        <v>6242.7009318791306</v>
      </c>
      <c r="O373" s="49">
        <f t="shared" ref="O373:O375" si="661">N373-J373</f>
        <v>5422.8909318791302</v>
      </c>
      <c r="P373" s="50">
        <f t="shared" ref="P373:P375" si="662">O373/N373</f>
        <v>0.86867703435646926</v>
      </c>
      <c r="Q373" s="50">
        <f t="shared" ref="Q373:Q375" si="663">1-P373</f>
        <v>0.13132296564353074</v>
      </c>
      <c r="R373" s="50">
        <f t="shared" ref="R373:R375" si="664">Q373*L373</f>
        <v>0</v>
      </c>
      <c r="S373" s="50">
        <f t="shared" ref="S373:S375" si="665">Q373-R373</f>
        <v>0.13132296564353074</v>
      </c>
      <c r="T373" s="50">
        <f t="shared" ref="T373:T375" si="666">R373-S373</f>
        <v>-0.13132296564353074</v>
      </c>
      <c r="U373" s="298"/>
      <c r="V373" s="298"/>
      <c r="W373" s="298"/>
      <c r="X373" s="113"/>
      <c r="Y373" s="113"/>
      <c r="Z373" s="113"/>
      <c r="AA373" s="113"/>
      <c r="AB373" s="113"/>
      <c r="AC373" s="113"/>
      <c r="AD373" s="113"/>
      <c r="AE373" s="113"/>
      <c r="AF373" s="113"/>
      <c r="AG373" s="113"/>
      <c r="AH373" s="113"/>
      <c r="AI373" s="113"/>
      <c r="AJ373" s="113"/>
      <c r="AK373" s="113"/>
      <c r="AL373" s="113"/>
      <c r="AM373" s="113"/>
      <c r="AN373" s="113"/>
      <c r="AO373" s="113"/>
      <c r="AP373" s="113"/>
      <c r="AQ373" s="113"/>
      <c r="AR373" s="113"/>
      <c r="AS373" s="113"/>
      <c r="AT373" s="113"/>
      <c r="AU373" s="113"/>
      <c r="AV373" s="113"/>
      <c r="AW373" s="113"/>
      <c r="AX373" s="113"/>
      <c r="AY373" s="113"/>
      <c r="AZ373" s="113"/>
      <c r="BA373" s="113"/>
    </row>
    <row r="374" spans="2:53" x14ac:dyDescent="0.25">
      <c r="B374" s="47">
        <f t="shared" si="599"/>
        <v>1</v>
      </c>
      <c r="C374" s="47">
        <f t="shared" si="657"/>
        <v>16</v>
      </c>
      <c r="D374" s="47" t="str">
        <f t="shared" si="658"/>
        <v>NYSEG</v>
      </c>
      <c r="E374" s="48">
        <v>2019</v>
      </c>
      <c r="F374" s="207">
        <v>47.18</v>
      </c>
      <c r="G374" s="50">
        <f t="shared" si="592"/>
        <v>0.24558644054345449</v>
      </c>
      <c r="H374" s="47"/>
      <c r="I374" s="47"/>
      <c r="J374" s="207">
        <v>1159.8804</v>
      </c>
      <c r="K374" s="50">
        <f t="shared" ref="K374" si="667">J374/$J$484</f>
        <v>8.4233583958877594E-4</v>
      </c>
      <c r="L374" s="47"/>
      <c r="M374" s="207">
        <v>101500.09</v>
      </c>
      <c r="N374" s="207">
        <v>3275.0299183698721</v>
      </c>
      <c r="O374" s="49">
        <f t="shared" si="661"/>
        <v>2115.1495183698721</v>
      </c>
      <c r="P374" s="50">
        <f t="shared" si="662"/>
        <v>0.64584128117604378</v>
      </c>
      <c r="Q374" s="50">
        <f t="shared" si="663"/>
        <v>0.35415871882395622</v>
      </c>
      <c r="R374" s="50">
        <f t="shared" si="664"/>
        <v>0</v>
      </c>
      <c r="S374" s="50">
        <f t="shared" si="665"/>
        <v>0.35415871882395622</v>
      </c>
      <c r="T374" s="50">
        <f t="shared" si="666"/>
        <v>-0.35415871882395622</v>
      </c>
      <c r="U374" s="298"/>
      <c r="V374" s="298"/>
      <c r="W374" s="298"/>
      <c r="X374" s="113"/>
      <c r="Y374" s="113"/>
      <c r="Z374" s="113"/>
      <c r="AA374" s="113"/>
      <c r="AB374" s="113"/>
      <c r="AC374" s="113"/>
      <c r="AD374" s="113"/>
      <c r="AE374" s="113"/>
      <c r="AF374" s="113"/>
      <c r="AG374" s="113"/>
      <c r="AH374" s="113"/>
      <c r="AI374" s="113"/>
      <c r="AJ374" s="113"/>
      <c r="AK374" s="113"/>
      <c r="AL374" s="113"/>
      <c r="AM374" s="113"/>
      <c r="AN374" s="113"/>
      <c r="AO374" s="113"/>
      <c r="AP374" s="113"/>
      <c r="AQ374" s="113"/>
      <c r="AR374" s="113"/>
      <c r="AS374" s="113"/>
      <c r="AT374" s="113"/>
      <c r="AU374" s="113"/>
      <c r="AV374" s="113"/>
      <c r="AW374" s="113"/>
      <c r="AX374" s="113"/>
      <c r="AY374" s="113"/>
      <c r="AZ374" s="113"/>
      <c r="BA374" s="113"/>
    </row>
    <row r="375" spans="2:53" x14ac:dyDescent="0.25">
      <c r="B375" s="47">
        <f t="shared" si="599"/>
        <v>1</v>
      </c>
      <c r="C375" s="47">
        <f t="shared" si="657"/>
        <v>16</v>
      </c>
      <c r="D375" s="47" t="str">
        <f t="shared" si="658"/>
        <v>NYSEG</v>
      </c>
      <c r="E375" s="48">
        <v>2020</v>
      </c>
      <c r="F375" s="207">
        <v>47.18</v>
      </c>
      <c r="G375" s="50">
        <f t="shared" si="592"/>
        <v>0.17926615933150222</v>
      </c>
      <c r="H375" s="47"/>
      <c r="I375" s="47"/>
      <c r="J375" s="207">
        <v>1654.7195999999999</v>
      </c>
      <c r="K375" s="50">
        <f t="shared" ref="K375" si="668">J375/$J$485</f>
        <v>1.1947745054644331E-3</v>
      </c>
      <c r="L375" s="47"/>
      <c r="M375" s="207">
        <v>74090.13</v>
      </c>
      <c r="N375" s="207">
        <v>1899.3495526669406</v>
      </c>
      <c r="O375" s="49">
        <f t="shared" si="661"/>
        <v>244.62995266694065</v>
      </c>
      <c r="P375" s="50">
        <f t="shared" si="662"/>
        <v>0.12879669901911817</v>
      </c>
      <c r="Q375" s="50">
        <f t="shared" si="663"/>
        <v>0.87120330098088183</v>
      </c>
      <c r="R375" s="50">
        <f t="shared" si="664"/>
        <v>0</v>
      </c>
      <c r="S375" s="50">
        <f t="shared" si="665"/>
        <v>0.87120330098088183</v>
      </c>
      <c r="T375" s="50">
        <f t="shared" si="666"/>
        <v>-0.87120330098088183</v>
      </c>
      <c r="U375" s="298"/>
      <c r="V375" s="298"/>
      <c r="W375" s="298"/>
      <c r="X375" s="113"/>
      <c r="Y375" s="113"/>
      <c r="Z375" s="113"/>
      <c r="AA375" s="113"/>
      <c r="AB375" s="113"/>
      <c r="AC375" s="113"/>
      <c r="AD375" s="113"/>
      <c r="AE375" s="113"/>
      <c r="AF375" s="113"/>
      <c r="AG375" s="113"/>
      <c r="AH375" s="113"/>
      <c r="AI375" s="113"/>
      <c r="AJ375" s="113"/>
      <c r="AK375" s="113"/>
      <c r="AL375" s="113"/>
      <c r="AM375" s="113"/>
      <c r="AN375" s="113"/>
      <c r="AO375" s="113"/>
      <c r="AP375" s="113"/>
      <c r="AQ375" s="113"/>
      <c r="AR375" s="113"/>
      <c r="AS375" s="113"/>
      <c r="AT375" s="113"/>
      <c r="AU375" s="113"/>
      <c r="AV375" s="113"/>
      <c r="AW375" s="113"/>
      <c r="AX375" s="113"/>
      <c r="AY375" s="113"/>
      <c r="AZ375" s="113"/>
      <c r="BA375" s="113"/>
    </row>
    <row r="376" spans="2:53" x14ac:dyDescent="0.25">
      <c r="B376" s="47">
        <f t="shared" si="599"/>
        <v>1</v>
      </c>
      <c r="C376" s="47">
        <f t="shared" si="657"/>
        <v>16</v>
      </c>
      <c r="D376" s="47" t="str">
        <f t="shared" si="658"/>
        <v>NYSEG</v>
      </c>
      <c r="E376" s="48">
        <v>2021</v>
      </c>
      <c r="F376" s="207">
        <v>47.18</v>
      </c>
      <c r="G376" s="50">
        <f t="shared" si="592"/>
        <v>0.24558644054345449</v>
      </c>
      <c r="H376" s="47"/>
      <c r="I376" s="47"/>
      <c r="J376" s="207">
        <v>1888.8634799999998</v>
      </c>
      <c r="K376" s="50">
        <f t="shared" ref="K376" si="669">J376/$J$486</f>
        <v>1.3035774695245629E-3</v>
      </c>
      <c r="L376" s="47"/>
      <c r="M376" s="207">
        <v>101500.09</v>
      </c>
      <c r="N376" s="207">
        <v>5397.3517897518095</v>
      </c>
      <c r="O376" s="49">
        <f t="shared" ref="O376:O378" si="670">N376-J376</f>
        <v>3508.4883097518095</v>
      </c>
      <c r="P376" s="50">
        <f t="shared" ref="P376:P378" si="671">O376/N376</f>
        <v>0.6500388424585426</v>
      </c>
      <c r="Q376" s="50">
        <f t="shared" ref="Q376:Q378" si="672">1-P376</f>
        <v>0.3499611575414574</v>
      </c>
      <c r="R376" s="50">
        <f t="shared" ref="R376:R378" si="673">Q376*L376</f>
        <v>0</v>
      </c>
      <c r="S376" s="50">
        <f t="shared" ref="S376:S378" si="674">Q376-R376</f>
        <v>0.3499611575414574</v>
      </c>
      <c r="T376" s="50">
        <f t="shared" ref="T376:T378" si="675">R376-S376</f>
        <v>-0.3499611575414574</v>
      </c>
      <c r="U376" s="298"/>
      <c r="V376" s="298"/>
      <c r="W376" s="298"/>
      <c r="X376" s="113"/>
      <c r="Y376" s="113"/>
      <c r="Z376" s="113"/>
      <c r="AA376" s="113"/>
      <c r="AB376" s="113"/>
      <c r="AC376" s="113"/>
      <c r="AD376" s="113"/>
      <c r="AE376" s="113"/>
      <c r="AF376" s="113"/>
      <c r="AG376" s="113"/>
      <c r="AH376" s="113"/>
      <c r="AI376" s="113"/>
      <c r="AJ376" s="113"/>
      <c r="AK376" s="113"/>
      <c r="AL376" s="113"/>
      <c r="AM376" s="113"/>
      <c r="AN376" s="113"/>
      <c r="AO376" s="113"/>
      <c r="AP376" s="113"/>
      <c r="AQ376" s="113"/>
      <c r="AR376" s="113"/>
      <c r="AS376" s="113"/>
      <c r="AT376" s="113"/>
      <c r="AU376" s="113"/>
      <c r="AV376" s="113"/>
      <c r="AW376" s="113"/>
      <c r="AX376" s="113"/>
      <c r="AY376" s="113"/>
      <c r="AZ376" s="113"/>
      <c r="BA376" s="113"/>
    </row>
    <row r="377" spans="2:53" x14ac:dyDescent="0.25">
      <c r="B377" s="47">
        <f t="shared" si="599"/>
        <v>1</v>
      </c>
      <c r="C377" s="47">
        <f t="shared" si="657"/>
        <v>16</v>
      </c>
      <c r="D377" s="47" t="str">
        <f t="shared" ref="D377:D378" si="676">D374</f>
        <v>NYSEG</v>
      </c>
      <c r="E377" s="48">
        <v>2022</v>
      </c>
      <c r="F377" s="207">
        <v>47.18</v>
      </c>
      <c r="G377" s="50">
        <f t="shared" si="592"/>
        <v>0.28931266586143423</v>
      </c>
      <c r="H377" s="47"/>
      <c r="I377" s="47"/>
      <c r="J377" s="207">
        <v>1914.8856000000001</v>
      </c>
      <c r="K377" s="50">
        <f t="shared" ref="K377" si="677">J377/$J$487</f>
        <v>1.302514932550273E-3</v>
      </c>
      <c r="L377" s="47"/>
      <c r="M377" s="207">
        <v>119571.999</v>
      </c>
      <c r="N377" s="207">
        <v>13900.675669261002</v>
      </c>
      <c r="O377" s="49">
        <f t="shared" si="670"/>
        <v>11985.790069261002</v>
      </c>
      <c r="P377" s="50">
        <f t="shared" si="671"/>
        <v>0.86224514221028503</v>
      </c>
      <c r="Q377" s="50">
        <f t="shared" si="672"/>
        <v>0.13775485778971497</v>
      </c>
      <c r="R377" s="50">
        <f t="shared" si="673"/>
        <v>0</v>
      </c>
      <c r="S377" s="50">
        <f t="shared" si="674"/>
        <v>0.13775485778971497</v>
      </c>
      <c r="T377" s="50">
        <f t="shared" si="675"/>
        <v>-0.13775485778971497</v>
      </c>
      <c r="U377" s="298"/>
      <c r="V377" s="298"/>
      <c r="W377" s="298"/>
      <c r="X377" s="113"/>
      <c r="Y377" s="113"/>
      <c r="Z377" s="113"/>
      <c r="AA377" s="113"/>
      <c r="AB377" s="113"/>
      <c r="AC377" s="113"/>
      <c r="AD377" s="113"/>
      <c r="AE377" s="113"/>
      <c r="AF377" s="113"/>
      <c r="AG377" s="113"/>
      <c r="AH377" s="113"/>
      <c r="AI377" s="113"/>
      <c r="AJ377" s="113"/>
      <c r="AK377" s="113"/>
      <c r="AL377" s="113"/>
      <c r="AM377" s="113"/>
      <c r="AN377" s="113"/>
      <c r="AO377" s="113"/>
      <c r="AP377" s="113"/>
      <c r="AQ377" s="113"/>
      <c r="AR377" s="113"/>
      <c r="AS377" s="113"/>
      <c r="AT377" s="113"/>
      <c r="AU377" s="113"/>
      <c r="AV377" s="113"/>
      <c r="AW377" s="113"/>
      <c r="AX377" s="113"/>
      <c r="AY377" s="113"/>
      <c r="AZ377" s="113"/>
      <c r="BA377" s="113"/>
    </row>
    <row r="378" spans="2:53" x14ac:dyDescent="0.25">
      <c r="B378" s="47">
        <f t="shared" si="599"/>
        <v>1</v>
      </c>
      <c r="C378" s="47">
        <f t="shared" si="657"/>
        <v>16</v>
      </c>
      <c r="D378" s="47" t="str">
        <f t="shared" si="676"/>
        <v>NYSEG</v>
      </c>
      <c r="E378" s="48">
        <v>2023</v>
      </c>
      <c r="F378" s="207">
        <v>47.18</v>
      </c>
      <c r="G378" s="50">
        <f t="shared" si="592"/>
        <v>0.406783933483153</v>
      </c>
      <c r="H378" s="47"/>
      <c r="I378" s="47"/>
      <c r="J378" s="207">
        <v>2423.0531999999998</v>
      </c>
      <c r="K378" s="50">
        <f t="shared" ref="K378" si="678">J378/$J$488</f>
        <v>1.5169441277358285E-3</v>
      </c>
      <c r="L378" s="47"/>
      <c r="M378" s="208">
        <v>168122.49799999999</v>
      </c>
      <c r="N378" s="207">
        <v>7007.2325467178262</v>
      </c>
      <c r="O378" s="49">
        <f t="shared" si="670"/>
        <v>4584.1793467178268</v>
      </c>
      <c r="P378" s="50">
        <f t="shared" si="671"/>
        <v>0.65420682361470184</v>
      </c>
      <c r="Q378" s="50">
        <f t="shared" si="672"/>
        <v>0.34579317638529816</v>
      </c>
      <c r="R378" s="50">
        <f t="shared" si="673"/>
        <v>0</v>
      </c>
      <c r="S378" s="50">
        <f t="shared" si="674"/>
        <v>0.34579317638529816</v>
      </c>
      <c r="T378" s="50">
        <f t="shared" si="675"/>
        <v>-0.34579317638529816</v>
      </c>
      <c r="U378" s="298"/>
      <c r="V378" s="298"/>
      <c r="W378" s="298"/>
      <c r="X378" s="113"/>
      <c r="Y378" s="113"/>
      <c r="Z378" s="113"/>
      <c r="AA378" s="113"/>
      <c r="AB378" s="113"/>
      <c r="AC378" s="113"/>
      <c r="AD378" s="113"/>
      <c r="AE378" s="113"/>
      <c r="AF378" s="113"/>
      <c r="AG378" s="113"/>
      <c r="AH378" s="113"/>
      <c r="AI378" s="113"/>
      <c r="AJ378" s="113"/>
      <c r="AK378" s="113"/>
      <c r="AL378" s="113"/>
      <c r="AM378" s="113"/>
      <c r="AN378" s="113"/>
      <c r="AO378" s="113"/>
      <c r="AP378" s="113"/>
      <c r="AQ378" s="113"/>
      <c r="AR378" s="113"/>
      <c r="AS378" s="113"/>
      <c r="AT378" s="113"/>
      <c r="AU378" s="113"/>
      <c r="AV378" s="113"/>
      <c r="AW378" s="113"/>
      <c r="AX378" s="113"/>
      <c r="AY378" s="113"/>
      <c r="AZ378" s="113"/>
      <c r="BA378" s="113"/>
    </row>
    <row r="379" spans="2:53" x14ac:dyDescent="0.25">
      <c r="B379" s="44">
        <f t="shared" si="599"/>
        <v>1</v>
      </c>
      <c r="C379" s="44">
        <f t="shared" si="641"/>
        <v>17</v>
      </c>
      <c r="D379" s="44" t="str">
        <f>'OPG hydro peers'!D21</f>
        <v>SEPA</v>
      </c>
      <c r="E379" s="45">
        <v>2002</v>
      </c>
      <c r="F379" s="206">
        <v>3412</v>
      </c>
      <c r="G379" s="51">
        <f t="shared" si="592"/>
        <v>0.17938771700203954</v>
      </c>
      <c r="H379" s="46"/>
      <c r="I379" s="46"/>
      <c r="J379" s="206">
        <v>69775.199999999997</v>
      </c>
      <c r="K379" s="51">
        <f t="shared" ref="K379" si="679">J379/$J$467</f>
        <v>9.0929380533352214E-2</v>
      </c>
      <c r="L379" s="51"/>
      <c r="M379" s="206">
        <v>5361741</v>
      </c>
      <c r="N379" s="206">
        <v>161290.79999999999</v>
      </c>
      <c r="O379" s="46">
        <f t="shared" si="594"/>
        <v>91515.599999999991</v>
      </c>
      <c r="P379" s="51">
        <f t="shared" si="595"/>
        <v>0.56739504051068013</v>
      </c>
      <c r="Q379" s="51">
        <f t="shared" si="596"/>
        <v>0.43260495948931987</v>
      </c>
      <c r="R379" s="51">
        <f t="shared" si="597"/>
        <v>0</v>
      </c>
      <c r="S379" s="51">
        <f t="shared" si="598"/>
        <v>0.43260495948931987</v>
      </c>
      <c r="T379" s="51">
        <f t="shared" si="643"/>
        <v>-0.43260495948931987</v>
      </c>
      <c r="U379" s="298"/>
      <c r="V379" s="298"/>
      <c r="W379" s="298"/>
      <c r="X379" s="113"/>
      <c r="Y379" s="113"/>
      <c r="Z379" s="113"/>
      <c r="AA379" s="113"/>
      <c r="AB379" s="113"/>
      <c r="AC379" s="113"/>
      <c r="AD379" s="113"/>
      <c r="AE379" s="113"/>
      <c r="AF379" s="113"/>
      <c r="AG379" s="113"/>
      <c r="AH379" s="113"/>
      <c r="AI379" s="113"/>
      <c r="AJ379" s="113"/>
      <c r="AK379" s="113"/>
      <c r="AL379" s="113"/>
      <c r="AM379" s="113"/>
      <c r="AN379" s="113"/>
      <c r="AO379" s="113"/>
      <c r="AP379" s="113"/>
      <c r="AQ379" s="113"/>
      <c r="AR379" s="113"/>
      <c r="AS379" s="113"/>
      <c r="AT379" s="113"/>
      <c r="AU379" s="113"/>
      <c r="AV379" s="113"/>
      <c r="AW379" s="113"/>
      <c r="AX379" s="113"/>
      <c r="AY379" s="113"/>
      <c r="AZ379" s="113"/>
      <c r="BA379" s="113"/>
    </row>
    <row r="380" spans="2:53" x14ac:dyDescent="0.25">
      <c r="B380" s="44">
        <f t="shared" si="599"/>
        <v>1</v>
      </c>
      <c r="C380" s="44">
        <f t="shared" si="641"/>
        <v>17</v>
      </c>
      <c r="D380" s="44" t="str">
        <f t="shared" ref="D380:D387" si="680">D379</f>
        <v>SEPA</v>
      </c>
      <c r="E380" s="45">
        <v>2003</v>
      </c>
      <c r="F380" s="206">
        <v>3412</v>
      </c>
      <c r="G380" s="51">
        <f t="shared" si="592"/>
        <v>0.31167187257436818</v>
      </c>
      <c r="H380" s="46"/>
      <c r="I380" s="46"/>
      <c r="J380" s="206">
        <v>80736</v>
      </c>
      <c r="K380" s="51">
        <f t="shared" ref="K380" si="681">J380/$J$468</f>
        <v>9.5197323435074754E-2</v>
      </c>
      <c r="L380" s="51"/>
      <c r="M380" s="206">
        <v>9315598</v>
      </c>
      <c r="N380" s="206">
        <v>206625.6</v>
      </c>
      <c r="O380" s="46">
        <f t="shared" si="594"/>
        <v>125889.60000000001</v>
      </c>
      <c r="P380" s="51">
        <f t="shared" si="595"/>
        <v>0.60926429251748093</v>
      </c>
      <c r="Q380" s="51">
        <f t="shared" si="596"/>
        <v>0.39073570748251907</v>
      </c>
      <c r="R380" s="51">
        <f t="shared" si="597"/>
        <v>0</v>
      </c>
      <c r="S380" s="51">
        <f t="shared" si="598"/>
        <v>0.39073570748251907</v>
      </c>
      <c r="T380" s="51">
        <f t="shared" si="643"/>
        <v>-0.39073570748251907</v>
      </c>
      <c r="U380" s="298"/>
      <c r="V380" s="298"/>
      <c r="W380" s="298"/>
      <c r="X380" s="113"/>
      <c r="Y380" s="113"/>
      <c r="Z380" s="113"/>
      <c r="AA380" s="113"/>
      <c r="AB380" s="113"/>
      <c r="AC380" s="113"/>
      <c r="AD380" s="113"/>
      <c r="AE380" s="113"/>
      <c r="AF380" s="113"/>
      <c r="AG380" s="113"/>
      <c r="AH380" s="113"/>
      <c r="AI380" s="113"/>
      <c r="AJ380" s="113"/>
      <c r="AK380" s="113"/>
      <c r="AL380" s="113"/>
      <c r="AM380" s="113"/>
      <c r="AN380" s="113"/>
      <c r="AO380" s="113"/>
      <c r="AP380" s="113"/>
      <c r="AQ380" s="113"/>
      <c r="AR380" s="113"/>
      <c r="AS380" s="113"/>
      <c r="AT380" s="113"/>
      <c r="AU380" s="113"/>
      <c r="AV380" s="113"/>
      <c r="AW380" s="113"/>
      <c r="AX380" s="113"/>
      <c r="AY380" s="113"/>
      <c r="AZ380" s="113"/>
      <c r="BA380" s="113"/>
    </row>
    <row r="381" spans="2:53" x14ac:dyDescent="0.25">
      <c r="B381" s="44">
        <f t="shared" si="599"/>
        <v>1</v>
      </c>
      <c r="C381" s="44">
        <f t="shared" si="641"/>
        <v>17</v>
      </c>
      <c r="D381" s="44" t="str">
        <f t="shared" si="680"/>
        <v>SEPA</v>
      </c>
      <c r="E381" s="45">
        <v>2004</v>
      </c>
      <c r="F381" s="206">
        <v>3412</v>
      </c>
      <c r="G381" s="51">
        <f t="shared" si="592"/>
        <v>0.27881433110108295</v>
      </c>
      <c r="H381" s="46"/>
      <c r="I381" s="46"/>
      <c r="J381" s="206">
        <v>82273.2</v>
      </c>
      <c r="K381" s="51">
        <f t="shared" ref="K381" si="682">J381/$J$469</f>
        <v>9.31095666030064E-2</v>
      </c>
      <c r="L381" s="51"/>
      <c r="M381" s="206">
        <v>8333515</v>
      </c>
      <c r="N381" s="206">
        <v>233734.8</v>
      </c>
      <c r="O381" s="46">
        <f t="shared" si="594"/>
        <v>151461.59999999998</v>
      </c>
      <c r="P381" s="51">
        <f t="shared" si="595"/>
        <v>0.64800620190061553</v>
      </c>
      <c r="Q381" s="51">
        <f t="shared" si="596"/>
        <v>0.35199379809938447</v>
      </c>
      <c r="R381" s="51">
        <f t="shared" si="597"/>
        <v>0</v>
      </c>
      <c r="S381" s="51">
        <f t="shared" si="598"/>
        <v>0.35199379809938447</v>
      </c>
      <c r="T381" s="51">
        <f t="shared" si="643"/>
        <v>-0.35199379809938447</v>
      </c>
      <c r="U381" s="298"/>
      <c r="V381" s="298"/>
      <c r="W381" s="298"/>
      <c r="X381" s="113"/>
      <c r="Y381" s="113"/>
      <c r="Z381" s="113"/>
      <c r="AA381" s="113"/>
      <c r="AB381" s="113"/>
      <c r="AC381" s="113"/>
      <c r="AD381" s="113"/>
      <c r="AE381" s="113"/>
      <c r="AF381" s="113"/>
      <c r="AG381" s="113"/>
      <c r="AH381" s="113"/>
      <c r="AI381" s="113"/>
      <c r="AJ381" s="113"/>
      <c r="AK381" s="113"/>
      <c r="AL381" s="113"/>
      <c r="AM381" s="113"/>
      <c r="AN381" s="113"/>
      <c r="AO381" s="113"/>
      <c r="AP381" s="113"/>
      <c r="AQ381" s="113"/>
      <c r="AR381" s="113"/>
      <c r="AS381" s="113"/>
      <c r="AT381" s="113"/>
      <c r="AU381" s="113"/>
      <c r="AV381" s="113"/>
      <c r="AW381" s="113"/>
      <c r="AX381" s="113"/>
      <c r="AY381" s="113"/>
      <c r="AZ381" s="113"/>
      <c r="BA381" s="113"/>
    </row>
    <row r="382" spans="2:53" x14ac:dyDescent="0.25">
      <c r="B382" s="44">
        <f t="shared" si="599"/>
        <v>1</v>
      </c>
      <c r="C382" s="44">
        <f t="shared" si="641"/>
        <v>17</v>
      </c>
      <c r="D382" s="44" t="str">
        <f t="shared" si="680"/>
        <v>SEPA</v>
      </c>
      <c r="E382" s="45">
        <v>2005</v>
      </c>
      <c r="F382" s="206">
        <v>3392</v>
      </c>
      <c r="G382" s="51">
        <f t="shared" si="592"/>
        <v>0.3117265241341432</v>
      </c>
      <c r="H382" s="46"/>
      <c r="I382" s="46"/>
      <c r="J382" s="206">
        <v>81597.599999999991</v>
      </c>
      <c r="K382" s="51">
        <f t="shared" ref="K382" si="683">J382/$J$470</f>
        <v>8.7832843693294749E-2</v>
      </c>
      <c r="L382" s="51"/>
      <c r="M382" s="206">
        <v>9262617</v>
      </c>
      <c r="N382" s="206">
        <v>240157.19999999998</v>
      </c>
      <c r="O382" s="46">
        <f t="shared" si="594"/>
        <v>158559.59999999998</v>
      </c>
      <c r="P382" s="51">
        <f t="shared" si="595"/>
        <v>0.66023254768126871</v>
      </c>
      <c r="Q382" s="51">
        <f t="shared" si="596"/>
        <v>0.33976745231873129</v>
      </c>
      <c r="R382" s="51">
        <f t="shared" si="597"/>
        <v>0</v>
      </c>
      <c r="S382" s="51">
        <f t="shared" si="598"/>
        <v>0.33976745231873129</v>
      </c>
      <c r="T382" s="51">
        <f t="shared" si="643"/>
        <v>-0.33976745231873129</v>
      </c>
      <c r="U382" s="298"/>
      <c r="V382" s="298"/>
      <c r="W382" s="298"/>
      <c r="X382" s="113"/>
      <c r="Y382" s="113"/>
      <c r="Z382" s="113"/>
      <c r="AA382" s="113"/>
      <c r="AB382" s="113"/>
      <c r="AC382" s="113"/>
      <c r="AD382" s="113"/>
      <c r="AE382" s="113"/>
      <c r="AF382" s="113"/>
      <c r="AG382" s="113"/>
      <c r="AH382" s="113"/>
      <c r="AI382" s="113"/>
      <c r="AJ382" s="113"/>
      <c r="AK382" s="113"/>
      <c r="AL382" s="113"/>
      <c r="AM382" s="113"/>
      <c r="AN382" s="113"/>
      <c r="AO382" s="113"/>
      <c r="AP382" s="113"/>
      <c r="AQ382" s="113"/>
      <c r="AR382" s="113"/>
      <c r="AS382" s="113"/>
      <c r="AT382" s="113"/>
      <c r="AU382" s="113"/>
      <c r="AV382" s="113"/>
      <c r="AW382" s="113"/>
      <c r="AX382" s="113"/>
      <c r="AY382" s="113"/>
      <c r="AZ382" s="113"/>
      <c r="BA382" s="113"/>
    </row>
    <row r="383" spans="2:53" x14ac:dyDescent="0.25">
      <c r="B383" s="44">
        <f t="shared" si="599"/>
        <v>1</v>
      </c>
      <c r="C383" s="44">
        <f t="shared" si="641"/>
        <v>17</v>
      </c>
      <c r="D383" s="44" t="str">
        <f t="shared" si="680"/>
        <v>SEPA</v>
      </c>
      <c r="E383" s="45">
        <v>2006</v>
      </c>
      <c r="F383" s="206">
        <v>3392</v>
      </c>
      <c r="G383" s="51">
        <f t="shared" si="592"/>
        <v>0.190244841474972</v>
      </c>
      <c r="H383" s="46"/>
      <c r="I383" s="46"/>
      <c r="J383" s="206">
        <v>105417.59999999999</v>
      </c>
      <c r="K383" s="51">
        <f t="shared" ref="K383" si="684">J383/$J$471</f>
        <v>0.10709084143804985</v>
      </c>
      <c r="L383" s="51"/>
      <c r="M383" s="206">
        <v>5652920</v>
      </c>
      <c r="N383" s="206">
        <v>214172.4</v>
      </c>
      <c r="O383" s="46">
        <f t="shared" si="594"/>
        <v>108754.8</v>
      </c>
      <c r="P383" s="51">
        <f t="shared" si="595"/>
        <v>0.50779091983841063</v>
      </c>
      <c r="Q383" s="51">
        <f t="shared" si="596"/>
        <v>0.49220908016158937</v>
      </c>
      <c r="R383" s="51">
        <f t="shared" si="597"/>
        <v>0</v>
      </c>
      <c r="S383" s="51">
        <f t="shared" si="598"/>
        <v>0.49220908016158937</v>
      </c>
      <c r="T383" s="51">
        <f t="shared" si="643"/>
        <v>-0.49220908016158937</v>
      </c>
      <c r="U383" s="298"/>
      <c r="V383" s="298"/>
      <c r="W383" s="298"/>
      <c r="X383" s="113"/>
      <c r="Y383" s="113"/>
      <c r="Z383" s="113"/>
      <c r="AA383" s="113"/>
      <c r="AB383" s="113"/>
      <c r="AC383" s="113"/>
      <c r="AD383" s="113"/>
      <c r="AE383" s="113"/>
      <c r="AF383" s="113"/>
      <c r="AG383" s="113"/>
      <c r="AH383" s="113"/>
      <c r="AI383" s="113"/>
      <c r="AJ383" s="113"/>
      <c r="AK383" s="113"/>
      <c r="AL383" s="113"/>
      <c r="AM383" s="113"/>
      <c r="AN383" s="113"/>
      <c r="AO383" s="113"/>
      <c r="AP383" s="113"/>
      <c r="AQ383" s="113"/>
      <c r="AR383" s="113"/>
      <c r="AS383" s="113"/>
      <c r="AT383" s="113"/>
      <c r="AU383" s="113"/>
      <c r="AV383" s="113"/>
      <c r="AW383" s="113"/>
      <c r="AX383" s="113"/>
      <c r="AY383" s="113"/>
      <c r="AZ383" s="113"/>
      <c r="BA383" s="113"/>
    </row>
    <row r="384" spans="2:53" x14ac:dyDescent="0.25">
      <c r="B384" s="44">
        <f t="shared" si="599"/>
        <v>1</v>
      </c>
      <c r="C384" s="44">
        <f t="shared" si="641"/>
        <v>17</v>
      </c>
      <c r="D384" s="44" t="str">
        <f t="shared" si="680"/>
        <v>SEPA</v>
      </c>
      <c r="E384" s="45">
        <v>2007</v>
      </c>
      <c r="F384" s="206">
        <v>3392</v>
      </c>
      <c r="G384" s="51">
        <f t="shared" si="592"/>
        <v>0.17611237426768331</v>
      </c>
      <c r="H384" s="46"/>
      <c r="I384" s="46"/>
      <c r="J384" s="206">
        <v>93842.4</v>
      </c>
      <c r="K384" s="51">
        <f t="shared" ref="K384" si="685">J384/$J$472</f>
        <v>8.8038277391009445E-2</v>
      </c>
      <c r="L384" s="51"/>
      <c r="M384" s="206">
        <v>5232989</v>
      </c>
      <c r="N384" s="206">
        <v>211188</v>
      </c>
      <c r="O384" s="46">
        <f t="shared" si="594"/>
        <v>117345.60000000001</v>
      </c>
      <c r="P384" s="51">
        <f t="shared" si="595"/>
        <v>0.55564520711404064</v>
      </c>
      <c r="Q384" s="51">
        <f t="shared" si="596"/>
        <v>0.44435479288595936</v>
      </c>
      <c r="R384" s="51">
        <f t="shared" si="597"/>
        <v>0</v>
      </c>
      <c r="S384" s="51">
        <f t="shared" si="598"/>
        <v>0.44435479288595936</v>
      </c>
      <c r="T384" s="51">
        <f t="shared" si="643"/>
        <v>-0.44435479288595936</v>
      </c>
      <c r="U384" s="298"/>
      <c r="V384" s="298"/>
      <c r="W384" s="298"/>
      <c r="X384" s="113"/>
      <c r="Y384" s="113"/>
      <c r="Z384" s="113"/>
      <c r="AA384" s="113"/>
      <c r="AB384" s="113"/>
      <c r="AC384" s="113"/>
      <c r="AD384" s="113"/>
      <c r="AE384" s="113"/>
      <c r="AF384" s="113"/>
      <c r="AG384" s="113"/>
      <c r="AH384" s="113"/>
      <c r="AI384" s="113"/>
      <c r="AJ384" s="113"/>
      <c r="AK384" s="113"/>
      <c r="AL384" s="113"/>
      <c r="AM384" s="113"/>
      <c r="AN384" s="113"/>
      <c r="AO384" s="113"/>
      <c r="AP384" s="113"/>
      <c r="AQ384" s="113"/>
      <c r="AR384" s="113"/>
      <c r="AS384" s="113"/>
      <c r="AT384" s="113"/>
      <c r="AU384" s="113"/>
      <c r="AV384" s="113"/>
      <c r="AW384" s="113"/>
      <c r="AX384" s="113"/>
      <c r="AY384" s="113"/>
      <c r="AZ384" s="113"/>
      <c r="BA384" s="113"/>
    </row>
    <row r="385" spans="2:53" x14ac:dyDescent="0.25">
      <c r="B385" s="44">
        <f t="shared" si="599"/>
        <v>1</v>
      </c>
      <c r="C385" s="44">
        <f t="shared" si="641"/>
        <v>17</v>
      </c>
      <c r="D385" s="44" t="str">
        <f t="shared" si="680"/>
        <v>SEPA</v>
      </c>
      <c r="E385" s="45">
        <v>2008</v>
      </c>
      <c r="F385" s="206">
        <v>3392</v>
      </c>
      <c r="G385" s="51">
        <f t="shared" si="592"/>
        <v>0.14885000026923409</v>
      </c>
      <c r="H385" s="46"/>
      <c r="I385" s="46"/>
      <c r="J385" s="206">
        <v>97263.599999999991</v>
      </c>
      <c r="K385" s="51">
        <f t="shared" ref="K385" si="686">J385/$J$473</f>
        <v>8.398750791219449E-2</v>
      </c>
      <c r="L385" s="51"/>
      <c r="M385" s="206">
        <v>4422917</v>
      </c>
      <c r="N385" s="206">
        <v>224923.19999999998</v>
      </c>
      <c r="O385" s="46">
        <f t="shared" si="594"/>
        <v>127659.59999999999</v>
      </c>
      <c r="P385" s="51">
        <f t="shared" si="595"/>
        <v>0.56756973046799974</v>
      </c>
      <c r="Q385" s="51">
        <f t="shared" si="596"/>
        <v>0.43243026953200026</v>
      </c>
      <c r="R385" s="51">
        <f t="shared" si="597"/>
        <v>0</v>
      </c>
      <c r="S385" s="51">
        <f t="shared" si="598"/>
        <v>0.43243026953200026</v>
      </c>
      <c r="T385" s="51">
        <f t="shared" si="643"/>
        <v>-0.43243026953200026</v>
      </c>
      <c r="U385" s="298"/>
      <c r="V385" s="298"/>
      <c r="W385" s="298"/>
      <c r="X385" s="113"/>
      <c r="Y385" s="113"/>
      <c r="Z385" s="113"/>
      <c r="AA385" s="113"/>
      <c r="AB385" s="113"/>
      <c r="AC385" s="113"/>
      <c r="AD385" s="113"/>
      <c r="AE385" s="113"/>
      <c r="AF385" s="113"/>
      <c r="AG385" s="113"/>
      <c r="AH385" s="113"/>
      <c r="AI385" s="113"/>
      <c r="AJ385" s="113"/>
      <c r="AK385" s="113"/>
      <c r="AL385" s="113"/>
      <c r="AM385" s="113"/>
      <c r="AN385" s="113"/>
      <c r="AO385" s="113"/>
      <c r="AP385" s="113"/>
      <c r="AQ385" s="113"/>
      <c r="AR385" s="113"/>
      <c r="AS385" s="113"/>
      <c r="AT385" s="113"/>
      <c r="AU385" s="113"/>
      <c r="AV385" s="113"/>
      <c r="AW385" s="113"/>
      <c r="AX385" s="113"/>
      <c r="AY385" s="113"/>
      <c r="AZ385" s="113"/>
      <c r="BA385" s="113"/>
    </row>
    <row r="386" spans="2:53" x14ac:dyDescent="0.25">
      <c r="B386" s="44">
        <f t="shared" si="599"/>
        <v>1</v>
      </c>
      <c r="C386" s="44">
        <f t="shared" si="641"/>
        <v>17</v>
      </c>
      <c r="D386" s="44" t="str">
        <f t="shared" si="680"/>
        <v>SEPA</v>
      </c>
      <c r="E386" s="45">
        <v>2009</v>
      </c>
      <c r="F386" s="206">
        <v>3392</v>
      </c>
      <c r="G386" s="51">
        <f t="shared" si="592"/>
        <v>0.20646986328293271</v>
      </c>
      <c r="H386" s="46"/>
      <c r="I386" s="46"/>
      <c r="J386" s="206">
        <v>109196.4</v>
      </c>
      <c r="K386" s="51">
        <f t="shared" ref="K386" si="687">J386/$J$474</f>
        <v>9.2540484619379179E-2</v>
      </c>
      <c r="L386" s="51"/>
      <c r="M386" s="206">
        <v>6135029</v>
      </c>
      <c r="N386" s="206">
        <v>230376</v>
      </c>
      <c r="O386" s="46">
        <f t="shared" si="594"/>
        <v>121179.6</v>
      </c>
      <c r="P386" s="51">
        <f t="shared" si="595"/>
        <v>0.52600791749140541</v>
      </c>
      <c r="Q386" s="51">
        <f t="shared" si="596"/>
        <v>0.47399208250859459</v>
      </c>
      <c r="R386" s="51">
        <f t="shared" si="597"/>
        <v>0</v>
      </c>
      <c r="S386" s="51">
        <f t="shared" si="598"/>
        <v>0.47399208250859459</v>
      </c>
      <c r="T386" s="51">
        <f t="shared" si="643"/>
        <v>-0.47399208250859459</v>
      </c>
      <c r="U386" s="298"/>
      <c r="V386" s="298"/>
      <c r="W386" s="298"/>
      <c r="X386" s="113"/>
      <c r="Y386" s="113"/>
      <c r="Z386" s="113"/>
      <c r="AA386" s="113"/>
      <c r="AB386" s="113"/>
      <c r="AC386" s="113"/>
      <c r="AD386" s="113"/>
      <c r="AE386" s="113"/>
      <c r="AF386" s="113"/>
      <c r="AG386" s="113"/>
      <c r="AH386" s="113"/>
      <c r="AI386" s="113"/>
      <c r="AJ386" s="113"/>
      <c r="AK386" s="113"/>
      <c r="AL386" s="113"/>
      <c r="AM386" s="113"/>
      <c r="AN386" s="113"/>
      <c r="AO386" s="113"/>
      <c r="AP386" s="113"/>
      <c r="AQ386" s="113"/>
      <c r="AR386" s="113"/>
      <c r="AS386" s="113"/>
      <c r="AT386" s="113"/>
      <c r="AU386" s="113"/>
      <c r="AV386" s="113"/>
      <c r="AW386" s="113"/>
      <c r="AX386" s="113"/>
      <c r="AY386" s="113"/>
      <c r="AZ386" s="113"/>
      <c r="BA386" s="113"/>
    </row>
    <row r="387" spans="2:53" x14ac:dyDescent="0.25">
      <c r="B387" s="44">
        <f t="shared" si="599"/>
        <v>1</v>
      </c>
      <c r="C387" s="44">
        <f t="shared" si="641"/>
        <v>17</v>
      </c>
      <c r="D387" s="44" t="str">
        <f t="shared" si="680"/>
        <v>SEPA</v>
      </c>
      <c r="E387" s="45">
        <v>2010</v>
      </c>
      <c r="F387" s="206">
        <v>3392</v>
      </c>
      <c r="G387" s="51">
        <f t="shared" si="592"/>
        <v>0.27678966625743084</v>
      </c>
      <c r="H387" s="46"/>
      <c r="I387" s="46"/>
      <c r="J387" s="206">
        <v>146386.79999999999</v>
      </c>
      <c r="K387" s="51">
        <f t="shared" ref="K387" si="688">J387/$J$475</f>
        <v>0.11962763486273024</v>
      </c>
      <c r="L387" s="51"/>
      <c r="M387" s="206">
        <v>8224506</v>
      </c>
      <c r="N387" s="206">
        <v>249187.19999999998</v>
      </c>
      <c r="O387" s="46">
        <f t="shared" si="594"/>
        <v>102800.4</v>
      </c>
      <c r="P387" s="51">
        <f t="shared" si="595"/>
        <v>0.41254285934430018</v>
      </c>
      <c r="Q387" s="51">
        <f t="shared" si="596"/>
        <v>0.58745714065569987</v>
      </c>
      <c r="R387" s="51">
        <f t="shared" si="597"/>
        <v>0</v>
      </c>
      <c r="S387" s="51">
        <f t="shared" si="598"/>
        <v>0.58745714065569987</v>
      </c>
      <c r="T387" s="51">
        <f t="shared" si="643"/>
        <v>-0.58745714065569987</v>
      </c>
      <c r="U387" s="298"/>
      <c r="V387" s="298"/>
      <c r="W387" s="298"/>
      <c r="X387" s="113"/>
      <c r="Y387" s="113"/>
      <c r="Z387" s="113"/>
      <c r="AA387" s="113"/>
      <c r="AB387" s="113"/>
      <c r="AC387" s="113"/>
      <c r="AD387" s="113"/>
      <c r="AE387" s="113"/>
      <c r="AF387" s="113"/>
      <c r="AG387" s="113"/>
      <c r="AH387" s="113"/>
      <c r="AI387" s="113"/>
      <c r="AJ387" s="113"/>
      <c r="AK387" s="113"/>
      <c r="AL387" s="113"/>
      <c r="AM387" s="113"/>
      <c r="AN387" s="113"/>
      <c r="AO387" s="113"/>
      <c r="AP387" s="113"/>
      <c r="AQ387" s="113"/>
      <c r="AR387" s="113"/>
      <c r="AS387" s="113"/>
      <c r="AT387" s="113"/>
      <c r="AU387" s="113"/>
      <c r="AV387" s="113"/>
      <c r="AW387" s="113"/>
      <c r="AX387" s="113"/>
      <c r="AY387" s="113"/>
      <c r="AZ387" s="113"/>
      <c r="BA387" s="113"/>
    </row>
    <row r="388" spans="2:53" x14ac:dyDescent="0.25">
      <c r="B388" s="44">
        <f t="shared" si="599"/>
        <v>1</v>
      </c>
      <c r="C388" s="44">
        <f t="shared" si="641"/>
        <v>17</v>
      </c>
      <c r="D388" s="44" t="str">
        <f>D387</f>
        <v>SEPA</v>
      </c>
      <c r="E388" s="45">
        <v>2011</v>
      </c>
      <c r="F388" s="206">
        <v>3392</v>
      </c>
      <c r="G388" s="51">
        <f t="shared" si="592"/>
        <v>0.21911272561816145</v>
      </c>
      <c r="H388" s="46"/>
      <c r="I388" s="46"/>
      <c r="J388" s="206">
        <v>125365.2</v>
      </c>
      <c r="K388" s="51">
        <f t="shared" ref="K388" si="689">J388/$J$476</f>
        <v>0.10386756186374065</v>
      </c>
      <c r="L388" s="51"/>
      <c r="M388" s="206">
        <v>6510698</v>
      </c>
      <c r="N388" s="206">
        <v>267986.39999999997</v>
      </c>
      <c r="O388" s="46">
        <f t="shared" si="594"/>
        <v>142621.19999999995</v>
      </c>
      <c r="P388" s="51">
        <f t="shared" si="595"/>
        <v>0.53219566366054383</v>
      </c>
      <c r="Q388" s="51">
        <f t="shared" si="596"/>
        <v>0.46780433633945617</v>
      </c>
      <c r="R388" s="51">
        <f t="shared" si="597"/>
        <v>0</v>
      </c>
      <c r="S388" s="51">
        <f t="shared" si="598"/>
        <v>0.46780433633945617</v>
      </c>
      <c r="T388" s="51">
        <f t="shared" si="643"/>
        <v>-0.46780433633945617</v>
      </c>
      <c r="U388" s="298"/>
      <c r="V388" s="298"/>
      <c r="W388" s="298"/>
      <c r="X388" s="113"/>
      <c r="Y388" s="113"/>
      <c r="Z388" s="113"/>
      <c r="AA388" s="113"/>
      <c r="AB388" s="113"/>
      <c r="AC388" s="113"/>
      <c r="AD388" s="113"/>
      <c r="AE388" s="113"/>
      <c r="AF388" s="113"/>
      <c r="AG388" s="113"/>
      <c r="AH388" s="113"/>
      <c r="AI388" s="113"/>
      <c r="AJ388" s="113"/>
      <c r="AK388" s="113"/>
      <c r="AL388" s="113"/>
      <c r="AM388" s="113"/>
      <c r="AN388" s="113"/>
      <c r="AO388" s="113"/>
      <c r="AP388" s="113"/>
      <c r="AQ388" s="113"/>
      <c r="AR388" s="113"/>
      <c r="AS388" s="113"/>
      <c r="AT388" s="113"/>
      <c r="AU388" s="113"/>
      <c r="AV388" s="113"/>
      <c r="AW388" s="113"/>
      <c r="AX388" s="113"/>
      <c r="AY388" s="113"/>
      <c r="AZ388" s="113"/>
      <c r="BA388" s="113"/>
    </row>
    <row r="389" spans="2:53" x14ac:dyDescent="0.25">
      <c r="B389" s="44">
        <f t="shared" si="599"/>
        <v>1</v>
      </c>
      <c r="C389" s="44">
        <f t="shared" si="641"/>
        <v>17</v>
      </c>
      <c r="D389" s="44" t="str">
        <f>D388</f>
        <v>SEPA</v>
      </c>
      <c r="E389" s="45">
        <v>2012</v>
      </c>
      <c r="F389" s="206">
        <v>3392</v>
      </c>
      <c r="G389" s="51">
        <f t="shared" si="592"/>
        <v>0.18907545689023864</v>
      </c>
      <c r="H389" s="46"/>
      <c r="I389" s="46"/>
      <c r="J389" s="206">
        <v>119110.79999999999</v>
      </c>
      <c r="K389" s="51">
        <f t="shared" ref="K389" si="690">J389/$J$477</f>
        <v>9.566461323252036E-2</v>
      </c>
      <c r="L389" s="51"/>
      <c r="M389" s="206">
        <v>5618173</v>
      </c>
      <c r="N389" s="206">
        <v>261133.19999999992</v>
      </c>
      <c r="O389" s="46">
        <f t="shared" si="594"/>
        <v>142022.39999999994</v>
      </c>
      <c r="P389" s="51">
        <f t="shared" si="595"/>
        <v>0.54386956541718934</v>
      </c>
      <c r="Q389" s="51">
        <f t="shared" si="596"/>
        <v>0.45613043458281066</v>
      </c>
      <c r="R389" s="51">
        <f t="shared" si="597"/>
        <v>0</v>
      </c>
      <c r="S389" s="51">
        <f t="shared" si="598"/>
        <v>0.45613043458281066</v>
      </c>
      <c r="T389" s="51">
        <f t="shared" si="643"/>
        <v>-0.45613043458281066</v>
      </c>
      <c r="U389" s="298"/>
      <c r="V389" s="298"/>
      <c r="W389" s="298"/>
      <c r="X389" s="113"/>
      <c r="Y389" s="113"/>
      <c r="Z389" s="113"/>
      <c r="AA389" s="113"/>
      <c r="AB389" s="113"/>
      <c r="AC389" s="113"/>
      <c r="AD389" s="113"/>
      <c r="AE389" s="113"/>
      <c r="AF389" s="113"/>
      <c r="AG389" s="113"/>
      <c r="AH389" s="113"/>
      <c r="AI389" s="113"/>
      <c r="AJ389" s="113"/>
      <c r="AK389" s="113"/>
      <c r="AL389" s="113"/>
      <c r="AM389" s="113"/>
      <c r="AN389" s="113"/>
      <c r="AO389" s="113"/>
      <c r="AP389" s="113"/>
      <c r="AQ389" s="113"/>
      <c r="AR389" s="113"/>
      <c r="AS389" s="113"/>
      <c r="AT389" s="113"/>
      <c r="AU389" s="113"/>
      <c r="AV389" s="113"/>
      <c r="AW389" s="113"/>
      <c r="AX389" s="113"/>
      <c r="AY389" s="113"/>
      <c r="AZ389" s="113"/>
      <c r="BA389" s="113"/>
    </row>
    <row r="390" spans="2:53" x14ac:dyDescent="0.25">
      <c r="B390" s="44">
        <f t="shared" si="599"/>
        <v>1</v>
      </c>
      <c r="C390" s="44">
        <f t="shared" si="641"/>
        <v>17</v>
      </c>
      <c r="D390" s="44" t="str">
        <f>D389</f>
        <v>SEPA</v>
      </c>
      <c r="E390" s="45">
        <v>2013</v>
      </c>
      <c r="F390" s="206">
        <v>3392</v>
      </c>
      <c r="G390" s="51">
        <f t="shared" si="592"/>
        <v>0.25776417248212286</v>
      </c>
      <c r="H390" s="44"/>
      <c r="I390" s="44"/>
      <c r="J390" s="206">
        <v>111522</v>
      </c>
      <c r="K390" s="51">
        <f t="shared" ref="K390" si="691">J390/$J$478</f>
        <v>8.9711209992087981E-2</v>
      </c>
      <c r="L390" s="44"/>
      <c r="M390" s="206">
        <v>7659184</v>
      </c>
      <c r="N390" s="206">
        <v>309717.584676</v>
      </c>
      <c r="O390" s="46">
        <f t="shared" si="594"/>
        <v>198195.584676</v>
      </c>
      <c r="P390" s="51">
        <f t="shared" si="595"/>
        <v>0.6399235770979399</v>
      </c>
      <c r="Q390" s="51">
        <f t="shared" si="596"/>
        <v>0.3600764229020601</v>
      </c>
      <c r="R390" s="51">
        <f t="shared" si="597"/>
        <v>0</v>
      </c>
      <c r="S390" s="51">
        <f t="shared" si="598"/>
        <v>0.3600764229020601</v>
      </c>
      <c r="T390" s="51">
        <f t="shared" si="643"/>
        <v>-0.3600764229020601</v>
      </c>
      <c r="U390" s="298"/>
      <c r="V390" s="298"/>
      <c r="W390" s="298"/>
      <c r="X390" s="113"/>
      <c r="Y390" s="113"/>
      <c r="Z390" s="113"/>
      <c r="AA390" s="113"/>
      <c r="AB390" s="113"/>
      <c r="AC390" s="113"/>
      <c r="AD390" s="113"/>
      <c r="AE390" s="113"/>
      <c r="AF390" s="113"/>
      <c r="AG390" s="113"/>
      <c r="AH390" s="113"/>
      <c r="AI390" s="113"/>
      <c r="AJ390" s="113"/>
      <c r="AK390" s="113"/>
      <c r="AL390" s="113"/>
      <c r="AM390" s="113"/>
      <c r="AN390" s="113"/>
      <c r="AO390" s="113"/>
      <c r="AP390" s="113"/>
      <c r="AQ390" s="113"/>
      <c r="AR390" s="113"/>
      <c r="AS390" s="113"/>
      <c r="AT390" s="113"/>
      <c r="AU390" s="113"/>
      <c r="AV390" s="113"/>
      <c r="AW390" s="113"/>
      <c r="AX390" s="113"/>
      <c r="AY390" s="113"/>
      <c r="AZ390" s="113"/>
      <c r="BA390" s="113"/>
    </row>
    <row r="391" spans="2:53" x14ac:dyDescent="0.25">
      <c r="B391" s="44">
        <f t="shared" si="599"/>
        <v>1</v>
      </c>
      <c r="C391" s="44">
        <f t="shared" si="641"/>
        <v>17</v>
      </c>
      <c r="D391" s="44" t="str">
        <f>D388</f>
        <v>SEPA</v>
      </c>
      <c r="E391" s="45">
        <v>2014</v>
      </c>
      <c r="F391" s="206">
        <v>3392</v>
      </c>
      <c r="G391" s="51">
        <f t="shared" si="592"/>
        <v>0.24900201656328078</v>
      </c>
      <c r="H391" s="44"/>
      <c r="I391" s="44"/>
      <c r="J391" s="206">
        <v>121342.79999999999</v>
      </c>
      <c r="K391" s="51">
        <f t="shared" ref="K391" si="692">J391/$J$479</f>
        <v>9.725450257511109E-2</v>
      </c>
      <c r="L391" s="44"/>
      <c r="M391" s="206">
        <v>7398826</v>
      </c>
      <c r="N391" s="206">
        <v>304469.75522723998</v>
      </c>
      <c r="O391" s="46">
        <f t="shared" si="594"/>
        <v>183126.95522723999</v>
      </c>
      <c r="P391" s="51">
        <f t="shared" si="595"/>
        <v>0.60146189262892069</v>
      </c>
      <c r="Q391" s="51">
        <f t="shared" si="596"/>
        <v>0.39853810737107931</v>
      </c>
      <c r="R391" s="51">
        <f t="shared" si="597"/>
        <v>0</v>
      </c>
      <c r="S391" s="51">
        <f t="shared" si="598"/>
        <v>0.39853810737107931</v>
      </c>
      <c r="T391" s="51">
        <f t="shared" si="643"/>
        <v>-0.39853810737107931</v>
      </c>
      <c r="U391" s="298"/>
      <c r="V391" s="298"/>
      <c r="W391" s="298"/>
      <c r="X391" s="113"/>
      <c r="Y391" s="113"/>
      <c r="Z391" s="113"/>
      <c r="AA391" s="113"/>
      <c r="AB391" s="113"/>
      <c r="AC391" s="113"/>
      <c r="AD391" s="113"/>
      <c r="AE391" s="113"/>
      <c r="AF391" s="113"/>
      <c r="AG391" s="113"/>
      <c r="AH391" s="113"/>
      <c r="AI391" s="113"/>
      <c r="AJ391" s="113"/>
      <c r="AK391" s="113"/>
      <c r="AL391" s="113"/>
      <c r="AM391" s="113"/>
      <c r="AN391" s="113"/>
      <c r="AO391" s="113"/>
      <c r="AP391" s="113"/>
      <c r="AQ391" s="113"/>
      <c r="AR391" s="113"/>
      <c r="AS391" s="113"/>
      <c r="AT391" s="113"/>
      <c r="AU391" s="113"/>
      <c r="AV391" s="113"/>
      <c r="AW391" s="113"/>
      <c r="AX391" s="113"/>
      <c r="AY391" s="113"/>
      <c r="AZ391" s="113"/>
      <c r="BA391" s="113"/>
    </row>
    <row r="392" spans="2:53" x14ac:dyDescent="0.25">
      <c r="B392" s="44">
        <f t="shared" si="599"/>
        <v>1</v>
      </c>
      <c r="C392" s="44">
        <f t="shared" si="641"/>
        <v>17</v>
      </c>
      <c r="D392" s="44" t="str">
        <f>D389</f>
        <v>SEPA</v>
      </c>
      <c r="E392" s="45">
        <v>2015</v>
      </c>
      <c r="F392" s="206">
        <v>3392</v>
      </c>
      <c r="G392" s="51">
        <f t="shared" si="592"/>
        <v>0.23891824437839235</v>
      </c>
      <c r="H392" s="44"/>
      <c r="I392" s="44"/>
      <c r="J392" s="206">
        <v>130267.2</v>
      </c>
      <c r="K392" s="51">
        <f t="shared" ref="K392" si="693">J392/$J$480</f>
        <v>9.8840260846648292E-2</v>
      </c>
      <c r="L392" s="44"/>
      <c r="M392" s="206">
        <v>7099197.5999999996</v>
      </c>
      <c r="N392" s="206">
        <v>301090.7776409997</v>
      </c>
      <c r="O392" s="46">
        <f t="shared" si="594"/>
        <v>170823.57764099969</v>
      </c>
      <c r="P392" s="51">
        <f t="shared" si="595"/>
        <v>0.56734908647609983</v>
      </c>
      <c r="Q392" s="51">
        <f t="shared" si="596"/>
        <v>0.43265091352390017</v>
      </c>
      <c r="R392" s="51">
        <f t="shared" si="597"/>
        <v>0</v>
      </c>
      <c r="S392" s="51">
        <f t="shared" si="598"/>
        <v>0.43265091352390017</v>
      </c>
      <c r="T392" s="51">
        <f t="shared" si="643"/>
        <v>-0.43265091352390017</v>
      </c>
      <c r="U392" s="298"/>
      <c r="V392" s="298"/>
      <c r="W392" s="298"/>
      <c r="X392" s="113"/>
      <c r="Y392" s="113"/>
      <c r="Z392" s="113"/>
      <c r="AA392" s="113"/>
      <c r="AB392" s="113"/>
      <c r="AC392" s="113"/>
      <c r="AD392" s="113"/>
      <c r="AE392" s="113"/>
      <c r="AF392" s="113"/>
      <c r="AG392" s="113"/>
      <c r="AH392" s="113"/>
      <c r="AI392" s="113"/>
      <c r="AJ392" s="113"/>
      <c r="AK392" s="113"/>
      <c r="AL392" s="113"/>
      <c r="AM392" s="113"/>
      <c r="AN392" s="113"/>
      <c r="AO392" s="113"/>
      <c r="AP392" s="113"/>
      <c r="AQ392" s="113"/>
      <c r="AR392" s="113"/>
      <c r="AS392" s="113"/>
      <c r="AT392" s="113"/>
      <c r="AU392" s="113"/>
      <c r="AV392" s="113"/>
      <c r="AW392" s="113"/>
      <c r="AX392" s="113"/>
      <c r="AY392" s="113"/>
      <c r="AZ392" s="113"/>
      <c r="BA392" s="113"/>
    </row>
    <row r="393" spans="2:53" x14ac:dyDescent="0.25">
      <c r="B393" s="44">
        <f t="shared" si="599"/>
        <v>1</v>
      </c>
      <c r="C393" s="44">
        <f t="shared" si="641"/>
        <v>17</v>
      </c>
      <c r="D393" s="44" t="str">
        <f>D390</f>
        <v>SEPA</v>
      </c>
      <c r="E393" s="45">
        <v>2016</v>
      </c>
      <c r="F393" s="206">
        <v>3392</v>
      </c>
      <c r="G393" s="51">
        <f t="shared" si="592"/>
        <v>0.22164665584345652</v>
      </c>
      <c r="H393" s="44"/>
      <c r="I393" s="44"/>
      <c r="J393" s="206">
        <v>131298.00000000003</v>
      </c>
      <c r="K393" s="51">
        <f t="shared" ref="K393" si="694">J393/$J$481</f>
        <v>9.8654556747017355E-2</v>
      </c>
      <c r="L393" s="44"/>
      <c r="M393" s="206">
        <v>6585991</v>
      </c>
      <c r="N393" s="206">
        <v>311750.34703007975</v>
      </c>
      <c r="O393" s="46">
        <f t="shared" si="594"/>
        <v>180452.34703007972</v>
      </c>
      <c r="P393" s="51">
        <f t="shared" si="595"/>
        <v>0.57883607427923245</v>
      </c>
      <c r="Q393" s="51">
        <f t="shared" si="596"/>
        <v>0.42116392572076755</v>
      </c>
      <c r="R393" s="51">
        <f t="shared" si="597"/>
        <v>0</v>
      </c>
      <c r="S393" s="51">
        <f t="shared" si="598"/>
        <v>0.42116392572076755</v>
      </c>
      <c r="T393" s="51">
        <f t="shared" si="643"/>
        <v>-0.42116392572076755</v>
      </c>
      <c r="U393" s="298"/>
      <c r="V393" s="298"/>
      <c r="W393" s="298"/>
      <c r="X393" s="113"/>
      <c r="Y393" s="113"/>
      <c r="Z393" s="113"/>
      <c r="AA393" s="113"/>
      <c r="AB393" s="113"/>
      <c r="AC393" s="113"/>
      <c r="AD393" s="113"/>
      <c r="AE393" s="113"/>
      <c r="AF393" s="113"/>
      <c r="AG393" s="113"/>
      <c r="AH393" s="113"/>
      <c r="AI393" s="113"/>
      <c r="AJ393" s="113"/>
      <c r="AK393" s="113"/>
      <c r="AL393" s="113"/>
      <c r="AM393" s="113"/>
      <c r="AN393" s="113"/>
      <c r="AO393" s="113"/>
      <c r="AP393" s="113"/>
      <c r="AQ393" s="113"/>
      <c r="AR393" s="113"/>
      <c r="AS393" s="113"/>
      <c r="AT393" s="113"/>
      <c r="AU393" s="113"/>
      <c r="AV393" s="113"/>
      <c r="AW393" s="113"/>
      <c r="AX393" s="113"/>
      <c r="AY393" s="113"/>
      <c r="AZ393" s="113"/>
      <c r="BA393" s="113"/>
    </row>
    <row r="394" spans="2:53" x14ac:dyDescent="0.25">
      <c r="B394" s="44">
        <f>B393</f>
        <v>1</v>
      </c>
      <c r="C394" s="44">
        <f>IF(D394=D393,C393,C393+1)</f>
        <v>17</v>
      </c>
      <c r="D394" s="44" t="str">
        <f>D390</f>
        <v>SEPA</v>
      </c>
      <c r="E394" s="45">
        <v>2017</v>
      </c>
      <c r="F394" s="206">
        <v>3392</v>
      </c>
      <c r="G394" s="51">
        <f t="shared" si="592"/>
        <v>0.22550619373007669</v>
      </c>
      <c r="H394" s="44"/>
      <c r="I394" s="44"/>
      <c r="J394" s="206">
        <v>134810.4</v>
      </c>
      <c r="K394" s="51">
        <f t="shared" ref="K394" si="695">J394/$J$482</f>
        <v>0.10354290760716919</v>
      </c>
      <c r="L394" s="44"/>
      <c r="M394" s="206">
        <v>6700673</v>
      </c>
      <c r="N394" s="206">
        <v>275390.73801648006</v>
      </c>
      <c r="O394" s="46">
        <f t="shared" si="594"/>
        <v>140580.33801648006</v>
      </c>
      <c r="P394" s="51">
        <f t="shared" si="595"/>
        <v>0.51047591153217142</v>
      </c>
      <c r="Q394" s="51">
        <f t="shared" si="596"/>
        <v>0.48952408846782858</v>
      </c>
      <c r="R394" s="51">
        <f t="shared" si="597"/>
        <v>0</v>
      </c>
      <c r="S394" s="51">
        <f t="shared" si="598"/>
        <v>0.48952408846782858</v>
      </c>
      <c r="T394" s="51">
        <f t="shared" si="643"/>
        <v>-0.48952408846782858</v>
      </c>
      <c r="U394" s="298"/>
      <c r="V394" s="298"/>
      <c r="W394" s="298"/>
      <c r="X394" s="113"/>
      <c r="Y394" s="113"/>
      <c r="Z394" s="113"/>
      <c r="AA394" s="113"/>
      <c r="AB394" s="113"/>
      <c r="AC394" s="113"/>
      <c r="AD394" s="113"/>
      <c r="AE394" s="113"/>
      <c r="AF394" s="113"/>
      <c r="AG394" s="113"/>
      <c r="AH394" s="113"/>
      <c r="AI394" s="113"/>
      <c r="AJ394" s="113"/>
      <c r="AK394" s="113"/>
      <c r="AL394" s="113"/>
      <c r="AM394" s="113"/>
      <c r="AN394" s="113"/>
      <c r="AO394" s="113"/>
      <c r="AP394" s="113"/>
      <c r="AQ394" s="113"/>
      <c r="AR394" s="113"/>
      <c r="AS394" s="113"/>
      <c r="AT394" s="113"/>
      <c r="AU394" s="113"/>
      <c r="AV394" s="113"/>
      <c r="AW394" s="113"/>
      <c r="AX394" s="113"/>
      <c r="AY394" s="113"/>
      <c r="AZ394" s="113"/>
      <c r="BA394" s="113"/>
    </row>
    <row r="395" spans="2:53" x14ac:dyDescent="0.25">
      <c r="B395" s="44">
        <f t="shared" ref="B395:B400" si="696">B394</f>
        <v>1</v>
      </c>
      <c r="C395" s="44">
        <f t="shared" ref="C395:C399" si="697">IF(D395=D394,C394,C394+1)</f>
        <v>17</v>
      </c>
      <c r="D395" s="44" t="str">
        <f t="shared" ref="D395:D399" si="698">D391</f>
        <v>SEPA</v>
      </c>
      <c r="E395" s="45">
        <v>2018</v>
      </c>
      <c r="F395" s="206">
        <f>F389</f>
        <v>3392</v>
      </c>
      <c r="G395" s="51">
        <f t="shared" ref="G395:G400" si="699">M395/(F395*8760)</f>
        <v>0.26306959862582924</v>
      </c>
      <c r="H395" s="44"/>
      <c r="I395" s="44"/>
      <c r="J395" s="206">
        <v>146793.60000000001</v>
      </c>
      <c r="K395" s="51">
        <f t="shared" ref="K395" si="700">J395/$J$483</f>
        <v>0.10462065257915708</v>
      </c>
      <c r="L395" s="44"/>
      <c r="M395" s="206">
        <v>7816829.0080000004</v>
      </c>
      <c r="N395" s="206">
        <v>270648.95881632</v>
      </c>
      <c r="O395" s="46">
        <f t="shared" ref="O395" si="701">N395-J395</f>
        <v>123855.35881631999</v>
      </c>
      <c r="P395" s="51">
        <f t="shared" ref="P395" si="702">O395/N395</f>
        <v>0.4576236293610732</v>
      </c>
      <c r="Q395" s="51">
        <f t="shared" ref="Q395" si="703">1-P395</f>
        <v>0.54237637063892685</v>
      </c>
      <c r="R395" s="51">
        <f t="shared" ref="R395" si="704">Q395*L395</f>
        <v>0</v>
      </c>
      <c r="S395" s="51">
        <f t="shared" ref="S395" si="705">Q395-R395</f>
        <v>0.54237637063892685</v>
      </c>
      <c r="T395" s="51">
        <f t="shared" ref="T395" si="706">R395-S395</f>
        <v>-0.54237637063892685</v>
      </c>
      <c r="U395" s="298"/>
      <c r="V395" s="298"/>
      <c r="W395" s="298"/>
      <c r="X395" s="113"/>
      <c r="Y395" s="113"/>
      <c r="Z395" s="113"/>
      <c r="AA395" s="113"/>
      <c r="AB395" s="113"/>
      <c r="AC395" s="113"/>
      <c r="AD395" s="113"/>
      <c r="AE395" s="113"/>
      <c r="AF395" s="113"/>
      <c r="AG395" s="113"/>
      <c r="AH395" s="113"/>
      <c r="AI395" s="113"/>
      <c r="AJ395" s="113"/>
      <c r="AK395" s="113"/>
      <c r="AL395" s="113"/>
      <c r="AM395" s="113"/>
      <c r="AN395" s="113"/>
      <c r="AO395" s="113"/>
      <c r="AP395" s="113"/>
      <c r="AQ395" s="113"/>
      <c r="AR395" s="113"/>
      <c r="AS395" s="113"/>
      <c r="AT395" s="113"/>
      <c r="AU395" s="113"/>
      <c r="AV395" s="113"/>
      <c r="AW395" s="113"/>
      <c r="AX395" s="113"/>
      <c r="AY395" s="113"/>
      <c r="AZ395" s="113"/>
      <c r="BA395" s="113"/>
    </row>
    <row r="396" spans="2:53" x14ac:dyDescent="0.25">
      <c r="B396" s="44">
        <f t="shared" si="696"/>
        <v>1</v>
      </c>
      <c r="C396" s="44">
        <f t="shared" si="697"/>
        <v>17</v>
      </c>
      <c r="D396" s="44" t="str">
        <f t="shared" si="698"/>
        <v>SEPA</v>
      </c>
      <c r="E396" s="45">
        <v>2019</v>
      </c>
      <c r="F396" s="206">
        <v>3246.2</v>
      </c>
      <c r="G396" s="51">
        <f t="shared" si="699"/>
        <v>0.27813319328198005</v>
      </c>
      <c r="H396" s="44"/>
      <c r="I396" s="44"/>
      <c r="J396" s="206">
        <v>160233.60000000001</v>
      </c>
      <c r="K396" s="51">
        <f t="shared" ref="K396" si="707">J396/$J$484</f>
        <v>0.11636588047037616</v>
      </c>
      <c r="L396" s="44"/>
      <c r="M396" s="206">
        <v>7909193.5150000015</v>
      </c>
      <c r="N396" s="206">
        <v>312723.61124640005</v>
      </c>
      <c r="O396" s="46">
        <f t="shared" ref="O396:O400" si="708">N396-J396</f>
        <v>152490.01124640004</v>
      </c>
      <c r="P396" s="51">
        <f t="shared" ref="P396:P400" si="709">O396/N396</f>
        <v>0.48761911720906376</v>
      </c>
      <c r="Q396" s="51">
        <f t="shared" ref="Q396:Q400" si="710">1-P396</f>
        <v>0.51238088279093619</v>
      </c>
      <c r="R396" s="51">
        <f t="shared" ref="R396:R400" si="711">Q396*L396</f>
        <v>0</v>
      </c>
      <c r="S396" s="51">
        <f t="shared" ref="S396:S400" si="712">Q396-R396</f>
        <v>0.51238088279093619</v>
      </c>
      <c r="T396" s="51">
        <f t="shared" ref="T396:T400" si="713">R396-S396</f>
        <v>-0.51238088279093619</v>
      </c>
      <c r="U396" s="298"/>
      <c r="V396" s="298"/>
      <c r="W396" s="298"/>
      <c r="X396" s="113"/>
      <c r="Y396" s="113"/>
      <c r="Z396" s="113"/>
      <c r="AA396" s="113"/>
      <c r="AB396" s="113"/>
      <c r="AC396" s="113"/>
      <c r="AD396" s="113"/>
      <c r="AE396" s="113"/>
      <c r="AF396" s="113"/>
      <c r="AG396" s="113"/>
      <c r="AH396" s="113"/>
      <c r="AI396" s="113"/>
      <c r="AJ396" s="113"/>
      <c r="AK396" s="113"/>
      <c r="AL396" s="113"/>
      <c r="AM396" s="113"/>
      <c r="AN396" s="113"/>
      <c r="AO396" s="113"/>
      <c r="AP396" s="113"/>
      <c r="AQ396" s="113"/>
      <c r="AR396" s="113"/>
      <c r="AS396" s="113"/>
      <c r="AT396" s="113"/>
      <c r="AU396" s="113"/>
      <c r="AV396" s="113"/>
      <c r="AW396" s="113"/>
      <c r="AX396" s="113"/>
      <c r="AY396" s="113"/>
      <c r="AZ396" s="113"/>
      <c r="BA396" s="113"/>
    </row>
    <row r="397" spans="2:53" x14ac:dyDescent="0.25">
      <c r="B397" s="44">
        <f t="shared" si="696"/>
        <v>1</v>
      </c>
      <c r="C397" s="44">
        <f t="shared" si="697"/>
        <v>17</v>
      </c>
      <c r="D397" s="44" t="str">
        <f t="shared" si="698"/>
        <v>SEPA</v>
      </c>
      <c r="E397" s="45">
        <v>2020</v>
      </c>
      <c r="F397" s="206">
        <v>3365</v>
      </c>
      <c r="G397" s="51">
        <f t="shared" si="699"/>
        <v>0.36247639147278932</v>
      </c>
      <c r="H397" s="44"/>
      <c r="I397" s="44"/>
      <c r="J397" s="206">
        <v>156770.4</v>
      </c>
      <c r="K397" s="51">
        <f t="shared" ref="K397" si="714">J397/$J$485</f>
        <v>0.11319457213866407</v>
      </c>
      <c r="L397" s="44"/>
      <c r="M397" s="206">
        <v>10684861.582</v>
      </c>
      <c r="N397" s="206">
        <v>309783.85631747992</v>
      </c>
      <c r="O397" s="46">
        <f t="shared" si="708"/>
        <v>153013.45631747993</v>
      </c>
      <c r="P397" s="51">
        <f t="shared" si="709"/>
        <v>0.49393618549529938</v>
      </c>
      <c r="Q397" s="51">
        <f t="shared" si="710"/>
        <v>0.50606381450470062</v>
      </c>
      <c r="R397" s="51">
        <f t="shared" si="711"/>
        <v>0</v>
      </c>
      <c r="S397" s="51">
        <f t="shared" si="712"/>
        <v>0.50606381450470062</v>
      </c>
      <c r="T397" s="51">
        <f t="shared" si="713"/>
        <v>-0.50606381450470062</v>
      </c>
      <c r="U397" s="298"/>
      <c r="V397" s="298"/>
      <c r="W397" s="298"/>
      <c r="X397" s="113"/>
      <c r="Y397" s="113"/>
      <c r="Z397" s="113"/>
      <c r="AA397" s="113"/>
      <c r="AB397" s="113"/>
      <c r="AC397" s="113"/>
      <c r="AD397" s="113"/>
      <c r="AE397" s="113"/>
      <c r="AF397" s="113"/>
      <c r="AG397" s="113"/>
      <c r="AH397" s="113"/>
      <c r="AI397" s="113"/>
      <c r="AJ397" s="113"/>
      <c r="AK397" s="113"/>
      <c r="AL397" s="113"/>
      <c r="AM397" s="113"/>
      <c r="AN397" s="113"/>
      <c r="AO397" s="113"/>
      <c r="AP397" s="113"/>
      <c r="AQ397" s="113"/>
      <c r="AR397" s="113"/>
      <c r="AS397" s="113"/>
      <c r="AT397" s="113"/>
      <c r="AU397" s="113"/>
      <c r="AV397" s="113"/>
      <c r="AW397" s="113"/>
      <c r="AX397" s="113"/>
      <c r="AY397" s="113"/>
      <c r="AZ397" s="113"/>
      <c r="BA397" s="113"/>
    </row>
    <row r="398" spans="2:53" x14ac:dyDescent="0.25">
      <c r="B398" s="44">
        <f t="shared" si="696"/>
        <v>1</v>
      </c>
      <c r="C398" s="44">
        <f t="shared" si="697"/>
        <v>17</v>
      </c>
      <c r="D398" s="44" t="str">
        <f t="shared" si="698"/>
        <v>SEPA</v>
      </c>
      <c r="E398" s="45">
        <v>2021</v>
      </c>
      <c r="F398" s="206">
        <v>3365</v>
      </c>
      <c r="G398" s="51">
        <f t="shared" si="699"/>
        <v>0.2522994641318434</v>
      </c>
      <c r="H398" s="44"/>
      <c r="I398" s="44"/>
      <c r="J398" s="206">
        <v>146011.19999999998</v>
      </c>
      <c r="K398" s="51">
        <f t="shared" ref="K398" si="715">J398/$J$486</f>
        <v>0.10076795524589467</v>
      </c>
      <c r="L398" s="44"/>
      <c r="M398" s="206">
        <v>7437132.2240000004</v>
      </c>
      <c r="N398" s="206">
        <v>311045.43767195998</v>
      </c>
      <c r="O398" s="46">
        <f t="shared" si="708"/>
        <v>165034.23767196</v>
      </c>
      <c r="P398" s="51">
        <f t="shared" si="709"/>
        <v>0.53057919417551858</v>
      </c>
      <c r="Q398" s="51">
        <f t="shared" si="710"/>
        <v>0.46942080582448142</v>
      </c>
      <c r="R398" s="51">
        <f t="shared" si="711"/>
        <v>0</v>
      </c>
      <c r="S398" s="51">
        <f t="shared" si="712"/>
        <v>0.46942080582448142</v>
      </c>
      <c r="T398" s="51">
        <f t="shared" si="713"/>
        <v>-0.46942080582448142</v>
      </c>
      <c r="U398" s="298"/>
      <c r="V398" s="298"/>
      <c r="W398" s="298"/>
      <c r="X398" s="113"/>
      <c r="Y398" s="113"/>
      <c r="Z398" s="113"/>
      <c r="AA398" s="113"/>
      <c r="AB398" s="113"/>
      <c r="AC398" s="113"/>
      <c r="AD398" s="113"/>
      <c r="AE398" s="113"/>
      <c r="AF398" s="113"/>
      <c r="AG398" s="113"/>
      <c r="AH398" s="113"/>
      <c r="AI398" s="113"/>
      <c r="AJ398" s="113"/>
      <c r="AK398" s="113"/>
      <c r="AL398" s="113"/>
      <c r="AM398" s="113"/>
      <c r="AN398" s="113"/>
      <c r="AO398" s="113"/>
      <c r="AP398" s="113"/>
      <c r="AQ398" s="113"/>
      <c r="AR398" s="113"/>
      <c r="AS398" s="113"/>
      <c r="AT398" s="113"/>
      <c r="AU398" s="113"/>
      <c r="AV398" s="113"/>
      <c r="AW398" s="113"/>
      <c r="AX398" s="113"/>
      <c r="AY398" s="113"/>
      <c r="AZ398" s="113"/>
      <c r="BA398" s="113"/>
    </row>
    <row r="399" spans="2:53" x14ac:dyDescent="0.25">
      <c r="B399" s="44">
        <f t="shared" si="696"/>
        <v>1</v>
      </c>
      <c r="C399" s="44">
        <f t="shared" si="697"/>
        <v>17</v>
      </c>
      <c r="D399" s="44" t="str">
        <f t="shared" si="698"/>
        <v>SEPA</v>
      </c>
      <c r="E399" s="45">
        <v>2022</v>
      </c>
      <c r="F399" s="206">
        <v>3365</v>
      </c>
      <c r="G399" s="51">
        <f t="shared" si="699"/>
        <v>0.21597058041075531</v>
      </c>
      <c r="H399" s="44"/>
      <c r="I399" s="44"/>
      <c r="J399" s="206">
        <v>163622.39999999999</v>
      </c>
      <c r="K399" s="51">
        <f t="shared" ref="K399" si="716">J399/$J$487</f>
        <v>0.11129678937463093</v>
      </c>
      <c r="L399" s="44"/>
      <c r="M399" s="206">
        <v>6366251.186999999</v>
      </c>
      <c r="N399" s="206">
        <v>297002.93876591994</v>
      </c>
      <c r="O399" s="46">
        <f t="shared" si="708"/>
        <v>133380.53876591995</v>
      </c>
      <c r="P399" s="51">
        <f t="shared" si="709"/>
        <v>0.44908827946326335</v>
      </c>
      <c r="Q399" s="51">
        <f t="shared" si="710"/>
        <v>0.55091172053673665</v>
      </c>
      <c r="R399" s="51">
        <f t="shared" si="711"/>
        <v>0</v>
      </c>
      <c r="S399" s="51">
        <f t="shared" si="712"/>
        <v>0.55091172053673665</v>
      </c>
      <c r="T399" s="51">
        <f t="shared" si="713"/>
        <v>-0.55091172053673665</v>
      </c>
      <c r="U399" s="298"/>
      <c r="V399" s="298"/>
      <c r="W399" s="298"/>
      <c r="X399" s="113"/>
      <c r="Y399" s="113"/>
      <c r="Z399" s="113"/>
      <c r="AA399" s="113"/>
      <c r="AB399" s="113"/>
      <c r="AC399" s="113"/>
      <c r="AD399" s="113"/>
      <c r="AE399" s="113"/>
      <c r="AF399" s="113"/>
      <c r="AG399" s="113"/>
      <c r="AH399" s="113"/>
      <c r="AI399" s="113"/>
      <c r="AJ399" s="113"/>
      <c r="AK399" s="113"/>
      <c r="AL399" s="113"/>
      <c r="AM399" s="113"/>
      <c r="AN399" s="113"/>
      <c r="AO399" s="113"/>
      <c r="AP399" s="113"/>
      <c r="AQ399" s="113"/>
      <c r="AR399" s="113"/>
      <c r="AS399" s="113"/>
      <c r="AT399" s="113"/>
      <c r="AU399" s="113"/>
      <c r="AV399" s="113"/>
      <c r="AW399" s="113"/>
      <c r="AX399" s="113"/>
      <c r="AY399" s="113"/>
      <c r="AZ399" s="113"/>
      <c r="BA399" s="113"/>
    </row>
    <row r="400" spans="2:53" x14ac:dyDescent="0.25">
      <c r="B400" s="44">
        <f t="shared" si="696"/>
        <v>1</v>
      </c>
      <c r="C400" s="44">
        <f>IF(D400=D394,C394,C394+1)</f>
        <v>17</v>
      </c>
      <c r="D400" s="44" t="str">
        <f>D391</f>
        <v>SEPA</v>
      </c>
      <c r="E400" s="45">
        <v>2023</v>
      </c>
      <c r="F400" s="206">
        <v>3365</v>
      </c>
      <c r="G400" s="51">
        <f t="shared" si="699"/>
        <v>0.13015675951746083</v>
      </c>
      <c r="H400" s="44"/>
      <c r="I400" s="44"/>
      <c r="J400" s="206">
        <v>177901.19999999998</v>
      </c>
      <c r="K400" s="51">
        <f t="shared" ref="K400" si="717">J400/$J$488</f>
        <v>0.11137443480694405</v>
      </c>
      <c r="L400" s="44"/>
      <c r="M400" s="206">
        <v>3836682.8629999999</v>
      </c>
      <c r="N400" s="206">
        <v>285593.53834271984</v>
      </c>
      <c r="O400" s="46">
        <f t="shared" si="708"/>
        <v>107692.33834271986</v>
      </c>
      <c r="P400" s="51">
        <f t="shared" si="709"/>
        <v>0.37708254524122387</v>
      </c>
      <c r="Q400" s="51">
        <f t="shared" si="710"/>
        <v>0.62291745475877613</v>
      </c>
      <c r="R400" s="51">
        <f t="shared" si="711"/>
        <v>0</v>
      </c>
      <c r="S400" s="51">
        <f t="shared" si="712"/>
        <v>0.62291745475877613</v>
      </c>
      <c r="T400" s="51">
        <f t="shared" si="713"/>
        <v>-0.62291745475877613</v>
      </c>
      <c r="U400" s="298"/>
      <c r="V400" s="298"/>
      <c r="W400" s="298"/>
      <c r="X400" s="113"/>
      <c r="Y400" s="113"/>
      <c r="Z400" s="113"/>
      <c r="AA400" s="113"/>
      <c r="AB400" s="113"/>
      <c r="AC400" s="113"/>
      <c r="AD400" s="113"/>
      <c r="AE400" s="113"/>
      <c r="AF400" s="113"/>
      <c r="AG400" s="113"/>
      <c r="AH400" s="113"/>
      <c r="AI400" s="113"/>
      <c r="AJ400" s="113"/>
      <c r="AK400" s="113"/>
      <c r="AL400" s="113"/>
      <c r="AM400" s="113"/>
      <c r="AN400" s="113"/>
      <c r="AO400" s="113"/>
      <c r="AP400" s="113"/>
      <c r="AQ400" s="113"/>
      <c r="AR400" s="113"/>
      <c r="AS400" s="113"/>
      <c r="AT400" s="113"/>
      <c r="AU400" s="113"/>
      <c r="AV400" s="113"/>
      <c r="AW400" s="113"/>
      <c r="AX400" s="113"/>
      <c r="AY400" s="113"/>
      <c r="AZ400" s="113"/>
      <c r="BA400" s="113"/>
    </row>
    <row r="401" spans="2:53" x14ac:dyDescent="0.25">
      <c r="B401" s="47">
        <f t="shared" si="599"/>
        <v>1</v>
      </c>
      <c r="C401" s="47">
        <f t="shared" si="641"/>
        <v>18</v>
      </c>
      <c r="D401" s="47" t="str">
        <f>'OPG hydro peers'!D22</f>
        <v>Seattle</v>
      </c>
      <c r="E401" s="48">
        <v>2002</v>
      </c>
      <c r="F401" s="207">
        <v>1928.7</v>
      </c>
      <c r="G401" s="50">
        <f t="shared" si="592"/>
        <v>0.40790121010366603</v>
      </c>
      <c r="H401" s="49"/>
      <c r="I401" s="49"/>
      <c r="J401" s="207">
        <v>22255.200000000001</v>
      </c>
      <c r="K401" s="50">
        <f t="shared" ref="K401" si="718">J401/$J$467</f>
        <v>2.9002447139468757E-2</v>
      </c>
      <c r="L401" s="50"/>
      <c r="M401" s="207">
        <v>6891659</v>
      </c>
      <c r="N401" s="207">
        <v>177412.8</v>
      </c>
      <c r="O401" s="49">
        <f t="shared" si="594"/>
        <v>155157.59999999998</v>
      </c>
      <c r="P401" s="50">
        <f t="shared" si="595"/>
        <v>0.87455696545006889</v>
      </c>
      <c r="Q401" s="50">
        <f t="shared" si="596"/>
        <v>0.12544303454993111</v>
      </c>
      <c r="R401" s="50">
        <f t="shared" si="597"/>
        <v>0</v>
      </c>
      <c r="S401" s="50">
        <f t="shared" si="598"/>
        <v>0.12544303454993111</v>
      </c>
      <c r="T401" s="50">
        <f t="shared" si="643"/>
        <v>-0.12544303454993111</v>
      </c>
      <c r="U401" s="298"/>
      <c r="V401" s="298"/>
      <c r="W401" s="298"/>
      <c r="X401" s="113"/>
      <c r="Y401" s="113"/>
      <c r="Z401" s="113"/>
      <c r="AA401" s="113"/>
      <c r="AB401" s="113"/>
      <c r="AC401" s="113"/>
      <c r="AD401" s="113"/>
      <c r="AE401" s="113"/>
      <c r="AF401" s="113"/>
      <c r="AG401" s="113"/>
      <c r="AH401" s="113"/>
      <c r="AI401" s="113"/>
      <c r="AJ401" s="113"/>
      <c r="AK401" s="113"/>
      <c r="AL401" s="113"/>
      <c r="AM401" s="113"/>
      <c r="AN401" s="113"/>
      <c r="AO401" s="113"/>
      <c r="AP401" s="113"/>
      <c r="AQ401" s="113"/>
      <c r="AR401" s="113"/>
      <c r="AS401" s="113"/>
      <c r="AT401" s="113"/>
      <c r="AU401" s="113"/>
      <c r="AV401" s="113"/>
      <c r="AW401" s="113"/>
      <c r="AX401" s="113"/>
      <c r="AY401" s="113"/>
      <c r="AZ401" s="113"/>
      <c r="BA401" s="113"/>
    </row>
    <row r="402" spans="2:53" x14ac:dyDescent="0.25">
      <c r="B402" s="47">
        <f t="shared" si="599"/>
        <v>1</v>
      </c>
      <c r="C402" s="47">
        <f t="shared" si="641"/>
        <v>18</v>
      </c>
      <c r="D402" s="47" t="str">
        <f t="shared" ref="D402:D412" si="719">D401</f>
        <v>Seattle</v>
      </c>
      <c r="E402" s="48">
        <v>2003</v>
      </c>
      <c r="F402" s="207">
        <v>1928.7</v>
      </c>
      <c r="G402" s="50">
        <f t="shared" si="592"/>
        <v>0.36097095471835788</v>
      </c>
      <c r="H402" s="49"/>
      <c r="I402" s="49"/>
      <c r="J402" s="207">
        <v>24253.200000000001</v>
      </c>
      <c r="K402" s="50">
        <f t="shared" ref="K402" si="720">J402/$J$468</f>
        <v>2.8597400474826042E-2</v>
      </c>
      <c r="L402" s="50"/>
      <c r="M402" s="207">
        <v>6098753</v>
      </c>
      <c r="N402" s="207">
        <v>285873.59999999998</v>
      </c>
      <c r="O402" s="49">
        <f t="shared" si="594"/>
        <v>261620.39999999997</v>
      </c>
      <c r="P402" s="50">
        <f t="shared" si="595"/>
        <v>0.91516110616720114</v>
      </c>
      <c r="Q402" s="50">
        <f t="shared" si="596"/>
        <v>8.4838893832798856E-2</v>
      </c>
      <c r="R402" s="50">
        <f t="shared" si="597"/>
        <v>0</v>
      </c>
      <c r="S402" s="50">
        <f t="shared" si="598"/>
        <v>8.4838893832798856E-2</v>
      </c>
      <c r="T402" s="50">
        <f t="shared" si="643"/>
        <v>-8.4838893832798856E-2</v>
      </c>
      <c r="U402" s="298"/>
      <c r="V402" s="298"/>
      <c r="W402" s="298"/>
      <c r="X402" s="113"/>
      <c r="Y402" s="113"/>
      <c r="Z402" s="113"/>
      <c r="AA402" s="113"/>
      <c r="AB402" s="113"/>
      <c r="AC402" s="113"/>
      <c r="AD402" s="113"/>
      <c r="AE402" s="113"/>
      <c r="AF402" s="113"/>
      <c r="AG402" s="113"/>
      <c r="AH402" s="113"/>
      <c r="AI402" s="113"/>
      <c r="AJ402" s="113"/>
      <c r="AK402" s="113"/>
      <c r="AL402" s="113"/>
      <c r="AM402" s="113"/>
      <c r="AN402" s="113"/>
      <c r="AO402" s="113"/>
      <c r="AP402" s="113"/>
      <c r="AQ402" s="113"/>
      <c r="AR402" s="113"/>
      <c r="AS402" s="113"/>
      <c r="AT402" s="113"/>
      <c r="AU402" s="113"/>
      <c r="AV402" s="113"/>
      <c r="AW402" s="113"/>
      <c r="AX402" s="113"/>
      <c r="AY402" s="113"/>
      <c r="AZ402" s="113"/>
      <c r="BA402" s="113"/>
    </row>
    <row r="403" spans="2:53" x14ac:dyDescent="0.25">
      <c r="B403" s="47">
        <f t="shared" si="599"/>
        <v>1</v>
      </c>
      <c r="C403" s="47">
        <f t="shared" si="641"/>
        <v>18</v>
      </c>
      <c r="D403" s="47" t="str">
        <f t="shared" si="719"/>
        <v>Seattle</v>
      </c>
      <c r="E403" s="48">
        <v>2004</v>
      </c>
      <c r="F403" s="207">
        <v>1928.7</v>
      </c>
      <c r="G403" s="50">
        <f t="shared" si="592"/>
        <v>0.35629240648289606</v>
      </c>
      <c r="H403" s="49"/>
      <c r="I403" s="49"/>
      <c r="J403" s="207">
        <v>24340.799999999999</v>
      </c>
      <c r="K403" s="50">
        <f t="shared" ref="K403" si="721">J403/$J$469</f>
        <v>2.7546775119607091E-2</v>
      </c>
      <c r="L403" s="50"/>
      <c r="M403" s="207">
        <v>6019707</v>
      </c>
      <c r="N403" s="207">
        <v>316500</v>
      </c>
      <c r="O403" s="49">
        <f t="shared" si="594"/>
        <v>292159.2</v>
      </c>
      <c r="P403" s="50">
        <f t="shared" si="595"/>
        <v>0.92309383886255925</v>
      </c>
      <c r="Q403" s="50">
        <f t="shared" si="596"/>
        <v>7.6906161137440754E-2</v>
      </c>
      <c r="R403" s="50">
        <f t="shared" si="597"/>
        <v>0</v>
      </c>
      <c r="S403" s="50">
        <f t="shared" si="598"/>
        <v>7.6906161137440754E-2</v>
      </c>
      <c r="T403" s="50">
        <f t="shared" si="643"/>
        <v>-7.6906161137440754E-2</v>
      </c>
      <c r="U403" s="298"/>
      <c r="V403" s="298"/>
      <c r="W403" s="298"/>
      <c r="X403" s="113"/>
      <c r="Y403" s="113"/>
      <c r="Z403" s="113"/>
      <c r="AA403" s="113"/>
      <c r="AB403" s="113"/>
      <c r="AC403" s="113"/>
      <c r="AD403" s="113"/>
      <c r="AE403" s="113"/>
      <c r="AF403" s="113"/>
      <c r="AG403" s="113"/>
      <c r="AH403" s="113"/>
      <c r="AI403" s="113"/>
      <c r="AJ403" s="113"/>
      <c r="AK403" s="113"/>
      <c r="AL403" s="113"/>
      <c r="AM403" s="113"/>
      <c r="AN403" s="113"/>
      <c r="AO403" s="113"/>
      <c r="AP403" s="113"/>
      <c r="AQ403" s="113"/>
      <c r="AR403" s="113"/>
      <c r="AS403" s="113"/>
      <c r="AT403" s="113"/>
      <c r="AU403" s="113"/>
      <c r="AV403" s="113"/>
      <c r="AW403" s="113"/>
      <c r="AX403" s="113"/>
      <c r="AY403" s="113"/>
      <c r="AZ403" s="113"/>
      <c r="BA403" s="113"/>
    </row>
    <row r="404" spans="2:53" x14ac:dyDescent="0.25">
      <c r="B404" s="47">
        <f t="shared" si="599"/>
        <v>1</v>
      </c>
      <c r="C404" s="47">
        <f t="shared" si="641"/>
        <v>18</v>
      </c>
      <c r="D404" s="47" t="str">
        <f t="shared" si="719"/>
        <v>Seattle</v>
      </c>
      <c r="E404" s="48">
        <v>2005</v>
      </c>
      <c r="F404" s="207">
        <v>1928.6</v>
      </c>
      <c r="G404" s="50">
        <f t="shared" si="592"/>
        <v>0.32820037200193009</v>
      </c>
      <c r="H404" s="49"/>
      <c r="I404" s="49"/>
      <c r="J404" s="207">
        <v>22675.200000000001</v>
      </c>
      <c r="K404" s="50">
        <f t="shared" ref="K404" si="722">J404/$J$470</f>
        <v>2.4407915150864701E-2</v>
      </c>
      <c r="L404" s="50"/>
      <c r="M404" s="207">
        <v>5544793</v>
      </c>
      <c r="N404" s="207">
        <v>391532.39999999997</v>
      </c>
      <c r="O404" s="49">
        <f t="shared" si="594"/>
        <v>368857.19999999995</v>
      </c>
      <c r="P404" s="50">
        <f t="shared" si="595"/>
        <v>0.94208601893483146</v>
      </c>
      <c r="Q404" s="50">
        <f t="shared" si="596"/>
        <v>5.791398106516854E-2</v>
      </c>
      <c r="R404" s="50">
        <f t="shared" si="597"/>
        <v>0</v>
      </c>
      <c r="S404" s="50">
        <f t="shared" si="598"/>
        <v>5.791398106516854E-2</v>
      </c>
      <c r="T404" s="50">
        <f t="shared" si="643"/>
        <v>-5.791398106516854E-2</v>
      </c>
      <c r="U404" s="298"/>
      <c r="V404" s="298"/>
      <c r="W404" s="298"/>
      <c r="X404" s="113"/>
      <c r="Y404" s="113"/>
      <c r="Z404" s="113"/>
      <c r="AA404" s="113"/>
      <c r="AB404" s="113"/>
      <c r="AC404" s="113"/>
      <c r="AD404" s="113"/>
      <c r="AE404" s="113"/>
      <c r="AF404" s="113"/>
      <c r="AG404" s="113"/>
      <c r="AH404" s="113"/>
      <c r="AI404" s="113"/>
      <c r="AJ404" s="113"/>
      <c r="AK404" s="113"/>
      <c r="AL404" s="113"/>
      <c r="AM404" s="113"/>
      <c r="AN404" s="113"/>
      <c r="AO404" s="113"/>
      <c r="AP404" s="113"/>
      <c r="AQ404" s="113"/>
      <c r="AR404" s="113"/>
      <c r="AS404" s="113"/>
      <c r="AT404" s="113"/>
      <c r="AU404" s="113"/>
      <c r="AV404" s="113"/>
      <c r="AW404" s="113"/>
      <c r="AX404" s="113"/>
      <c r="AY404" s="113"/>
      <c r="AZ404" s="113"/>
      <c r="BA404" s="113"/>
    </row>
    <row r="405" spans="2:53" x14ac:dyDescent="0.25">
      <c r="B405" s="47">
        <f t="shared" si="599"/>
        <v>1</v>
      </c>
      <c r="C405" s="47">
        <f t="shared" si="641"/>
        <v>18</v>
      </c>
      <c r="D405" s="47" t="str">
        <f t="shared" si="719"/>
        <v>Seattle</v>
      </c>
      <c r="E405" s="48">
        <v>2006</v>
      </c>
      <c r="F405" s="207">
        <v>1928.6</v>
      </c>
      <c r="G405" s="50">
        <f t="shared" si="592"/>
        <v>0.39752740175876983</v>
      </c>
      <c r="H405" s="49"/>
      <c r="I405" s="49"/>
      <c r="J405" s="207">
        <v>23476.799999999999</v>
      </c>
      <c r="K405" s="50">
        <f t="shared" ref="K405" si="723">J405/$J$471</f>
        <v>2.384943563762416E-2</v>
      </c>
      <c r="L405" s="50"/>
      <c r="M405" s="207">
        <v>6716041</v>
      </c>
      <c r="N405" s="207">
        <v>378241.2</v>
      </c>
      <c r="O405" s="49">
        <f t="shared" si="594"/>
        <v>354764.4</v>
      </c>
      <c r="P405" s="50">
        <f t="shared" si="595"/>
        <v>0.9379316689985121</v>
      </c>
      <c r="Q405" s="50">
        <f t="shared" si="596"/>
        <v>6.2068331001487898E-2</v>
      </c>
      <c r="R405" s="50">
        <f t="shared" si="597"/>
        <v>0</v>
      </c>
      <c r="S405" s="50">
        <f t="shared" si="598"/>
        <v>6.2068331001487898E-2</v>
      </c>
      <c r="T405" s="50">
        <f t="shared" si="643"/>
        <v>-6.2068331001487898E-2</v>
      </c>
      <c r="U405" s="298"/>
      <c r="V405" s="298"/>
      <c r="W405" s="298"/>
      <c r="X405" s="113"/>
      <c r="Y405" s="113"/>
      <c r="Z405" s="113"/>
      <c r="AA405" s="113"/>
      <c r="AB405" s="113"/>
      <c r="AC405" s="113"/>
      <c r="AD405" s="113"/>
      <c r="AE405" s="113"/>
      <c r="AF405" s="113"/>
      <c r="AG405" s="113"/>
      <c r="AH405" s="113"/>
      <c r="AI405" s="113"/>
      <c r="AJ405" s="113"/>
      <c r="AK405" s="113"/>
      <c r="AL405" s="113"/>
      <c r="AM405" s="113"/>
      <c r="AN405" s="113"/>
      <c r="AO405" s="113"/>
      <c r="AP405" s="113"/>
      <c r="AQ405" s="113"/>
      <c r="AR405" s="113"/>
      <c r="AS405" s="113"/>
      <c r="AT405" s="113"/>
      <c r="AU405" s="113"/>
      <c r="AV405" s="113"/>
      <c r="AW405" s="113"/>
      <c r="AX405" s="113"/>
      <c r="AY405" s="113"/>
      <c r="AZ405" s="113"/>
      <c r="BA405" s="113"/>
    </row>
    <row r="406" spans="2:53" x14ac:dyDescent="0.25">
      <c r="B406" s="47">
        <f t="shared" si="599"/>
        <v>1</v>
      </c>
      <c r="C406" s="47">
        <f t="shared" si="641"/>
        <v>18</v>
      </c>
      <c r="D406" s="47" t="str">
        <f t="shared" si="719"/>
        <v>Seattle</v>
      </c>
      <c r="E406" s="48">
        <v>2007</v>
      </c>
      <c r="F406" s="207">
        <v>1928.6</v>
      </c>
      <c r="G406" s="50">
        <f t="shared" si="592"/>
        <v>0.3865438506272087</v>
      </c>
      <c r="H406" s="49"/>
      <c r="I406" s="49"/>
      <c r="J406" s="207">
        <v>29968.799999999999</v>
      </c>
      <c r="K406" s="50">
        <f t="shared" ref="K406" si="724">J406/$J$472</f>
        <v>2.811523924660584E-2</v>
      </c>
      <c r="L406" s="50"/>
      <c r="M406" s="207">
        <v>6530479</v>
      </c>
      <c r="N406" s="207">
        <v>421464</v>
      </c>
      <c r="O406" s="49">
        <f t="shared" si="594"/>
        <v>391495.2</v>
      </c>
      <c r="P406" s="50">
        <f t="shared" si="595"/>
        <v>0.92889357098115144</v>
      </c>
      <c r="Q406" s="50">
        <f t="shared" si="596"/>
        <v>7.110642901884856E-2</v>
      </c>
      <c r="R406" s="50">
        <f t="shared" si="597"/>
        <v>0</v>
      </c>
      <c r="S406" s="50">
        <f t="shared" si="598"/>
        <v>7.110642901884856E-2</v>
      </c>
      <c r="T406" s="50">
        <f t="shared" si="643"/>
        <v>-7.110642901884856E-2</v>
      </c>
      <c r="U406" s="298"/>
      <c r="V406" s="298"/>
      <c r="W406" s="298"/>
      <c r="X406" s="113"/>
      <c r="Y406" s="113"/>
      <c r="Z406" s="113"/>
      <c r="AA406" s="113"/>
      <c r="AB406" s="113"/>
      <c r="AC406" s="113"/>
      <c r="AD406" s="113"/>
      <c r="AE406" s="113"/>
      <c r="AF406" s="113"/>
      <c r="AG406" s="113"/>
      <c r="AH406" s="113"/>
      <c r="AI406" s="113"/>
      <c r="AJ406" s="113"/>
      <c r="AK406" s="113"/>
      <c r="AL406" s="113"/>
      <c r="AM406" s="113"/>
      <c r="AN406" s="113"/>
      <c r="AO406" s="113"/>
      <c r="AP406" s="113"/>
      <c r="AQ406" s="113"/>
      <c r="AR406" s="113"/>
      <c r="AS406" s="113"/>
      <c r="AT406" s="113"/>
      <c r="AU406" s="113"/>
      <c r="AV406" s="113"/>
      <c r="AW406" s="113"/>
      <c r="AX406" s="113"/>
      <c r="AY406" s="113"/>
      <c r="AZ406" s="113"/>
      <c r="BA406" s="113"/>
    </row>
    <row r="407" spans="2:53" x14ac:dyDescent="0.25">
      <c r="B407" s="47">
        <f t="shared" si="599"/>
        <v>1</v>
      </c>
      <c r="C407" s="47">
        <f t="shared" si="641"/>
        <v>18</v>
      </c>
      <c r="D407" s="47" t="str">
        <f t="shared" si="719"/>
        <v>Seattle</v>
      </c>
      <c r="E407" s="48">
        <v>2008</v>
      </c>
      <c r="F407" s="207">
        <v>1928.6</v>
      </c>
      <c r="G407" s="50">
        <f t="shared" si="592"/>
        <v>0.37282610188288096</v>
      </c>
      <c r="H407" s="49"/>
      <c r="I407" s="49"/>
      <c r="J407" s="207">
        <v>33573.600000000006</v>
      </c>
      <c r="K407" s="50">
        <f t="shared" ref="K407" si="725">J407/$J$473</f>
        <v>2.8990937983385909E-2</v>
      </c>
      <c r="L407" s="50"/>
      <c r="M407" s="207">
        <v>6298724</v>
      </c>
      <c r="N407" s="207">
        <v>467048.39999999997</v>
      </c>
      <c r="O407" s="49">
        <f t="shared" si="594"/>
        <v>433474.79999999993</v>
      </c>
      <c r="P407" s="50">
        <f t="shared" si="595"/>
        <v>0.92811537305341363</v>
      </c>
      <c r="Q407" s="50">
        <f t="shared" si="596"/>
        <v>7.1884626946586372E-2</v>
      </c>
      <c r="R407" s="50">
        <f t="shared" si="597"/>
        <v>0</v>
      </c>
      <c r="S407" s="50">
        <f t="shared" si="598"/>
        <v>7.1884626946586372E-2</v>
      </c>
      <c r="T407" s="50">
        <f t="shared" si="643"/>
        <v>-7.1884626946586372E-2</v>
      </c>
      <c r="U407" s="298"/>
      <c r="V407" s="298"/>
      <c r="W407" s="298"/>
      <c r="X407" s="113"/>
      <c r="Y407" s="113"/>
      <c r="Z407" s="113"/>
      <c r="AA407" s="113"/>
      <c r="AB407" s="113"/>
      <c r="AC407" s="113"/>
      <c r="AD407" s="113"/>
      <c r="AE407" s="113"/>
      <c r="AF407" s="113"/>
      <c r="AG407" s="113"/>
      <c r="AH407" s="113"/>
      <c r="AI407" s="113"/>
      <c r="AJ407" s="113"/>
      <c r="AK407" s="113"/>
      <c r="AL407" s="113"/>
      <c r="AM407" s="113"/>
      <c r="AN407" s="113"/>
      <c r="AO407" s="113"/>
      <c r="AP407" s="113"/>
      <c r="AQ407" s="113"/>
      <c r="AR407" s="113"/>
      <c r="AS407" s="113"/>
      <c r="AT407" s="113"/>
      <c r="AU407" s="113"/>
      <c r="AV407" s="113"/>
      <c r="AW407" s="113"/>
      <c r="AX407" s="113"/>
      <c r="AY407" s="113"/>
      <c r="AZ407" s="113"/>
      <c r="BA407" s="113"/>
    </row>
    <row r="408" spans="2:53" x14ac:dyDescent="0.25">
      <c r="B408" s="47">
        <f t="shared" si="599"/>
        <v>1</v>
      </c>
      <c r="C408" s="47">
        <f t="shared" si="641"/>
        <v>18</v>
      </c>
      <c r="D408" s="47" t="str">
        <f t="shared" si="719"/>
        <v>Seattle</v>
      </c>
      <c r="E408" s="48">
        <v>2009</v>
      </c>
      <c r="F408" s="207">
        <v>1928.6</v>
      </c>
      <c r="G408" s="50">
        <f t="shared" si="592"/>
        <v>0.34794575003421224</v>
      </c>
      <c r="H408" s="49"/>
      <c r="I408" s="49"/>
      <c r="J408" s="207">
        <v>34346.400000000001</v>
      </c>
      <c r="K408" s="50">
        <f t="shared" ref="K408" si="726">J408/$J$474</f>
        <v>2.9107484321195986E-2</v>
      </c>
      <c r="L408" s="50"/>
      <c r="M408" s="207">
        <v>5878382</v>
      </c>
      <c r="N408" s="207">
        <v>234102</v>
      </c>
      <c r="O408" s="49">
        <f t="shared" si="594"/>
        <v>199755.6</v>
      </c>
      <c r="P408" s="50">
        <f t="shared" si="595"/>
        <v>0.8532844657457006</v>
      </c>
      <c r="Q408" s="50">
        <f t="shared" si="596"/>
        <v>0.1467155342542994</v>
      </c>
      <c r="R408" s="50">
        <f t="shared" si="597"/>
        <v>0</v>
      </c>
      <c r="S408" s="50">
        <f t="shared" si="598"/>
        <v>0.1467155342542994</v>
      </c>
      <c r="T408" s="50">
        <f t="shared" si="643"/>
        <v>-0.1467155342542994</v>
      </c>
      <c r="U408" s="298"/>
      <c r="V408" s="298"/>
      <c r="W408" s="298"/>
      <c r="X408" s="113"/>
      <c r="Y408" s="113"/>
      <c r="Z408" s="113"/>
      <c r="AA408" s="113"/>
      <c r="AB408" s="113"/>
      <c r="AC408" s="113"/>
      <c r="AD408" s="113"/>
      <c r="AE408" s="113"/>
      <c r="AF408" s="113"/>
      <c r="AG408" s="113"/>
      <c r="AH408" s="113"/>
      <c r="AI408" s="113"/>
      <c r="AJ408" s="113"/>
      <c r="AK408" s="113"/>
      <c r="AL408" s="113"/>
      <c r="AM408" s="113"/>
      <c r="AN408" s="113"/>
      <c r="AO408" s="113"/>
      <c r="AP408" s="113"/>
      <c r="AQ408" s="113"/>
      <c r="AR408" s="113"/>
      <c r="AS408" s="113"/>
      <c r="AT408" s="113"/>
      <c r="AU408" s="113"/>
      <c r="AV408" s="113"/>
      <c r="AW408" s="113"/>
      <c r="AX408" s="113"/>
      <c r="AY408" s="113"/>
      <c r="AZ408" s="113"/>
      <c r="BA408" s="113"/>
    </row>
    <row r="409" spans="2:53" x14ac:dyDescent="0.25">
      <c r="B409" s="47">
        <f t="shared" si="599"/>
        <v>1</v>
      </c>
      <c r="C409" s="47">
        <f t="shared" si="641"/>
        <v>18</v>
      </c>
      <c r="D409" s="47" t="str">
        <f t="shared" si="719"/>
        <v>Seattle</v>
      </c>
      <c r="E409" s="48">
        <v>2010</v>
      </c>
      <c r="F409" s="207">
        <v>1928.6</v>
      </c>
      <c r="G409" s="50">
        <f t="shared" si="592"/>
        <v>0.32609306346146472</v>
      </c>
      <c r="H409" s="49"/>
      <c r="I409" s="49"/>
      <c r="J409" s="207">
        <v>26841.599999999999</v>
      </c>
      <c r="K409" s="50">
        <f t="shared" ref="K409" si="727">J409/$J$475</f>
        <v>2.193501821155637E-2</v>
      </c>
      <c r="L409" s="50"/>
      <c r="M409" s="207">
        <v>5509191</v>
      </c>
      <c r="N409" s="207">
        <v>224287.19999999998</v>
      </c>
      <c r="O409" s="49">
        <f t="shared" si="594"/>
        <v>197445.59999999998</v>
      </c>
      <c r="P409" s="50">
        <f t="shared" si="595"/>
        <v>0.88032486918557984</v>
      </c>
      <c r="Q409" s="50">
        <f t="shared" si="596"/>
        <v>0.11967513081442016</v>
      </c>
      <c r="R409" s="50">
        <f t="shared" si="597"/>
        <v>0</v>
      </c>
      <c r="S409" s="50">
        <f t="shared" si="598"/>
        <v>0.11967513081442016</v>
      </c>
      <c r="T409" s="50">
        <f t="shared" si="643"/>
        <v>-0.11967513081442016</v>
      </c>
      <c r="U409" s="298"/>
      <c r="V409" s="298"/>
      <c r="W409" s="298"/>
      <c r="X409" s="113"/>
      <c r="Y409" s="113"/>
      <c r="Z409" s="113"/>
      <c r="AA409" s="113"/>
      <c r="AB409" s="113"/>
      <c r="AC409" s="113"/>
      <c r="AD409" s="113"/>
      <c r="AE409" s="113"/>
      <c r="AF409" s="113"/>
      <c r="AG409" s="113"/>
      <c r="AH409" s="113"/>
      <c r="AI409" s="113"/>
      <c r="AJ409" s="113"/>
      <c r="AK409" s="113"/>
      <c r="AL409" s="113"/>
      <c r="AM409" s="113"/>
      <c r="AN409" s="113"/>
      <c r="AO409" s="113"/>
      <c r="AP409" s="113"/>
      <c r="AQ409" s="113"/>
      <c r="AR409" s="113"/>
      <c r="AS409" s="113"/>
      <c r="AT409" s="113"/>
      <c r="AU409" s="113"/>
      <c r="AV409" s="113"/>
      <c r="AW409" s="113"/>
      <c r="AX409" s="113"/>
      <c r="AY409" s="113"/>
      <c r="AZ409" s="113"/>
      <c r="BA409" s="113"/>
    </row>
    <row r="410" spans="2:53" x14ac:dyDescent="0.25">
      <c r="B410" s="47">
        <f t="shared" si="599"/>
        <v>1</v>
      </c>
      <c r="C410" s="47">
        <f t="shared" si="641"/>
        <v>18</v>
      </c>
      <c r="D410" s="47" t="str">
        <f t="shared" si="719"/>
        <v>Seattle</v>
      </c>
      <c r="E410" s="48">
        <v>2011</v>
      </c>
      <c r="F410" s="207">
        <v>1928.6</v>
      </c>
      <c r="G410" s="50">
        <f t="shared" si="592"/>
        <v>0.44670685244033931</v>
      </c>
      <c r="H410" s="49"/>
      <c r="I410" s="49"/>
      <c r="J410" s="207">
        <v>35156.400000000001</v>
      </c>
      <c r="K410" s="50">
        <f t="shared" ref="K410" si="728">J410/$J$476</f>
        <v>2.9127776702836287E-2</v>
      </c>
      <c r="L410" s="50"/>
      <c r="M410" s="207">
        <v>7546905</v>
      </c>
      <c r="N410" s="207">
        <v>250537.19999999998</v>
      </c>
      <c r="O410" s="49">
        <f t="shared" si="594"/>
        <v>215380.8</v>
      </c>
      <c r="P410" s="50">
        <f t="shared" si="595"/>
        <v>0.85967592836512907</v>
      </c>
      <c r="Q410" s="50">
        <f t="shared" si="596"/>
        <v>0.14032407163487093</v>
      </c>
      <c r="R410" s="50">
        <f t="shared" si="597"/>
        <v>0</v>
      </c>
      <c r="S410" s="50">
        <f t="shared" si="598"/>
        <v>0.14032407163487093</v>
      </c>
      <c r="T410" s="50">
        <f t="shared" si="643"/>
        <v>-0.14032407163487093</v>
      </c>
      <c r="U410" s="298"/>
      <c r="V410" s="298"/>
      <c r="W410" s="298"/>
      <c r="X410" s="113"/>
      <c r="Y410" s="113"/>
      <c r="Z410" s="113"/>
      <c r="AA410" s="113"/>
      <c r="AB410" s="113"/>
      <c r="AC410" s="113"/>
      <c r="AD410" s="113"/>
      <c r="AE410" s="113"/>
      <c r="AF410" s="113"/>
      <c r="AG410" s="113"/>
      <c r="AH410" s="113"/>
      <c r="AI410" s="113"/>
      <c r="AJ410" s="113"/>
      <c r="AK410" s="113"/>
      <c r="AL410" s="113"/>
      <c r="AM410" s="113"/>
      <c r="AN410" s="113"/>
      <c r="AO410" s="113"/>
      <c r="AP410" s="113"/>
      <c r="AQ410" s="113"/>
      <c r="AR410" s="113"/>
      <c r="AS410" s="113"/>
      <c r="AT410" s="113"/>
      <c r="AU410" s="113"/>
      <c r="AV410" s="113"/>
      <c r="AW410" s="113"/>
      <c r="AX410" s="113"/>
      <c r="AY410" s="113"/>
      <c r="AZ410" s="113"/>
      <c r="BA410" s="113"/>
    </row>
    <row r="411" spans="2:53" x14ac:dyDescent="0.25">
      <c r="B411" s="47">
        <f t="shared" si="599"/>
        <v>1</v>
      </c>
      <c r="C411" s="47">
        <f t="shared" si="641"/>
        <v>18</v>
      </c>
      <c r="D411" s="47" t="str">
        <f t="shared" si="719"/>
        <v>Seattle</v>
      </c>
      <c r="E411" s="48">
        <v>2012</v>
      </c>
      <c r="F411" s="207">
        <v>1928.6</v>
      </c>
      <c r="G411" s="50">
        <f t="shared" si="592"/>
        <v>0.41120324346285686</v>
      </c>
      <c r="H411" s="49"/>
      <c r="I411" s="49"/>
      <c r="J411" s="207">
        <v>38746.799999999996</v>
      </c>
      <c r="K411" s="50">
        <f t="shared" ref="K411" si="729">J411/$J$477</f>
        <v>3.1119744271701808E-2</v>
      </c>
      <c r="L411" s="50"/>
      <c r="M411" s="207">
        <v>6947088</v>
      </c>
      <c r="N411" s="207">
        <v>172704</v>
      </c>
      <c r="O411" s="49">
        <f t="shared" si="594"/>
        <v>133957.20000000001</v>
      </c>
      <c r="P411" s="50">
        <f t="shared" si="595"/>
        <v>0.77564619232907173</v>
      </c>
      <c r="Q411" s="50">
        <f t="shared" si="596"/>
        <v>0.22435380767092827</v>
      </c>
      <c r="R411" s="50">
        <f t="shared" si="597"/>
        <v>0</v>
      </c>
      <c r="S411" s="50">
        <f t="shared" si="598"/>
        <v>0.22435380767092827</v>
      </c>
      <c r="T411" s="50">
        <f t="shared" si="643"/>
        <v>-0.22435380767092827</v>
      </c>
      <c r="U411" s="298"/>
      <c r="V411" s="298"/>
      <c r="W411" s="298"/>
      <c r="X411" s="113"/>
      <c r="Y411" s="113"/>
      <c r="Z411" s="113"/>
      <c r="AA411" s="113"/>
      <c r="AB411" s="113"/>
      <c r="AC411" s="113"/>
      <c r="AD411" s="113"/>
      <c r="AE411" s="113"/>
      <c r="AF411" s="113"/>
      <c r="AG411" s="113"/>
      <c r="AH411" s="113"/>
      <c r="AI411" s="113"/>
      <c r="AJ411" s="113"/>
      <c r="AK411" s="113"/>
      <c r="AL411" s="113"/>
      <c r="AM411" s="113"/>
      <c r="AN411" s="113"/>
      <c r="AO411" s="113"/>
      <c r="AP411" s="113"/>
      <c r="AQ411" s="113"/>
      <c r="AR411" s="113"/>
      <c r="AS411" s="113"/>
      <c r="AT411" s="113"/>
      <c r="AU411" s="113"/>
      <c r="AV411" s="113"/>
      <c r="AW411" s="113"/>
      <c r="AX411" s="113"/>
      <c r="AY411" s="113"/>
      <c r="AZ411" s="113"/>
      <c r="BA411" s="113"/>
    </row>
    <row r="412" spans="2:53" x14ac:dyDescent="0.25">
      <c r="B412" s="47">
        <f t="shared" si="599"/>
        <v>1</v>
      </c>
      <c r="C412" s="47">
        <f t="shared" si="641"/>
        <v>18</v>
      </c>
      <c r="D412" s="47" t="str">
        <f t="shared" si="719"/>
        <v>Seattle</v>
      </c>
      <c r="E412" s="48">
        <v>2013</v>
      </c>
      <c r="F412" s="207">
        <v>1928.6</v>
      </c>
      <c r="G412" s="50">
        <f t="shared" si="592"/>
        <v>0.36159075336546681</v>
      </c>
      <c r="H412" s="47"/>
      <c r="I412" s="47"/>
      <c r="J412" s="207">
        <v>48000</v>
      </c>
      <c r="K412" s="50">
        <f t="shared" ref="K412" si="730">J412/$J$478</f>
        <v>3.8612453862199594E-2</v>
      </c>
      <c r="L412" s="47"/>
      <c r="M412" s="207">
        <v>6108908</v>
      </c>
      <c r="N412" s="207">
        <v>261244.79131260456</v>
      </c>
      <c r="O412" s="49">
        <f t="shared" si="594"/>
        <v>213244.79131260456</v>
      </c>
      <c r="P412" s="50">
        <f t="shared" si="595"/>
        <v>0.81626427934188595</v>
      </c>
      <c r="Q412" s="50">
        <f t="shared" si="596"/>
        <v>0.18373572065811405</v>
      </c>
      <c r="R412" s="50">
        <f t="shared" si="597"/>
        <v>0</v>
      </c>
      <c r="S412" s="50">
        <f t="shared" si="598"/>
        <v>0.18373572065811405</v>
      </c>
      <c r="T412" s="50">
        <f t="shared" si="643"/>
        <v>-0.18373572065811405</v>
      </c>
      <c r="U412" s="298"/>
      <c r="V412" s="298"/>
      <c r="W412" s="298"/>
      <c r="X412" s="113"/>
      <c r="Y412" s="113"/>
      <c r="Z412" s="113"/>
      <c r="AA412" s="113"/>
      <c r="AB412" s="113"/>
      <c r="AC412" s="113"/>
      <c r="AD412" s="113"/>
      <c r="AE412" s="113"/>
      <c r="AF412" s="113"/>
      <c r="AG412" s="113"/>
      <c r="AH412" s="113"/>
      <c r="AI412" s="113"/>
      <c r="AJ412" s="113"/>
      <c r="AK412" s="113"/>
      <c r="AL412" s="113"/>
      <c r="AM412" s="113"/>
      <c r="AN412" s="113"/>
      <c r="AO412" s="113"/>
      <c r="AP412" s="113"/>
      <c r="AQ412" s="113"/>
      <c r="AR412" s="113"/>
      <c r="AS412" s="113"/>
      <c r="AT412" s="113"/>
      <c r="AU412" s="113"/>
      <c r="AV412" s="113"/>
      <c r="AW412" s="113"/>
      <c r="AX412" s="113"/>
      <c r="AY412" s="113"/>
      <c r="AZ412" s="113"/>
      <c r="BA412" s="113"/>
    </row>
    <row r="413" spans="2:53" x14ac:dyDescent="0.25">
      <c r="B413" s="47">
        <f t="shared" si="599"/>
        <v>1</v>
      </c>
      <c r="C413" s="47">
        <f t="shared" si="641"/>
        <v>18</v>
      </c>
      <c r="D413" s="47" t="str">
        <f>D410</f>
        <v>Seattle</v>
      </c>
      <c r="E413" s="48">
        <v>2014</v>
      </c>
      <c r="F413" s="207">
        <v>1928.6</v>
      </c>
      <c r="G413" s="50">
        <f t="shared" si="592"/>
        <v>0.41974328268027011</v>
      </c>
      <c r="H413" s="47"/>
      <c r="I413" s="47"/>
      <c r="J413" s="207">
        <v>42000</v>
      </c>
      <c r="K413" s="50">
        <f t="shared" ref="K413" si="731">J413/$J$479</f>
        <v>3.3662393715611194E-2</v>
      </c>
      <c r="L413" s="47"/>
      <c r="M413" s="207">
        <v>7091368</v>
      </c>
      <c r="N413" s="207">
        <v>317782.69867615448</v>
      </c>
      <c r="O413" s="49">
        <f t="shared" si="594"/>
        <v>275782.69867615448</v>
      </c>
      <c r="P413" s="50">
        <f t="shared" si="595"/>
        <v>0.86783421446489351</v>
      </c>
      <c r="Q413" s="50">
        <f t="shared" si="596"/>
        <v>0.13216578553510649</v>
      </c>
      <c r="R413" s="50">
        <f t="shared" si="597"/>
        <v>0</v>
      </c>
      <c r="S413" s="50">
        <f t="shared" si="598"/>
        <v>0.13216578553510649</v>
      </c>
      <c r="T413" s="50">
        <f t="shared" si="643"/>
        <v>-0.13216578553510649</v>
      </c>
      <c r="U413" s="298"/>
      <c r="V413" s="298"/>
      <c r="W413" s="298"/>
      <c r="X413" s="113"/>
      <c r="Y413" s="113"/>
      <c r="Z413" s="113"/>
      <c r="AA413" s="113"/>
      <c r="AB413" s="113"/>
      <c r="AC413" s="113"/>
      <c r="AD413" s="113"/>
      <c r="AE413" s="113"/>
      <c r="AF413" s="113"/>
      <c r="AG413" s="113"/>
      <c r="AH413" s="113"/>
      <c r="AI413" s="113"/>
      <c r="AJ413" s="113"/>
      <c r="AK413" s="113"/>
      <c r="AL413" s="113"/>
      <c r="AM413" s="113"/>
      <c r="AN413" s="113"/>
      <c r="AO413" s="113"/>
      <c r="AP413" s="113"/>
      <c r="AQ413" s="113"/>
      <c r="AR413" s="113"/>
      <c r="AS413" s="113"/>
      <c r="AT413" s="113"/>
      <c r="AU413" s="113"/>
      <c r="AV413" s="113"/>
      <c r="AW413" s="113"/>
      <c r="AX413" s="113"/>
      <c r="AY413" s="113"/>
      <c r="AZ413" s="113"/>
      <c r="BA413" s="113"/>
    </row>
    <row r="414" spans="2:53" x14ac:dyDescent="0.25">
      <c r="B414" s="47">
        <f t="shared" si="599"/>
        <v>1</v>
      </c>
      <c r="C414" s="47">
        <f t="shared" si="641"/>
        <v>18</v>
      </c>
      <c r="D414" s="47" t="str">
        <f>D411</f>
        <v>Seattle</v>
      </c>
      <c r="E414" s="48">
        <v>2015</v>
      </c>
      <c r="F414" s="207">
        <v>1928.6</v>
      </c>
      <c r="G414" s="50">
        <f t="shared" si="592"/>
        <v>0.35395372799821195</v>
      </c>
      <c r="H414" s="47"/>
      <c r="I414" s="47"/>
      <c r="J414" s="207">
        <v>41760</v>
      </c>
      <c r="K414" s="50">
        <f t="shared" ref="K414" si="732">J414/$J$480</f>
        <v>3.1685407323992783E-2</v>
      </c>
      <c r="L414" s="47"/>
      <c r="M414" s="207">
        <v>5979884</v>
      </c>
      <c r="N414" s="207">
        <v>174915.52949249282</v>
      </c>
      <c r="O414" s="49">
        <f t="shared" si="594"/>
        <v>133155.52949249282</v>
      </c>
      <c r="P414" s="50">
        <f t="shared" si="595"/>
        <v>0.7612561896524328</v>
      </c>
      <c r="Q414" s="50">
        <f t="shared" si="596"/>
        <v>0.2387438103475672</v>
      </c>
      <c r="R414" s="50">
        <f t="shared" si="597"/>
        <v>0</v>
      </c>
      <c r="S414" s="50">
        <f t="shared" si="598"/>
        <v>0.2387438103475672</v>
      </c>
      <c r="T414" s="50">
        <f t="shared" si="643"/>
        <v>-0.2387438103475672</v>
      </c>
      <c r="U414" s="298"/>
      <c r="V414" s="298"/>
      <c r="W414" s="298"/>
      <c r="X414" s="113"/>
      <c r="Y414" s="113"/>
      <c r="Z414" s="113"/>
      <c r="AA414" s="113"/>
      <c r="AB414" s="113"/>
      <c r="AC414" s="113"/>
      <c r="AD414" s="113"/>
      <c r="AE414" s="113"/>
      <c r="AF414" s="113"/>
      <c r="AG414" s="113"/>
      <c r="AH414" s="113"/>
      <c r="AI414" s="113"/>
      <c r="AJ414" s="113"/>
      <c r="AK414" s="113"/>
      <c r="AL414" s="113"/>
      <c r="AM414" s="113"/>
      <c r="AN414" s="113"/>
      <c r="AO414" s="113"/>
      <c r="AP414" s="113"/>
      <c r="AQ414" s="113"/>
      <c r="AR414" s="113"/>
      <c r="AS414" s="113"/>
      <c r="AT414" s="113"/>
      <c r="AU414" s="113"/>
      <c r="AV414" s="113"/>
      <c r="AW414" s="113"/>
      <c r="AX414" s="113"/>
      <c r="AY414" s="113"/>
      <c r="AZ414" s="113"/>
      <c r="BA414" s="113"/>
    </row>
    <row r="415" spans="2:53" x14ac:dyDescent="0.25">
      <c r="B415" s="47">
        <f t="shared" si="599"/>
        <v>1</v>
      </c>
      <c r="C415" s="47">
        <f t="shared" si="641"/>
        <v>18</v>
      </c>
      <c r="D415" s="47" t="str">
        <f>D412</f>
        <v>Seattle</v>
      </c>
      <c r="E415" s="48">
        <v>2016</v>
      </c>
      <c r="F415" s="207">
        <v>1928.6</v>
      </c>
      <c r="G415" s="50">
        <f t="shared" si="592"/>
        <v>0.39700788467940168</v>
      </c>
      <c r="H415" s="47"/>
      <c r="I415" s="47"/>
      <c r="J415" s="207">
        <v>44160</v>
      </c>
      <c r="K415" s="50">
        <f t="shared" ref="K415" si="733">J415/$J$481</f>
        <v>3.3180895565418249E-2</v>
      </c>
      <c r="L415" s="47"/>
      <c r="M415" s="207">
        <v>6707264</v>
      </c>
      <c r="N415" s="207">
        <v>166890.78696334586</v>
      </c>
      <c r="O415" s="49">
        <f t="shared" si="594"/>
        <v>122730.78696334586</v>
      </c>
      <c r="P415" s="50">
        <f t="shared" si="595"/>
        <v>0.7353958190052825</v>
      </c>
      <c r="Q415" s="50">
        <f t="shared" si="596"/>
        <v>0.2646041809947175</v>
      </c>
      <c r="R415" s="50">
        <f t="shared" si="597"/>
        <v>0</v>
      </c>
      <c r="S415" s="50">
        <f t="shared" si="598"/>
        <v>0.2646041809947175</v>
      </c>
      <c r="T415" s="50">
        <f t="shared" si="643"/>
        <v>-0.2646041809947175</v>
      </c>
      <c r="U415" s="298"/>
      <c r="V415" s="298"/>
      <c r="W415" s="298"/>
      <c r="X415" s="113"/>
      <c r="Y415" s="113"/>
      <c r="Z415" s="113"/>
      <c r="AA415" s="113"/>
      <c r="AB415" s="113"/>
      <c r="AC415" s="113"/>
      <c r="AD415" s="113"/>
      <c r="AE415" s="113"/>
      <c r="AF415" s="113"/>
      <c r="AG415" s="113"/>
      <c r="AH415" s="113"/>
      <c r="AI415" s="113"/>
      <c r="AJ415" s="113"/>
      <c r="AK415" s="113"/>
      <c r="AL415" s="113"/>
      <c r="AM415" s="113"/>
      <c r="AN415" s="113"/>
      <c r="AO415" s="113"/>
      <c r="AP415" s="113"/>
      <c r="AQ415" s="113"/>
      <c r="AR415" s="113"/>
      <c r="AS415" s="113"/>
      <c r="AT415" s="113"/>
      <c r="AU415" s="113"/>
      <c r="AV415" s="113"/>
      <c r="AW415" s="113"/>
      <c r="AX415" s="113"/>
      <c r="AY415" s="113"/>
      <c r="AZ415" s="113"/>
      <c r="BA415" s="113"/>
    </row>
    <row r="416" spans="2:53" x14ac:dyDescent="0.25">
      <c r="B416" s="47">
        <f>B415</f>
        <v>1</v>
      </c>
      <c r="C416" s="47">
        <f>IF(D416=D415,C415,C415+1)</f>
        <v>18</v>
      </c>
      <c r="D416" s="47" t="str">
        <f>D412</f>
        <v>Seattle</v>
      </c>
      <c r="E416" s="48">
        <v>2017</v>
      </c>
      <c r="F416" s="207">
        <v>1928.6</v>
      </c>
      <c r="G416" s="50">
        <f t="shared" ref="G416:G444" si="734">M416/(F416*8760)</f>
        <v>0.37861726418529634</v>
      </c>
      <c r="H416" s="47"/>
      <c r="I416" s="47"/>
      <c r="J416" s="207">
        <v>48120</v>
      </c>
      <c r="K416" s="50">
        <f t="shared" ref="K416" si="735">J416/$J$482</f>
        <v>3.6959201323169294E-2</v>
      </c>
      <c r="L416" s="47"/>
      <c r="M416" s="207">
        <v>6396563</v>
      </c>
      <c r="N416" s="207">
        <v>173949.07938088951</v>
      </c>
      <c r="O416" s="49">
        <f t="shared" ref="O416:O439" si="736">N416-J416</f>
        <v>125829.07938088951</v>
      </c>
      <c r="P416" s="50">
        <f t="shared" ref="P416:P438" si="737">O416/N416</f>
        <v>0.72336732007282711</v>
      </c>
      <c r="Q416" s="50">
        <f t="shared" ref="Q416:Q438" si="738">1-P416</f>
        <v>0.27663267992717289</v>
      </c>
      <c r="R416" s="50">
        <f t="shared" ref="R416:R438" si="739">Q416*L416</f>
        <v>0</v>
      </c>
      <c r="S416" s="50">
        <f t="shared" ref="S416:S438" si="740">Q416-R416</f>
        <v>0.27663267992717289</v>
      </c>
      <c r="T416" s="50">
        <f t="shared" si="643"/>
        <v>-0.27663267992717289</v>
      </c>
      <c r="U416" s="298"/>
      <c r="V416" s="298"/>
      <c r="W416" s="298"/>
      <c r="X416" s="113"/>
      <c r="Y416" s="113"/>
      <c r="Z416" s="113"/>
      <c r="AA416" s="113"/>
      <c r="AB416" s="113"/>
      <c r="AC416" s="113"/>
      <c r="AD416" s="113"/>
      <c r="AE416" s="113"/>
      <c r="AF416" s="113"/>
      <c r="AG416" s="113"/>
      <c r="AH416" s="113"/>
      <c r="AI416" s="113"/>
      <c r="AJ416" s="113"/>
      <c r="AK416" s="113"/>
      <c r="AL416" s="113"/>
      <c r="AM416" s="113"/>
      <c r="AN416" s="113"/>
      <c r="AO416" s="113"/>
      <c r="AP416" s="113"/>
      <c r="AQ416" s="113"/>
      <c r="AR416" s="113"/>
      <c r="AS416" s="113"/>
      <c r="AT416" s="113"/>
      <c r="AU416" s="113"/>
      <c r="AV416" s="113"/>
      <c r="AW416" s="113"/>
      <c r="AX416" s="113"/>
      <c r="AY416" s="113"/>
      <c r="AZ416" s="113"/>
      <c r="BA416" s="113"/>
    </row>
    <row r="417" spans="2:53" x14ac:dyDescent="0.25">
      <c r="B417" s="47">
        <f t="shared" ref="B417:B422" si="741">B416</f>
        <v>1</v>
      </c>
      <c r="C417" s="47">
        <f t="shared" ref="C417:C421" si="742">IF(D417=D416,C416,C416+1)</f>
        <v>18</v>
      </c>
      <c r="D417" s="47" t="str">
        <f t="shared" ref="D417:D421" si="743">D413</f>
        <v>Seattle</v>
      </c>
      <c r="E417" s="48">
        <v>2018</v>
      </c>
      <c r="F417" s="207">
        <v>1928.6</v>
      </c>
      <c r="G417" s="50">
        <f t="shared" ref="G417:G422" si="744">M417/(F417*8760)</f>
        <v>0.37995337664201018</v>
      </c>
      <c r="H417" s="47"/>
      <c r="I417" s="47"/>
      <c r="J417" s="207">
        <v>43800</v>
      </c>
      <c r="K417" s="50">
        <f t="shared" ref="K417" si="745">J417/$J$483</f>
        <v>3.121651477289936E-2</v>
      </c>
      <c r="L417" s="47"/>
      <c r="M417" s="208">
        <v>6419136</v>
      </c>
      <c r="N417" s="207">
        <v>235008.48858479041</v>
      </c>
      <c r="O417" s="49">
        <f t="shared" ref="O417:O422" si="746">N417-J417</f>
        <v>191208.48858479041</v>
      </c>
      <c r="P417" s="50">
        <f t="shared" ref="P417:P422" si="747">O417/N417</f>
        <v>0.81362375349179317</v>
      </c>
      <c r="Q417" s="50">
        <f t="shared" ref="Q417:Q422" si="748">1-P417</f>
        <v>0.18637624650820683</v>
      </c>
      <c r="R417" s="50">
        <f t="shared" ref="R417:R422" si="749">Q417*L417</f>
        <v>0</v>
      </c>
      <c r="S417" s="50">
        <f t="shared" ref="S417:S422" si="750">Q417-R417</f>
        <v>0.18637624650820683</v>
      </c>
      <c r="T417" s="50">
        <f t="shared" ref="T417:T422" si="751">R417-S417</f>
        <v>-0.18637624650820683</v>
      </c>
      <c r="U417" s="298"/>
      <c r="V417" s="298"/>
      <c r="W417" s="298"/>
      <c r="X417" s="113"/>
      <c r="Y417" s="113"/>
      <c r="Z417" s="113"/>
      <c r="AA417" s="113"/>
      <c r="AB417" s="113"/>
      <c r="AC417" s="113"/>
      <c r="AD417" s="113"/>
      <c r="AE417" s="113"/>
      <c r="AF417" s="113"/>
      <c r="AG417" s="113"/>
      <c r="AH417" s="113"/>
      <c r="AI417" s="113"/>
      <c r="AJ417" s="113"/>
      <c r="AK417" s="113"/>
      <c r="AL417" s="113"/>
      <c r="AM417" s="113"/>
      <c r="AN417" s="113"/>
      <c r="AO417" s="113"/>
      <c r="AP417" s="113"/>
      <c r="AQ417" s="113"/>
      <c r="AR417" s="113"/>
      <c r="AS417" s="113"/>
      <c r="AT417" s="113"/>
      <c r="AU417" s="113"/>
      <c r="AV417" s="113"/>
      <c r="AW417" s="113"/>
      <c r="AX417" s="113"/>
      <c r="AY417" s="113"/>
      <c r="AZ417" s="113"/>
      <c r="BA417" s="113"/>
    </row>
    <row r="418" spans="2:53" x14ac:dyDescent="0.25">
      <c r="B418" s="47">
        <f t="shared" si="741"/>
        <v>1</v>
      </c>
      <c r="C418" s="47">
        <f t="shared" si="742"/>
        <v>18</v>
      </c>
      <c r="D418" s="47" t="str">
        <f t="shared" si="743"/>
        <v>Seattle</v>
      </c>
      <c r="E418" s="48">
        <v>2019</v>
      </c>
      <c r="F418" s="207">
        <v>1928.6</v>
      </c>
      <c r="G418" s="50">
        <f t="shared" si="744"/>
        <v>0.31645574640226876</v>
      </c>
      <c r="H418" s="47"/>
      <c r="I418" s="47"/>
      <c r="J418" s="207">
        <v>45602.400000000001</v>
      </c>
      <c r="K418" s="50">
        <f t="shared" ref="K418" si="752">J418/$J$484</f>
        <v>3.3117669624612329E-2</v>
      </c>
      <c r="L418" s="47"/>
      <c r="M418" s="207">
        <v>5346373</v>
      </c>
      <c r="N418" s="207">
        <v>214402.55653725599</v>
      </c>
      <c r="O418" s="49">
        <f t="shared" si="746"/>
        <v>168800.156537256</v>
      </c>
      <c r="P418" s="50">
        <f t="shared" si="747"/>
        <v>0.78730477501523721</v>
      </c>
      <c r="Q418" s="50">
        <f t="shared" si="748"/>
        <v>0.21269522498476279</v>
      </c>
      <c r="R418" s="50">
        <f t="shared" si="749"/>
        <v>0</v>
      </c>
      <c r="S418" s="50">
        <f t="shared" si="750"/>
        <v>0.21269522498476279</v>
      </c>
      <c r="T418" s="50">
        <f t="shared" si="751"/>
        <v>-0.21269522498476279</v>
      </c>
      <c r="U418" s="298"/>
      <c r="V418" s="298"/>
      <c r="W418" s="298"/>
      <c r="X418" s="113"/>
      <c r="Y418" s="113"/>
      <c r="Z418" s="113"/>
      <c r="AA418" s="113"/>
      <c r="AB418" s="113"/>
      <c r="AC418" s="113"/>
      <c r="AD418" s="113"/>
      <c r="AE418" s="113"/>
      <c r="AF418" s="113"/>
      <c r="AG418" s="113"/>
      <c r="AH418" s="113"/>
      <c r="AI418" s="113"/>
      <c r="AJ418" s="113"/>
      <c r="AK418" s="113"/>
      <c r="AL418" s="113"/>
      <c r="AM418" s="113"/>
      <c r="AN418" s="113"/>
      <c r="AO418" s="113"/>
      <c r="AP418" s="113"/>
      <c r="AQ418" s="113"/>
      <c r="AR418" s="113"/>
      <c r="AS418" s="113"/>
      <c r="AT418" s="113"/>
      <c r="AU418" s="113"/>
      <c r="AV418" s="113"/>
      <c r="AW418" s="113"/>
      <c r="AX418" s="113"/>
      <c r="AY418" s="113"/>
      <c r="AZ418" s="113"/>
      <c r="BA418" s="113"/>
    </row>
    <row r="419" spans="2:53" x14ac:dyDescent="0.25">
      <c r="B419" s="47">
        <f t="shared" si="741"/>
        <v>1</v>
      </c>
      <c r="C419" s="47">
        <f t="shared" si="742"/>
        <v>18</v>
      </c>
      <c r="D419" s="47" t="str">
        <f t="shared" si="743"/>
        <v>Seattle</v>
      </c>
      <c r="E419" s="48">
        <v>2020</v>
      </c>
      <c r="F419" s="207">
        <v>1928.6</v>
      </c>
      <c r="G419" s="50">
        <f t="shared" si="744"/>
        <v>0.35616106888049487</v>
      </c>
      <c r="H419" s="47"/>
      <c r="I419" s="47"/>
      <c r="J419" s="207">
        <v>49215.6</v>
      </c>
      <c r="K419" s="50">
        <f t="shared" ref="K419" si="753">J419/$J$485</f>
        <v>3.5535654591349101E-2</v>
      </c>
      <c r="L419" s="47"/>
      <c r="M419" s="207">
        <v>6017176</v>
      </c>
      <c r="N419" s="207">
        <v>162602.30802519488</v>
      </c>
      <c r="O419" s="49">
        <f t="shared" si="746"/>
        <v>113386.70802519488</v>
      </c>
      <c r="P419" s="50">
        <f t="shared" si="747"/>
        <v>0.69732532952500192</v>
      </c>
      <c r="Q419" s="50">
        <f t="shared" si="748"/>
        <v>0.30267467047499808</v>
      </c>
      <c r="R419" s="50">
        <f t="shared" si="749"/>
        <v>0</v>
      </c>
      <c r="S419" s="50">
        <f t="shared" si="750"/>
        <v>0.30267467047499808</v>
      </c>
      <c r="T419" s="50">
        <f t="shared" si="751"/>
        <v>-0.30267467047499808</v>
      </c>
      <c r="U419" s="298"/>
      <c r="V419" s="298"/>
      <c r="W419" s="298"/>
      <c r="X419" s="113"/>
      <c r="Y419" s="113"/>
      <c r="Z419" s="113"/>
      <c r="AA419" s="113"/>
      <c r="AB419" s="113"/>
      <c r="AC419" s="113"/>
      <c r="AD419" s="113"/>
      <c r="AE419" s="113"/>
      <c r="AF419" s="113"/>
      <c r="AG419" s="113"/>
      <c r="AH419" s="113"/>
      <c r="AI419" s="113"/>
      <c r="AJ419" s="113"/>
      <c r="AK419" s="113"/>
      <c r="AL419" s="113"/>
      <c r="AM419" s="113"/>
      <c r="AN419" s="113"/>
      <c r="AO419" s="113"/>
      <c r="AP419" s="113"/>
      <c r="AQ419" s="113"/>
      <c r="AR419" s="113"/>
      <c r="AS419" s="113"/>
      <c r="AT419" s="113"/>
      <c r="AU419" s="113"/>
      <c r="AV419" s="113"/>
      <c r="AW419" s="113"/>
      <c r="AX419" s="113"/>
      <c r="AY419" s="113"/>
      <c r="AZ419" s="113"/>
      <c r="BA419" s="113"/>
    </row>
    <row r="420" spans="2:53" x14ac:dyDescent="0.25">
      <c r="B420" s="47">
        <f t="shared" si="741"/>
        <v>1</v>
      </c>
      <c r="C420" s="47">
        <f t="shared" si="742"/>
        <v>18</v>
      </c>
      <c r="D420" s="47" t="str">
        <f t="shared" si="743"/>
        <v>Seattle</v>
      </c>
      <c r="E420" s="48">
        <v>2021</v>
      </c>
      <c r="F420" s="207">
        <v>1928.6</v>
      </c>
      <c r="G420" s="50">
        <f t="shared" si="744"/>
        <v>0.35569115363689185</v>
      </c>
      <c r="H420" s="47"/>
      <c r="I420" s="47"/>
      <c r="J420" s="207">
        <v>54250.799999999996</v>
      </c>
      <c r="K420" s="50">
        <f t="shared" ref="K420" si="754">J420/$J$486</f>
        <v>3.7440567480124698E-2</v>
      </c>
      <c r="L420" s="47"/>
      <c r="M420" s="207">
        <v>6009237</v>
      </c>
      <c r="N420" s="207">
        <v>412817.2229380674</v>
      </c>
      <c r="O420" s="49">
        <f t="shared" si="746"/>
        <v>358566.42293806741</v>
      </c>
      <c r="P420" s="50">
        <f t="shared" si="747"/>
        <v>0.86858397134235132</v>
      </c>
      <c r="Q420" s="50">
        <f t="shared" si="748"/>
        <v>0.13141602865764868</v>
      </c>
      <c r="R420" s="50">
        <f t="shared" si="749"/>
        <v>0</v>
      </c>
      <c r="S420" s="50">
        <f t="shared" si="750"/>
        <v>0.13141602865764868</v>
      </c>
      <c r="T420" s="50">
        <f t="shared" si="751"/>
        <v>-0.13141602865764868</v>
      </c>
      <c r="U420" s="298"/>
      <c r="V420" s="298"/>
      <c r="W420" s="298"/>
      <c r="X420" s="113"/>
      <c r="Y420" s="113"/>
      <c r="Z420" s="113"/>
      <c r="AA420" s="113"/>
      <c r="AB420" s="113"/>
      <c r="AC420" s="113"/>
      <c r="AD420" s="113"/>
      <c r="AE420" s="113"/>
      <c r="AF420" s="113"/>
      <c r="AG420" s="113"/>
      <c r="AH420" s="113"/>
      <c r="AI420" s="113"/>
      <c r="AJ420" s="113"/>
      <c r="AK420" s="113"/>
      <c r="AL420" s="113"/>
      <c r="AM420" s="113"/>
      <c r="AN420" s="113"/>
      <c r="AO420" s="113"/>
      <c r="AP420" s="113"/>
      <c r="AQ420" s="113"/>
      <c r="AR420" s="113"/>
      <c r="AS420" s="113"/>
      <c r="AT420" s="113"/>
      <c r="AU420" s="113"/>
      <c r="AV420" s="113"/>
      <c r="AW420" s="113"/>
      <c r="AX420" s="113"/>
      <c r="AY420" s="113"/>
      <c r="AZ420" s="113"/>
      <c r="BA420" s="113"/>
    </row>
    <row r="421" spans="2:53" x14ac:dyDescent="0.25">
      <c r="B421" s="47">
        <f t="shared" si="741"/>
        <v>1</v>
      </c>
      <c r="C421" s="47">
        <f t="shared" si="742"/>
        <v>18</v>
      </c>
      <c r="D421" s="47" t="str">
        <f t="shared" si="743"/>
        <v>Seattle</v>
      </c>
      <c r="E421" s="48">
        <v>2022</v>
      </c>
      <c r="F421" s="207">
        <v>2014</v>
      </c>
      <c r="G421" s="50">
        <f t="shared" si="744"/>
        <v>0.35055666272167885</v>
      </c>
      <c r="H421" s="47"/>
      <c r="I421" s="47"/>
      <c r="J421" s="207">
        <v>58825.2</v>
      </c>
      <c r="K421" s="50">
        <f t="shared" ref="K421" si="755">J421/$J$487</f>
        <v>4.001320048062209E-2</v>
      </c>
      <c r="L421" s="47"/>
      <c r="M421" s="207">
        <v>6184745</v>
      </c>
      <c r="N421" s="207">
        <v>601087.61665245821</v>
      </c>
      <c r="O421" s="49">
        <f t="shared" si="746"/>
        <v>542262.41665245825</v>
      </c>
      <c r="P421" s="50">
        <f t="shared" si="747"/>
        <v>0.90213539861691749</v>
      </c>
      <c r="Q421" s="50">
        <f t="shared" si="748"/>
        <v>9.7864601383082506E-2</v>
      </c>
      <c r="R421" s="50">
        <f t="shared" si="749"/>
        <v>0</v>
      </c>
      <c r="S421" s="50">
        <f t="shared" si="750"/>
        <v>9.7864601383082506E-2</v>
      </c>
      <c r="T421" s="50">
        <f t="shared" si="751"/>
        <v>-9.7864601383082506E-2</v>
      </c>
      <c r="U421" s="298"/>
      <c r="V421" s="298"/>
      <c r="W421" s="298"/>
      <c r="X421" s="113"/>
      <c r="Y421" s="113"/>
      <c r="Z421" s="113"/>
      <c r="AA421" s="113"/>
      <c r="AB421" s="113"/>
      <c r="AC421" s="113"/>
      <c r="AD421" s="113"/>
      <c r="AE421" s="113"/>
      <c r="AF421" s="113"/>
      <c r="AG421" s="113"/>
      <c r="AH421" s="113"/>
      <c r="AI421" s="113"/>
      <c r="AJ421" s="113"/>
      <c r="AK421" s="113"/>
      <c r="AL421" s="113"/>
      <c r="AM421" s="113"/>
      <c r="AN421" s="113"/>
      <c r="AO421" s="113"/>
      <c r="AP421" s="113"/>
      <c r="AQ421" s="113"/>
      <c r="AR421" s="113"/>
      <c r="AS421" s="113"/>
      <c r="AT421" s="113"/>
      <c r="AU421" s="113"/>
      <c r="AV421" s="113"/>
      <c r="AW421" s="113"/>
      <c r="AX421" s="113"/>
      <c r="AY421" s="113"/>
      <c r="AZ421" s="113"/>
      <c r="BA421" s="113"/>
    </row>
    <row r="422" spans="2:53" x14ac:dyDescent="0.25">
      <c r="B422" s="47">
        <f t="shared" si="741"/>
        <v>1</v>
      </c>
      <c r="C422" s="47">
        <f>IF(D422=D416,C416,C416+1)</f>
        <v>18</v>
      </c>
      <c r="D422" s="47" t="str">
        <f>D413</f>
        <v>Seattle</v>
      </c>
      <c r="E422" s="48">
        <v>2023</v>
      </c>
      <c r="F422" s="207">
        <v>2014</v>
      </c>
      <c r="G422" s="50">
        <f t="shared" si="744"/>
        <v>0.2606686981086731</v>
      </c>
      <c r="H422" s="47"/>
      <c r="I422" s="47"/>
      <c r="J422" s="207">
        <v>46051.199999999997</v>
      </c>
      <c r="K422" s="50">
        <f t="shared" ref="K422" si="756">J422/$J$488</f>
        <v>2.8830195480308969E-2</v>
      </c>
      <c r="L422" s="47"/>
      <c r="M422" s="208">
        <v>4598884</v>
      </c>
      <c r="N422" s="207">
        <v>430384.66322115361</v>
      </c>
      <c r="O422" s="49">
        <f t="shared" si="746"/>
        <v>384333.46322115359</v>
      </c>
      <c r="P422" s="50">
        <f t="shared" si="747"/>
        <v>0.8929999046542777</v>
      </c>
      <c r="Q422" s="50">
        <f t="shared" si="748"/>
        <v>0.1070000953457223</v>
      </c>
      <c r="R422" s="50">
        <f t="shared" si="749"/>
        <v>0</v>
      </c>
      <c r="S422" s="50">
        <f t="shared" si="750"/>
        <v>0.1070000953457223</v>
      </c>
      <c r="T422" s="50">
        <f t="shared" si="751"/>
        <v>-0.1070000953457223</v>
      </c>
      <c r="U422" s="298"/>
      <c r="V422" s="298"/>
      <c r="W422" s="298"/>
      <c r="X422" s="113"/>
      <c r="Y422" s="113"/>
      <c r="Z422" s="113"/>
      <c r="AA422" s="113"/>
      <c r="AB422" s="113"/>
      <c r="AC422" s="113"/>
      <c r="AD422" s="113"/>
      <c r="AE422" s="113"/>
      <c r="AF422" s="113"/>
      <c r="AG422" s="113"/>
      <c r="AH422" s="113"/>
      <c r="AI422" s="113"/>
      <c r="AJ422" s="113"/>
      <c r="AK422" s="113"/>
      <c r="AL422" s="113"/>
      <c r="AM422" s="113"/>
      <c r="AN422" s="113"/>
      <c r="AO422" s="113"/>
      <c r="AP422" s="113"/>
      <c r="AQ422" s="113"/>
      <c r="AR422" s="113"/>
      <c r="AS422" s="113"/>
      <c r="AT422" s="113"/>
      <c r="AU422" s="113"/>
      <c r="AV422" s="113"/>
      <c r="AW422" s="113"/>
      <c r="AX422" s="113"/>
      <c r="AY422" s="113"/>
      <c r="AZ422" s="113"/>
      <c r="BA422" s="113"/>
    </row>
    <row r="423" spans="2:53" x14ac:dyDescent="0.25">
      <c r="B423" s="44">
        <f t="shared" ref="B423:B500" si="757">B422</f>
        <v>1</v>
      </c>
      <c r="C423" s="44">
        <f t="shared" ref="C423" si="758">IF(D423=D422,C422,C422+1)</f>
        <v>19</v>
      </c>
      <c r="D423" s="44" t="str">
        <f>'OPG hydro peers'!D23</f>
        <v>Chelan</v>
      </c>
      <c r="E423" s="45">
        <v>2002</v>
      </c>
      <c r="F423" s="206">
        <v>1988</v>
      </c>
      <c r="G423" s="51">
        <f t="shared" si="734"/>
        <v>0.51002361199158419</v>
      </c>
      <c r="H423" s="46"/>
      <c r="I423" s="46"/>
      <c r="J423" s="206">
        <v>75979.199999999983</v>
      </c>
      <c r="K423" s="51">
        <f t="shared" ref="K423" si="759">J423/$J$467</f>
        <v>9.9014285726442539E-2</v>
      </c>
      <c r="L423" s="51"/>
      <c r="M423" s="206">
        <v>8882000</v>
      </c>
      <c r="N423" s="206">
        <v>155633.94</v>
      </c>
      <c r="O423" s="46">
        <f t="shared" si="736"/>
        <v>79654.74000000002</v>
      </c>
      <c r="P423" s="51">
        <f t="shared" si="737"/>
        <v>0.51180828551921276</v>
      </c>
      <c r="Q423" s="51">
        <f t="shared" si="738"/>
        <v>0.48819171448078724</v>
      </c>
      <c r="R423" s="51">
        <f t="shared" si="739"/>
        <v>0</v>
      </c>
      <c r="S423" s="51">
        <f t="shared" si="740"/>
        <v>0.48819171448078724</v>
      </c>
      <c r="T423" s="51">
        <f t="shared" ref="T423:T438" si="760">R423-S423</f>
        <v>-0.48819171448078724</v>
      </c>
      <c r="U423" s="298"/>
      <c r="V423" s="298"/>
      <c r="W423" s="298"/>
      <c r="X423" s="113"/>
      <c r="Y423" s="113"/>
      <c r="Z423" s="113"/>
      <c r="AA423" s="113"/>
      <c r="AB423" s="113"/>
      <c r="AC423" s="113"/>
      <c r="AD423" s="113"/>
      <c r="AE423" s="113"/>
      <c r="AF423" s="113"/>
      <c r="AG423" s="113"/>
      <c r="AH423" s="113"/>
      <c r="AI423" s="113"/>
      <c r="AJ423" s="113"/>
      <c r="AK423" s="113"/>
      <c r="AL423" s="113"/>
      <c r="AM423" s="113"/>
      <c r="AN423" s="113"/>
      <c r="AO423" s="113"/>
      <c r="AP423" s="113"/>
      <c r="AQ423" s="113"/>
      <c r="AR423" s="113"/>
      <c r="AS423" s="113"/>
      <c r="AT423" s="113"/>
      <c r="AU423" s="113"/>
      <c r="AV423" s="113"/>
      <c r="AW423" s="113"/>
      <c r="AX423" s="113"/>
      <c r="AY423" s="113"/>
      <c r="AZ423" s="113"/>
      <c r="BA423" s="113"/>
    </row>
    <row r="424" spans="2:53" x14ac:dyDescent="0.25">
      <c r="B424" s="44">
        <f t="shared" si="757"/>
        <v>1</v>
      </c>
      <c r="C424" s="44">
        <f t="shared" ref="C424:C438" si="761">IF(D424=D423,C423,C423+1)</f>
        <v>19</v>
      </c>
      <c r="D424" s="44" t="str">
        <f t="shared" ref="D424:D434" si="762">D423</f>
        <v>Chelan</v>
      </c>
      <c r="E424" s="45">
        <v>2003</v>
      </c>
      <c r="F424" s="206">
        <v>1988</v>
      </c>
      <c r="G424" s="51">
        <f t="shared" si="734"/>
        <v>0.4526588756281984</v>
      </c>
      <c r="H424" s="46"/>
      <c r="I424" s="46"/>
      <c r="J424" s="206">
        <v>74313.599999999991</v>
      </c>
      <c r="K424" s="51">
        <f t="shared" ref="K424" si="763">J424/$J$468</f>
        <v>8.7624551808669876E-2</v>
      </c>
      <c r="L424" s="51"/>
      <c r="M424" s="206">
        <v>7883000</v>
      </c>
      <c r="N424" s="206">
        <v>159877.476</v>
      </c>
      <c r="O424" s="46">
        <f t="shared" si="736"/>
        <v>85563.876000000004</v>
      </c>
      <c r="P424" s="51">
        <f t="shared" si="737"/>
        <v>0.53518405557015425</v>
      </c>
      <c r="Q424" s="51">
        <f t="shared" si="738"/>
        <v>0.46481594442984575</v>
      </c>
      <c r="R424" s="51">
        <f t="shared" si="739"/>
        <v>0</v>
      </c>
      <c r="S424" s="51">
        <f t="shared" si="740"/>
        <v>0.46481594442984575</v>
      </c>
      <c r="T424" s="51">
        <f t="shared" si="760"/>
        <v>-0.46481594442984575</v>
      </c>
      <c r="U424" s="298"/>
      <c r="V424" s="298"/>
      <c r="W424" s="298"/>
      <c r="X424" s="113"/>
      <c r="Y424" s="113"/>
      <c r="Z424" s="113"/>
      <c r="AA424" s="113"/>
      <c r="AB424" s="113"/>
      <c r="AC424" s="113"/>
      <c r="AD424" s="113"/>
      <c r="AE424" s="113"/>
      <c r="AF424" s="113"/>
      <c r="AG424" s="113"/>
      <c r="AH424" s="113"/>
      <c r="AI424" s="113"/>
      <c r="AJ424" s="113"/>
      <c r="AK424" s="113"/>
      <c r="AL424" s="113"/>
      <c r="AM424" s="113"/>
      <c r="AN424" s="113"/>
      <c r="AO424" s="113"/>
      <c r="AP424" s="113"/>
      <c r="AQ424" s="113"/>
      <c r="AR424" s="113"/>
      <c r="AS424" s="113"/>
      <c r="AT424" s="113"/>
      <c r="AU424" s="113"/>
      <c r="AV424" s="113"/>
      <c r="AW424" s="113"/>
      <c r="AX424" s="113"/>
      <c r="AY424" s="113"/>
      <c r="AZ424" s="113"/>
      <c r="BA424" s="113"/>
    </row>
    <row r="425" spans="2:53" x14ac:dyDescent="0.25">
      <c r="B425" s="44">
        <f t="shared" si="757"/>
        <v>1</v>
      </c>
      <c r="C425" s="44">
        <f t="shared" si="761"/>
        <v>19</v>
      </c>
      <c r="D425" s="44" t="str">
        <f t="shared" si="762"/>
        <v>Chelan</v>
      </c>
      <c r="E425" s="45">
        <v>2004</v>
      </c>
      <c r="F425" s="206">
        <v>1988</v>
      </c>
      <c r="G425" s="51">
        <f t="shared" si="734"/>
        <v>0.46569370561267148</v>
      </c>
      <c r="H425" s="46"/>
      <c r="I425" s="46"/>
      <c r="J425" s="206">
        <v>83569.2</v>
      </c>
      <c r="K425" s="51">
        <f t="shared" ref="K425" si="764">J425/$J$469</f>
        <v>9.457626533743628E-2</v>
      </c>
      <c r="L425" s="51"/>
      <c r="M425" s="206">
        <v>8110000</v>
      </c>
      <c r="N425" s="206">
        <v>162625.32</v>
      </c>
      <c r="O425" s="46">
        <f t="shared" si="736"/>
        <v>79056.12000000001</v>
      </c>
      <c r="P425" s="51">
        <f t="shared" si="737"/>
        <v>0.48612430093911579</v>
      </c>
      <c r="Q425" s="51">
        <f t="shared" si="738"/>
        <v>0.51387569906088415</v>
      </c>
      <c r="R425" s="51">
        <f t="shared" si="739"/>
        <v>0</v>
      </c>
      <c r="S425" s="51">
        <f t="shared" si="740"/>
        <v>0.51387569906088415</v>
      </c>
      <c r="T425" s="51">
        <f t="shared" si="760"/>
        <v>-0.51387569906088415</v>
      </c>
      <c r="U425" s="298"/>
      <c r="V425" s="298"/>
      <c r="W425" s="298"/>
      <c r="X425" s="113"/>
      <c r="Y425" s="113"/>
      <c r="Z425" s="113"/>
      <c r="AA425" s="113"/>
      <c r="AB425" s="113"/>
      <c r="AC425" s="113"/>
      <c r="AD425" s="113"/>
      <c r="AE425" s="113"/>
      <c r="AF425" s="113"/>
      <c r="AG425" s="113"/>
      <c r="AH425" s="113"/>
      <c r="AI425" s="113"/>
      <c r="AJ425" s="113"/>
      <c r="AK425" s="113"/>
      <c r="AL425" s="113"/>
      <c r="AM425" s="113"/>
      <c r="AN425" s="113"/>
      <c r="AO425" s="113"/>
      <c r="AP425" s="113"/>
      <c r="AQ425" s="113"/>
      <c r="AR425" s="113"/>
      <c r="AS425" s="113"/>
      <c r="AT425" s="113"/>
      <c r="AU425" s="113"/>
      <c r="AV425" s="113"/>
      <c r="AW425" s="113"/>
      <c r="AX425" s="113"/>
      <c r="AY425" s="113"/>
      <c r="AZ425" s="113"/>
      <c r="BA425" s="113"/>
    </row>
    <row r="426" spans="2:53" x14ac:dyDescent="0.25">
      <c r="B426" s="44">
        <f t="shared" si="757"/>
        <v>1</v>
      </c>
      <c r="C426" s="44">
        <f t="shared" si="761"/>
        <v>19</v>
      </c>
      <c r="D426" s="44" t="str">
        <f t="shared" si="762"/>
        <v>Chelan</v>
      </c>
      <c r="E426" s="45">
        <v>2005</v>
      </c>
      <c r="F426" s="206">
        <v>1988</v>
      </c>
      <c r="G426" s="51">
        <f t="shared" si="734"/>
        <v>0.48693990426577732</v>
      </c>
      <c r="H426" s="46"/>
      <c r="I426" s="46"/>
      <c r="J426" s="206">
        <v>84908.4</v>
      </c>
      <c r="K426" s="51">
        <f t="shared" ref="K426" si="765">J426/$J$470</f>
        <v>9.1396636977653128E-2</v>
      </c>
      <c r="L426" s="51"/>
      <c r="M426" s="206">
        <v>8480000</v>
      </c>
      <c r="N426" s="206">
        <v>164206.54800000001</v>
      </c>
      <c r="O426" s="46">
        <f t="shared" si="736"/>
        <v>79298.148000000016</v>
      </c>
      <c r="P426" s="51">
        <f t="shared" si="737"/>
        <v>0.48291708805668343</v>
      </c>
      <c r="Q426" s="51">
        <f t="shared" si="738"/>
        <v>0.51708291194331657</v>
      </c>
      <c r="R426" s="51">
        <f t="shared" si="739"/>
        <v>0</v>
      </c>
      <c r="S426" s="51">
        <f t="shared" si="740"/>
        <v>0.51708291194331657</v>
      </c>
      <c r="T426" s="51">
        <f t="shared" si="760"/>
        <v>-0.51708291194331657</v>
      </c>
      <c r="U426" s="298"/>
      <c r="V426" s="298"/>
      <c r="W426" s="298"/>
      <c r="X426" s="113"/>
      <c r="Y426" s="113"/>
      <c r="Z426" s="113"/>
      <c r="AA426" s="113"/>
      <c r="AB426" s="113"/>
      <c r="AC426" s="113"/>
      <c r="AD426" s="113"/>
      <c r="AE426" s="113"/>
      <c r="AF426" s="113"/>
      <c r="AG426" s="113"/>
      <c r="AH426" s="113"/>
      <c r="AI426" s="113"/>
      <c r="AJ426" s="113"/>
      <c r="AK426" s="113"/>
      <c r="AL426" s="113"/>
      <c r="AM426" s="113"/>
      <c r="AN426" s="113"/>
      <c r="AO426" s="113"/>
      <c r="AP426" s="113"/>
      <c r="AQ426" s="113"/>
      <c r="AR426" s="113"/>
      <c r="AS426" s="113"/>
      <c r="AT426" s="113"/>
      <c r="AU426" s="113"/>
      <c r="AV426" s="113"/>
      <c r="AW426" s="113"/>
      <c r="AX426" s="113"/>
      <c r="AY426" s="113"/>
      <c r="AZ426" s="113"/>
      <c r="BA426" s="113"/>
    </row>
    <row r="427" spans="2:53" x14ac:dyDescent="0.25">
      <c r="B427" s="44">
        <f t="shared" si="757"/>
        <v>1</v>
      </c>
      <c r="C427" s="44">
        <f t="shared" si="761"/>
        <v>19</v>
      </c>
      <c r="D427" s="44" t="str">
        <f t="shared" si="762"/>
        <v>Chelan</v>
      </c>
      <c r="E427" s="45">
        <v>2006</v>
      </c>
      <c r="F427" s="206">
        <v>1988</v>
      </c>
      <c r="G427" s="51">
        <f t="shared" si="734"/>
        <v>0.53144207712025582</v>
      </c>
      <c r="H427" s="46"/>
      <c r="I427" s="46"/>
      <c r="J427" s="206">
        <v>93462</v>
      </c>
      <c r="K427" s="51">
        <f t="shared" ref="K427" si="766">J427/$J$471</f>
        <v>9.4945476111038526E-2</v>
      </c>
      <c r="L427" s="51"/>
      <c r="M427" s="206">
        <v>9255000</v>
      </c>
      <c r="N427" s="206">
        <v>172117.44</v>
      </c>
      <c r="O427" s="46">
        <f t="shared" si="736"/>
        <v>78655.44</v>
      </c>
      <c r="P427" s="51">
        <f t="shared" si="737"/>
        <v>0.45698704326534256</v>
      </c>
      <c r="Q427" s="51">
        <f t="shared" si="738"/>
        <v>0.54301295673465744</v>
      </c>
      <c r="R427" s="51">
        <f t="shared" si="739"/>
        <v>0</v>
      </c>
      <c r="S427" s="51">
        <f t="shared" si="740"/>
        <v>0.54301295673465744</v>
      </c>
      <c r="T427" s="51">
        <f t="shared" si="760"/>
        <v>-0.54301295673465744</v>
      </c>
      <c r="U427" s="298"/>
      <c r="V427" s="298"/>
      <c r="W427" s="298"/>
      <c r="X427" s="113"/>
      <c r="Y427" s="113"/>
      <c r="Z427" s="113"/>
      <c r="AA427" s="113"/>
      <c r="AB427" s="113"/>
      <c r="AC427" s="113"/>
      <c r="AD427" s="113"/>
      <c r="AE427" s="113"/>
      <c r="AF427" s="113"/>
      <c r="AG427" s="113"/>
      <c r="AH427" s="113"/>
      <c r="AI427" s="113"/>
      <c r="AJ427" s="113"/>
      <c r="AK427" s="113"/>
      <c r="AL427" s="113"/>
      <c r="AM427" s="113"/>
      <c r="AN427" s="113"/>
      <c r="AO427" s="113"/>
      <c r="AP427" s="113"/>
      <c r="AQ427" s="113"/>
      <c r="AR427" s="113"/>
      <c r="AS427" s="113"/>
      <c r="AT427" s="113"/>
      <c r="AU427" s="113"/>
      <c r="AV427" s="113"/>
      <c r="AW427" s="113"/>
      <c r="AX427" s="113"/>
      <c r="AY427" s="113"/>
      <c r="AZ427" s="113"/>
      <c r="BA427" s="113"/>
    </row>
    <row r="428" spans="2:53" x14ac:dyDescent="0.25">
      <c r="B428" s="44">
        <f t="shared" si="757"/>
        <v>1</v>
      </c>
      <c r="C428" s="44">
        <f t="shared" si="761"/>
        <v>19</v>
      </c>
      <c r="D428" s="44" t="str">
        <f t="shared" si="762"/>
        <v>Chelan</v>
      </c>
      <c r="E428" s="45">
        <v>2007</v>
      </c>
      <c r="F428" s="206">
        <v>1988</v>
      </c>
      <c r="G428" s="51">
        <f t="shared" si="734"/>
        <v>0.54562535027516701</v>
      </c>
      <c r="H428" s="46"/>
      <c r="I428" s="46"/>
      <c r="J428" s="206">
        <v>94574.399999999994</v>
      </c>
      <c r="K428" s="51">
        <f t="shared" ref="K428" si="767">J428/$J$472</f>
        <v>8.8725003423700627E-2</v>
      </c>
      <c r="L428" s="51"/>
      <c r="M428" s="206">
        <v>9502000</v>
      </c>
      <c r="N428" s="206">
        <v>174279.6</v>
      </c>
      <c r="O428" s="46">
        <f t="shared" si="736"/>
        <v>79705.200000000012</v>
      </c>
      <c r="P428" s="51">
        <f t="shared" si="737"/>
        <v>0.45734096245343692</v>
      </c>
      <c r="Q428" s="51">
        <f t="shared" si="738"/>
        <v>0.54265903754656308</v>
      </c>
      <c r="R428" s="51">
        <f t="shared" si="739"/>
        <v>0</v>
      </c>
      <c r="S428" s="51">
        <f t="shared" si="740"/>
        <v>0.54265903754656308</v>
      </c>
      <c r="T428" s="51">
        <f t="shared" si="760"/>
        <v>-0.54265903754656308</v>
      </c>
      <c r="U428" s="298"/>
      <c r="V428" s="298"/>
      <c r="W428" s="298"/>
      <c r="X428" s="113"/>
      <c r="Y428" s="113"/>
      <c r="Z428" s="113"/>
      <c r="AA428" s="113"/>
      <c r="AB428" s="113"/>
      <c r="AC428" s="113"/>
      <c r="AD428" s="113"/>
      <c r="AE428" s="113"/>
      <c r="AF428" s="113"/>
      <c r="AG428" s="113"/>
      <c r="AH428" s="113"/>
      <c r="AI428" s="113"/>
      <c r="AJ428" s="113"/>
      <c r="AK428" s="113"/>
      <c r="AL428" s="113"/>
      <c r="AM428" s="113"/>
      <c r="AN428" s="113"/>
      <c r="AO428" s="113"/>
      <c r="AP428" s="113"/>
      <c r="AQ428" s="113"/>
      <c r="AR428" s="113"/>
      <c r="AS428" s="113"/>
      <c r="AT428" s="113"/>
      <c r="AU428" s="113"/>
      <c r="AV428" s="113"/>
      <c r="AW428" s="113"/>
      <c r="AX428" s="113"/>
      <c r="AY428" s="113"/>
      <c r="AZ428" s="113"/>
      <c r="BA428" s="113"/>
    </row>
    <row r="429" spans="2:53" x14ac:dyDescent="0.25">
      <c r="B429" s="44">
        <f t="shared" si="757"/>
        <v>1</v>
      </c>
      <c r="C429" s="44">
        <f t="shared" si="761"/>
        <v>19</v>
      </c>
      <c r="D429" s="44" t="str">
        <f t="shared" si="762"/>
        <v>Chelan</v>
      </c>
      <c r="E429" s="45">
        <v>2008</v>
      </c>
      <c r="F429" s="206">
        <v>1988</v>
      </c>
      <c r="G429" s="51">
        <f t="shared" si="734"/>
        <v>0.49899855755537792</v>
      </c>
      <c r="H429" s="46"/>
      <c r="I429" s="46"/>
      <c r="J429" s="206">
        <v>101283.59999999999</v>
      </c>
      <c r="K429" s="51">
        <f t="shared" ref="K429" si="768">J429/$J$473</f>
        <v>8.7458794002849394E-2</v>
      </c>
      <c r="L429" s="51"/>
      <c r="M429" s="206">
        <v>8690000</v>
      </c>
      <c r="N429" s="206">
        <v>187690.8</v>
      </c>
      <c r="O429" s="46">
        <f t="shared" si="736"/>
        <v>86407.2</v>
      </c>
      <c r="P429" s="51">
        <f t="shared" si="737"/>
        <v>0.46036992756171319</v>
      </c>
      <c r="Q429" s="51">
        <f t="shared" si="738"/>
        <v>0.53963007243828676</v>
      </c>
      <c r="R429" s="51">
        <f t="shared" si="739"/>
        <v>0</v>
      </c>
      <c r="S429" s="51">
        <f t="shared" si="740"/>
        <v>0.53963007243828676</v>
      </c>
      <c r="T429" s="51">
        <f t="shared" si="760"/>
        <v>-0.53963007243828676</v>
      </c>
      <c r="U429" s="298"/>
      <c r="V429" s="298"/>
      <c r="W429" s="298"/>
      <c r="X429" s="113"/>
      <c r="Y429" s="113"/>
      <c r="Z429" s="113"/>
      <c r="AA429" s="113"/>
      <c r="AB429" s="113"/>
      <c r="AC429" s="113"/>
      <c r="AD429" s="113"/>
      <c r="AE429" s="113"/>
      <c r="AF429" s="113"/>
      <c r="AG429" s="113"/>
      <c r="AH429" s="113"/>
      <c r="AI429" s="113"/>
      <c r="AJ429" s="113"/>
      <c r="AK429" s="113"/>
      <c r="AL429" s="113"/>
      <c r="AM429" s="113"/>
      <c r="AN429" s="113"/>
      <c r="AO429" s="113"/>
      <c r="AP429" s="113"/>
      <c r="AQ429" s="113"/>
      <c r="AR429" s="113"/>
      <c r="AS429" s="113"/>
      <c r="AT429" s="113"/>
      <c r="AU429" s="113"/>
      <c r="AV429" s="113"/>
      <c r="AW429" s="113"/>
      <c r="AX429" s="113"/>
      <c r="AY429" s="113"/>
      <c r="AZ429" s="113"/>
      <c r="BA429" s="113"/>
    </row>
    <row r="430" spans="2:53" x14ac:dyDescent="0.25">
      <c r="B430" s="44">
        <f t="shared" si="757"/>
        <v>1</v>
      </c>
      <c r="C430" s="44">
        <f t="shared" si="761"/>
        <v>19</v>
      </c>
      <c r="D430" s="44" t="str">
        <f t="shared" si="762"/>
        <v>Chelan</v>
      </c>
      <c r="E430" s="45">
        <v>2009</v>
      </c>
      <c r="F430" s="206">
        <v>1988</v>
      </c>
      <c r="G430" s="51">
        <f t="shared" si="734"/>
        <v>0.46391361869849235</v>
      </c>
      <c r="H430" s="46"/>
      <c r="I430" s="46"/>
      <c r="J430" s="206">
        <v>133383.6</v>
      </c>
      <c r="K430" s="51">
        <f t="shared" ref="K430" si="769">J430/$J$474</f>
        <v>0.11303836925280894</v>
      </c>
      <c r="L430" s="51"/>
      <c r="M430" s="206">
        <v>8079000</v>
      </c>
      <c r="N430" s="206">
        <v>186944.4</v>
      </c>
      <c r="O430" s="46">
        <f t="shared" si="736"/>
        <v>53560.799999999988</v>
      </c>
      <c r="P430" s="51">
        <f t="shared" si="737"/>
        <v>0.28650657628685317</v>
      </c>
      <c r="Q430" s="51">
        <f t="shared" si="738"/>
        <v>0.71349342371314683</v>
      </c>
      <c r="R430" s="51">
        <f t="shared" si="739"/>
        <v>0</v>
      </c>
      <c r="S430" s="51">
        <f t="shared" si="740"/>
        <v>0.71349342371314683</v>
      </c>
      <c r="T430" s="51">
        <f t="shared" si="760"/>
        <v>-0.71349342371314683</v>
      </c>
      <c r="U430" s="298"/>
      <c r="V430" s="298"/>
      <c r="W430" s="298"/>
      <c r="X430" s="113"/>
      <c r="Y430" s="113"/>
      <c r="Z430" s="113"/>
      <c r="AA430" s="113"/>
      <c r="AB430" s="113"/>
      <c r="AC430" s="113"/>
      <c r="AD430" s="113"/>
      <c r="AE430" s="113"/>
      <c r="AF430" s="113"/>
      <c r="AG430" s="113"/>
      <c r="AH430" s="113"/>
      <c r="AI430" s="113"/>
      <c r="AJ430" s="113"/>
      <c r="AK430" s="113"/>
      <c r="AL430" s="113"/>
      <c r="AM430" s="113"/>
      <c r="AN430" s="113"/>
      <c r="AO430" s="113"/>
      <c r="AP430" s="113"/>
      <c r="AQ430" s="113"/>
      <c r="AR430" s="113"/>
      <c r="AS430" s="113"/>
      <c r="AT430" s="113"/>
      <c r="AU430" s="113"/>
      <c r="AV430" s="113"/>
      <c r="AW430" s="113"/>
      <c r="AX430" s="113"/>
      <c r="AY430" s="113"/>
      <c r="AZ430" s="113"/>
      <c r="BA430" s="113"/>
    </row>
    <row r="431" spans="2:53" x14ac:dyDescent="0.25">
      <c r="B431" s="44">
        <f t="shared" si="757"/>
        <v>1</v>
      </c>
      <c r="C431" s="44">
        <f t="shared" si="761"/>
        <v>19</v>
      </c>
      <c r="D431" s="44" t="str">
        <f t="shared" si="762"/>
        <v>Chelan</v>
      </c>
      <c r="E431" s="45">
        <v>2010</v>
      </c>
      <c r="F431" s="206">
        <v>1988</v>
      </c>
      <c r="G431" s="51">
        <f t="shared" si="734"/>
        <v>0.4464572825078324</v>
      </c>
      <c r="H431" s="46"/>
      <c r="I431" s="46"/>
      <c r="J431" s="206">
        <v>99478.8</v>
      </c>
      <c r="K431" s="51">
        <f t="shared" ref="K431" si="770">J431/$J$475</f>
        <v>8.1294307703854249E-2</v>
      </c>
      <c r="L431" s="51"/>
      <c r="M431" s="206">
        <v>7775000</v>
      </c>
      <c r="N431" s="206">
        <v>198712.8</v>
      </c>
      <c r="O431" s="46">
        <f t="shared" si="736"/>
        <v>99233.999999999985</v>
      </c>
      <c r="P431" s="51">
        <f t="shared" si="737"/>
        <v>0.49938403565346567</v>
      </c>
      <c r="Q431" s="51">
        <f t="shared" si="738"/>
        <v>0.50061596434653433</v>
      </c>
      <c r="R431" s="51">
        <f t="shared" si="739"/>
        <v>0</v>
      </c>
      <c r="S431" s="51">
        <f t="shared" si="740"/>
        <v>0.50061596434653433</v>
      </c>
      <c r="T431" s="51">
        <f t="shared" si="760"/>
        <v>-0.50061596434653433</v>
      </c>
      <c r="U431" s="298"/>
      <c r="V431" s="298"/>
      <c r="W431" s="298"/>
      <c r="X431" s="113"/>
      <c r="Y431" s="113"/>
      <c r="Z431" s="113"/>
      <c r="AA431" s="113"/>
      <c r="AB431" s="113"/>
      <c r="AC431" s="113"/>
      <c r="AD431" s="113"/>
      <c r="AE431" s="113"/>
      <c r="AF431" s="113"/>
      <c r="AG431" s="113"/>
      <c r="AH431" s="113"/>
      <c r="AI431" s="113"/>
      <c r="AJ431" s="113"/>
      <c r="AK431" s="113"/>
      <c r="AL431" s="113"/>
      <c r="AM431" s="113"/>
      <c r="AN431" s="113"/>
      <c r="AO431" s="113"/>
      <c r="AP431" s="113"/>
      <c r="AQ431" s="113"/>
      <c r="AR431" s="113"/>
      <c r="AS431" s="113"/>
      <c r="AT431" s="113"/>
      <c r="AU431" s="113"/>
      <c r="AV431" s="113"/>
      <c r="AW431" s="113"/>
      <c r="AX431" s="113"/>
      <c r="AY431" s="113"/>
      <c r="AZ431" s="113"/>
      <c r="BA431" s="113"/>
    </row>
    <row r="432" spans="2:53" x14ac:dyDescent="0.25">
      <c r="B432" s="44">
        <f t="shared" si="757"/>
        <v>1</v>
      </c>
      <c r="C432" s="44">
        <f t="shared" si="761"/>
        <v>19</v>
      </c>
      <c r="D432" s="44" t="str">
        <f t="shared" si="762"/>
        <v>Chelan</v>
      </c>
      <c r="E432" s="45">
        <v>2011</v>
      </c>
      <c r="F432" s="206">
        <v>1988</v>
      </c>
      <c r="G432" s="51">
        <f t="shared" si="734"/>
        <v>0.62429370745018054</v>
      </c>
      <c r="H432" s="46"/>
      <c r="I432" s="46"/>
      <c r="J432" s="206">
        <v>95464.8</v>
      </c>
      <c r="K432" s="51">
        <f t="shared" ref="K432" si="771">J432/$J$476</f>
        <v>7.9094485709029522E-2</v>
      </c>
      <c r="L432" s="51"/>
      <c r="M432" s="206">
        <v>10872000</v>
      </c>
      <c r="N432" s="206">
        <v>198850.8</v>
      </c>
      <c r="O432" s="46">
        <f t="shared" si="736"/>
        <v>103385.99999999999</v>
      </c>
      <c r="P432" s="51">
        <f t="shared" si="737"/>
        <v>0.51991744564266273</v>
      </c>
      <c r="Q432" s="51">
        <f t="shared" si="738"/>
        <v>0.48008255435733727</v>
      </c>
      <c r="R432" s="51">
        <f t="shared" si="739"/>
        <v>0</v>
      </c>
      <c r="S432" s="51">
        <f t="shared" si="740"/>
        <v>0.48008255435733727</v>
      </c>
      <c r="T432" s="51">
        <f t="shared" si="760"/>
        <v>-0.48008255435733727</v>
      </c>
      <c r="U432" s="298"/>
      <c r="V432" s="298"/>
      <c r="W432" s="298"/>
      <c r="X432" s="113"/>
      <c r="Y432" s="113"/>
      <c r="Z432" s="113"/>
      <c r="AA432" s="113"/>
      <c r="AB432" s="113"/>
      <c r="AC432" s="113"/>
      <c r="AD432" s="113"/>
      <c r="AE432" s="113"/>
      <c r="AF432" s="113"/>
      <c r="AG432" s="113"/>
      <c r="AH432" s="113"/>
      <c r="AI432" s="113"/>
      <c r="AJ432" s="113"/>
      <c r="AK432" s="113"/>
      <c r="AL432" s="113"/>
      <c r="AM432" s="113"/>
      <c r="AN432" s="113"/>
      <c r="AO432" s="113"/>
      <c r="AP432" s="113"/>
      <c r="AQ432" s="113"/>
      <c r="AR432" s="113"/>
      <c r="AS432" s="113"/>
      <c r="AT432" s="113"/>
      <c r="AU432" s="113"/>
      <c r="AV432" s="113"/>
      <c r="AW432" s="113"/>
      <c r="AX432" s="113"/>
      <c r="AY432" s="113"/>
      <c r="AZ432" s="113"/>
      <c r="BA432" s="113"/>
    </row>
    <row r="433" spans="2:53" x14ac:dyDescent="0.25">
      <c r="B433" s="44">
        <f t="shared" si="757"/>
        <v>1</v>
      </c>
      <c r="C433" s="44">
        <f t="shared" si="761"/>
        <v>19</v>
      </c>
      <c r="D433" s="44" t="str">
        <f t="shared" si="762"/>
        <v>Chelan</v>
      </c>
      <c r="E433" s="45">
        <v>2012</v>
      </c>
      <c r="F433" s="206">
        <v>1988</v>
      </c>
      <c r="G433" s="51">
        <f t="shared" si="734"/>
        <v>0.62090580009738794</v>
      </c>
      <c r="H433" s="46"/>
      <c r="I433" s="46"/>
      <c r="J433" s="206">
        <v>93286.8</v>
      </c>
      <c r="K433" s="51">
        <f t="shared" ref="K433" si="772">J433/$J$477</f>
        <v>7.4923899778185366E-2</v>
      </c>
      <c r="L433" s="51"/>
      <c r="M433" s="206">
        <v>10813000</v>
      </c>
      <c r="N433" s="206">
        <v>223257.60000000001</v>
      </c>
      <c r="O433" s="46">
        <f t="shared" si="736"/>
        <v>129970.8</v>
      </c>
      <c r="P433" s="51">
        <f t="shared" si="737"/>
        <v>0.58215621775025794</v>
      </c>
      <c r="Q433" s="51">
        <f t="shared" si="738"/>
        <v>0.41784378224974206</v>
      </c>
      <c r="R433" s="51">
        <f t="shared" si="739"/>
        <v>0</v>
      </c>
      <c r="S433" s="51">
        <f t="shared" si="740"/>
        <v>0.41784378224974206</v>
      </c>
      <c r="T433" s="51">
        <f t="shared" si="760"/>
        <v>-0.41784378224974206</v>
      </c>
      <c r="U433" s="298"/>
      <c r="V433" s="298"/>
      <c r="W433" s="298"/>
      <c r="X433" s="113"/>
      <c r="Y433" s="113"/>
      <c r="Z433" s="113"/>
      <c r="AA433" s="113"/>
      <c r="AB433" s="113"/>
      <c r="AC433" s="113"/>
      <c r="AD433" s="113"/>
      <c r="AE433" s="113"/>
      <c r="AF433" s="113"/>
      <c r="AG433" s="113"/>
      <c r="AH433" s="113"/>
      <c r="AI433" s="113"/>
      <c r="AJ433" s="113"/>
      <c r="AK433" s="113"/>
      <c r="AL433" s="113"/>
      <c r="AM433" s="113"/>
      <c r="AN433" s="113"/>
      <c r="AO433" s="113"/>
      <c r="AP433" s="113"/>
      <c r="AQ433" s="113"/>
      <c r="AR433" s="113"/>
      <c r="AS433" s="113"/>
      <c r="AT433" s="113"/>
      <c r="AU433" s="113"/>
      <c r="AV433" s="113"/>
      <c r="AW433" s="113"/>
      <c r="AX433" s="113"/>
      <c r="AY433" s="113"/>
      <c r="AZ433" s="113"/>
      <c r="BA433" s="113"/>
    </row>
    <row r="434" spans="2:53" x14ac:dyDescent="0.25">
      <c r="B434" s="44">
        <f t="shared" si="757"/>
        <v>1</v>
      </c>
      <c r="C434" s="44">
        <f t="shared" si="761"/>
        <v>19</v>
      </c>
      <c r="D434" s="44" t="str">
        <f t="shared" si="762"/>
        <v>Chelan</v>
      </c>
      <c r="E434" s="45">
        <v>2013</v>
      </c>
      <c r="F434" s="206">
        <v>1988</v>
      </c>
      <c r="G434" s="51">
        <f t="shared" si="734"/>
        <v>0.55929182400338107</v>
      </c>
      <c r="H434" s="44"/>
      <c r="I434" s="44"/>
      <c r="J434" s="206">
        <v>97120.8</v>
      </c>
      <c r="K434" s="51">
        <f t="shared" ref="K434" si="773">J434/$J$478</f>
        <v>7.8126508522081556E-2</v>
      </c>
      <c r="L434" s="44"/>
      <c r="M434" s="206">
        <v>9740000</v>
      </c>
      <c r="N434" s="206">
        <v>242305.19999999998</v>
      </c>
      <c r="O434" s="46">
        <f t="shared" si="736"/>
        <v>145184.39999999997</v>
      </c>
      <c r="P434" s="51">
        <f t="shared" si="737"/>
        <v>0.59917987727873767</v>
      </c>
      <c r="Q434" s="51">
        <f t="shared" si="738"/>
        <v>0.40082012272126233</v>
      </c>
      <c r="R434" s="51">
        <f t="shared" si="739"/>
        <v>0</v>
      </c>
      <c r="S434" s="51">
        <f t="shared" si="740"/>
        <v>0.40082012272126233</v>
      </c>
      <c r="T434" s="51">
        <f t="shared" si="760"/>
        <v>-0.40082012272126233</v>
      </c>
      <c r="U434" s="298"/>
      <c r="V434" s="298"/>
      <c r="W434" s="298"/>
      <c r="X434" s="113"/>
      <c r="Y434" s="113"/>
      <c r="Z434" s="113"/>
      <c r="AA434" s="113"/>
      <c r="AB434" s="113"/>
      <c r="AC434" s="113"/>
      <c r="AD434" s="113"/>
      <c r="AE434" s="113"/>
      <c r="AF434" s="113"/>
      <c r="AG434" s="113"/>
      <c r="AH434" s="113"/>
      <c r="AI434" s="113"/>
      <c r="AJ434" s="113"/>
      <c r="AK434" s="113"/>
      <c r="AL434" s="113"/>
      <c r="AM434" s="113"/>
      <c r="AN434" s="113"/>
      <c r="AO434" s="113"/>
      <c r="AP434" s="113"/>
      <c r="AQ434" s="113"/>
      <c r="AR434" s="113"/>
      <c r="AS434" s="113"/>
      <c r="AT434" s="113"/>
      <c r="AU434" s="113"/>
      <c r="AV434" s="113"/>
      <c r="AW434" s="113"/>
      <c r="AX434" s="113"/>
      <c r="AY434" s="113"/>
      <c r="AZ434" s="113"/>
      <c r="BA434" s="113"/>
    </row>
    <row r="435" spans="2:53" x14ac:dyDescent="0.25">
      <c r="B435" s="44">
        <f t="shared" si="757"/>
        <v>1</v>
      </c>
      <c r="C435" s="44">
        <f t="shared" si="761"/>
        <v>19</v>
      </c>
      <c r="D435" s="44" t="str">
        <f>D432</f>
        <v>Chelan</v>
      </c>
      <c r="E435" s="45">
        <v>2014</v>
      </c>
      <c r="F435" s="206">
        <v>1988</v>
      </c>
      <c r="G435" s="51">
        <f t="shared" si="734"/>
        <v>0.53345185266852257</v>
      </c>
      <c r="H435" s="44"/>
      <c r="I435" s="44"/>
      <c r="J435" s="206">
        <v>109428</v>
      </c>
      <c r="K435" s="51">
        <f t="shared" ref="K435" si="774">J435/$J$479</f>
        <v>8.7704962369330994E-2</v>
      </c>
      <c r="L435" s="44"/>
      <c r="M435" s="206">
        <v>9290000</v>
      </c>
      <c r="N435" s="206">
        <v>253956</v>
      </c>
      <c r="O435" s="46">
        <f t="shared" si="736"/>
        <v>144528</v>
      </c>
      <c r="P435" s="51">
        <f t="shared" si="737"/>
        <v>0.56910645938666538</v>
      </c>
      <c r="Q435" s="51">
        <f t="shared" si="738"/>
        <v>0.43089354061333462</v>
      </c>
      <c r="R435" s="51">
        <f t="shared" si="739"/>
        <v>0</v>
      </c>
      <c r="S435" s="51">
        <f t="shared" si="740"/>
        <v>0.43089354061333462</v>
      </c>
      <c r="T435" s="51">
        <f t="shared" si="760"/>
        <v>-0.43089354061333462</v>
      </c>
      <c r="U435" s="298"/>
      <c r="V435" s="298"/>
      <c r="W435" s="298"/>
      <c r="X435" s="113"/>
      <c r="Y435" s="113"/>
      <c r="Z435" s="113"/>
      <c r="AA435" s="113"/>
      <c r="AB435" s="113"/>
      <c r="AC435" s="113"/>
      <c r="AD435" s="113"/>
      <c r="AE435" s="113"/>
      <c r="AF435" s="113"/>
      <c r="AG435" s="113"/>
      <c r="AH435" s="113"/>
      <c r="AI435" s="113"/>
      <c r="AJ435" s="113"/>
      <c r="AK435" s="113"/>
      <c r="AL435" s="113"/>
      <c r="AM435" s="113"/>
      <c r="AN435" s="113"/>
      <c r="AO435" s="113"/>
      <c r="AP435" s="113"/>
      <c r="AQ435" s="113"/>
      <c r="AR435" s="113"/>
      <c r="AS435" s="113"/>
      <c r="AT435" s="113"/>
      <c r="AU435" s="113"/>
      <c r="AV435" s="113"/>
      <c r="AW435" s="113"/>
      <c r="AX435" s="113"/>
      <c r="AY435" s="113"/>
      <c r="AZ435" s="113"/>
      <c r="BA435" s="113"/>
    </row>
    <row r="436" spans="2:53" x14ac:dyDescent="0.25">
      <c r="B436" s="44">
        <f t="shared" si="757"/>
        <v>1</v>
      </c>
      <c r="C436" s="44">
        <f t="shared" si="761"/>
        <v>19</v>
      </c>
      <c r="D436" s="44" t="str">
        <f>D433</f>
        <v>Chelan</v>
      </c>
      <c r="E436" s="45">
        <v>2015</v>
      </c>
      <c r="F436" s="206">
        <v>1988</v>
      </c>
      <c r="G436" s="51">
        <f t="shared" si="734"/>
        <v>0.52369008571979825</v>
      </c>
      <c r="H436" s="44"/>
      <c r="I436" s="44"/>
      <c r="J436" s="206">
        <v>110340</v>
      </c>
      <c r="K436" s="51">
        <f t="shared" ref="K436" si="775">J436/$J$480</f>
        <v>8.3720494351756797E-2</v>
      </c>
      <c r="L436" s="44"/>
      <c r="M436" s="206">
        <v>9120000</v>
      </c>
      <c r="N436" s="206">
        <v>246153.59999999998</v>
      </c>
      <c r="O436" s="46">
        <f t="shared" si="736"/>
        <v>135813.59999999998</v>
      </c>
      <c r="P436" s="51">
        <f t="shared" si="737"/>
        <v>0.55174330174330166</v>
      </c>
      <c r="Q436" s="51">
        <f t="shared" si="738"/>
        <v>0.44825669825669834</v>
      </c>
      <c r="R436" s="51">
        <f t="shared" si="739"/>
        <v>0</v>
      </c>
      <c r="S436" s="51">
        <f t="shared" si="740"/>
        <v>0.44825669825669834</v>
      </c>
      <c r="T436" s="51">
        <f t="shared" si="760"/>
        <v>-0.44825669825669834</v>
      </c>
      <c r="U436" s="298"/>
      <c r="V436" s="298"/>
      <c r="W436" s="298"/>
      <c r="X436" s="113"/>
      <c r="Y436" s="113"/>
      <c r="Z436" s="113"/>
      <c r="AA436" s="113"/>
      <c r="AB436" s="113"/>
      <c r="AC436" s="113"/>
      <c r="AD436" s="113"/>
      <c r="AE436" s="113"/>
      <c r="AF436" s="113"/>
      <c r="AG436" s="113"/>
      <c r="AH436" s="113"/>
      <c r="AI436" s="113"/>
      <c r="AJ436" s="113"/>
      <c r="AK436" s="113"/>
      <c r="AL436" s="113"/>
      <c r="AM436" s="113"/>
      <c r="AN436" s="113"/>
      <c r="AO436" s="113"/>
      <c r="AP436" s="113"/>
      <c r="AQ436" s="113"/>
      <c r="AR436" s="113"/>
      <c r="AS436" s="113"/>
      <c r="AT436" s="113"/>
      <c r="AU436" s="113"/>
      <c r="AV436" s="113"/>
      <c r="AW436" s="113"/>
      <c r="AX436" s="113"/>
      <c r="AY436" s="113"/>
      <c r="AZ436" s="113"/>
      <c r="BA436" s="113"/>
    </row>
    <row r="437" spans="2:53" x14ac:dyDescent="0.25">
      <c r="B437" s="44">
        <f t="shared" si="757"/>
        <v>1</v>
      </c>
      <c r="C437" s="44">
        <f t="shared" si="761"/>
        <v>19</v>
      </c>
      <c r="D437" s="44" t="str">
        <f>D434</f>
        <v>Chelan</v>
      </c>
      <c r="E437" s="45">
        <v>2016</v>
      </c>
      <c r="F437" s="206">
        <v>1988</v>
      </c>
      <c r="G437" s="51">
        <f t="shared" si="734"/>
        <v>0.52581470558510879</v>
      </c>
      <c r="H437" s="44"/>
      <c r="I437" s="44"/>
      <c r="J437" s="206">
        <v>134758.79999999999</v>
      </c>
      <c r="K437" s="51">
        <f t="shared" ref="K437" si="776">J437/$J$481</f>
        <v>0.10125492910600283</v>
      </c>
      <c r="L437" s="44"/>
      <c r="M437" s="206">
        <v>9157000</v>
      </c>
      <c r="N437" s="206">
        <v>262930.8</v>
      </c>
      <c r="O437" s="46">
        <f t="shared" si="736"/>
        <v>128172</v>
      </c>
      <c r="P437" s="51">
        <f t="shared" si="737"/>
        <v>0.48747427079672678</v>
      </c>
      <c r="Q437" s="51">
        <f t="shared" si="738"/>
        <v>0.51252572920327322</v>
      </c>
      <c r="R437" s="51">
        <f t="shared" si="739"/>
        <v>0</v>
      </c>
      <c r="S437" s="51">
        <f t="shared" si="740"/>
        <v>0.51252572920327322</v>
      </c>
      <c r="T437" s="51">
        <f t="shared" si="760"/>
        <v>-0.51252572920327322</v>
      </c>
      <c r="U437" s="298"/>
      <c r="V437" s="298"/>
      <c r="W437" s="298"/>
      <c r="X437" s="113"/>
      <c r="Y437" s="113"/>
      <c r="Z437" s="113"/>
      <c r="AA437" s="113"/>
      <c r="AB437" s="113"/>
      <c r="AC437" s="113"/>
      <c r="AD437" s="113"/>
      <c r="AE437" s="113"/>
      <c r="AF437" s="113"/>
      <c r="AG437" s="113"/>
      <c r="AH437" s="113"/>
      <c r="AI437" s="113"/>
      <c r="AJ437" s="113"/>
      <c r="AK437" s="113"/>
      <c r="AL437" s="113"/>
      <c r="AM437" s="113"/>
      <c r="AN437" s="113"/>
      <c r="AO437" s="113"/>
      <c r="AP437" s="113"/>
      <c r="AQ437" s="113"/>
      <c r="AR437" s="113"/>
      <c r="AS437" s="113"/>
      <c r="AT437" s="113"/>
      <c r="AU437" s="113"/>
      <c r="AV437" s="113"/>
      <c r="AW437" s="113"/>
      <c r="AX437" s="113"/>
      <c r="AY437" s="113"/>
      <c r="AZ437" s="113"/>
      <c r="BA437" s="113"/>
    </row>
    <row r="438" spans="2:53" x14ac:dyDescent="0.25">
      <c r="B438" s="44">
        <f t="shared" si="757"/>
        <v>1</v>
      </c>
      <c r="C438" s="44">
        <f t="shared" si="761"/>
        <v>19</v>
      </c>
      <c r="D438" s="44" t="str">
        <f>D434</f>
        <v>Chelan</v>
      </c>
      <c r="E438" s="45">
        <v>2017</v>
      </c>
      <c r="F438" s="206">
        <v>1988</v>
      </c>
      <c r="G438" s="51">
        <f t="shared" si="734"/>
        <v>0.52501079536580209</v>
      </c>
      <c r="H438" s="44"/>
      <c r="I438" s="44"/>
      <c r="J438" s="206">
        <v>125798.39999999999</v>
      </c>
      <c r="K438" s="51">
        <f t="shared" ref="K438" si="777">J438/$J$482</f>
        <v>9.6621122022705327E-2</v>
      </c>
      <c r="L438" s="44"/>
      <c r="M438" s="206">
        <v>9143000</v>
      </c>
      <c r="N438" s="206">
        <v>252369.59999999998</v>
      </c>
      <c r="O438" s="46">
        <f t="shared" si="736"/>
        <v>126571.19999999998</v>
      </c>
      <c r="P438" s="51">
        <f t="shared" si="737"/>
        <v>0.50153108773798427</v>
      </c>
      <c r="Q438" s="51">
        <f t="shared" si="738"/>
        <v>0.49846891226201573</v>
      </c>
      <c r="R438" s="51">
        <f t="shared" si="739"/>
        <v>0</v>
      </c>
      <c r="S438" s="51">
        <f t="shared" si="740"/>
        <v>0.49846891226201573</v>
      </c>
      <c r="T438" s="51">
        <f t="shared" si="760"/>
        <v>-0.49846891226201573</v>
      </c>
      <c r="U438" s="298"/>
      <c r="V438" s="298"/>
      <c r="W438" s="298"/>
      <c r="X438" s="113"/>
      <c r="Y438" s="113"/>
      <c r="Z438" s="113"/>
      <c r="AA438" s="113"/>
      <c r="AB438" s="113"/>
      <c r="AC438" s="113"/>
      <c r="AD438" s="113"/>
      <c r="AE438" s="113"/>
      <c r="AF438" s="113"/>
      <c r="AG438" s="113"/>
      <c r="AH438" s="113"/>
      <c r="AI438" s="113"/>
      <c r="AJ438" s="113"/>
      <c r="AK438" s="113"/>
      <c r="AL438" s="113"/>
      <c r="AM438" s="113"/>
      <c r="AN438" s="113"/>
      <c r="AO438" s="113"/>
      <c r="AP438" s="113"/>
      <c r="AQ438" s="113"/>
      <c r="AR438" s="113"/>
      <c r="AS438" s="113"/>
      <c r="AT438" s="113"/>
      <c r="AU438" s="113"/>
      <c r="AV438" s="113"/>
      <c r="AW438" s="113"/>
      <c r="AX438" s="113"/>
      <c r="AY438" s="113"/>
      <c r="AZ438" s="113"/>
      <c r="BA438" s="113"/>
    </row>
    <row r="439" spans="2:53" x14ac:dyDescent="0.25">
      <c r="B439" s="44">
        <f t="shared" si="757"/>
        <v>1</v>
      </c>
      <c r="C439" s="44">
        <f t="shared" ref="C439:C443" si="778">IF(D439=D438,C438,C438+1)</f>
        <v>19</v>
      </c>
      <c r="D439" s="44" t="str">
        <f t="shared" ref="D439:D443" si="779">D435</f>
        <v>Chelan</v>
      </c>
      <c r="E439" s="45">
        <v>2018</v>
      </c>
      <c r="F439" s="206">
        <v>1988</v>
      </c>
      <c r="G439" s="51">
        <f t="shared" si="734"/>
        <v>0.52478110673171452</v>
      </c>
      <c r="H439" s="44"/>
      <c r="I439" s="44"/>
      <c r="J439" s="206">
        <v>136940.4</v>
      </c>
      <c r="K439" s="51">
        <f t="shared" ref="K439" si="780">J439/$J$483</f>
        <v>9.7598219625724833E-2</v>
      </c>
      <c r="L439" s="44"/>
      <c r="M439" s="206">
        <v>9139000</v>
      </c>
      <c r="N439" s="206">
        <v>256129.19999999998</v>
      </c>
      <c r="O439" s="46">
        <f t="shared" si="736"/>
        <v>119188.79999999999</v>
      </c>
      <c r="P439" s="51">
        <f t="shared" ref="P439" si="781">O439/N439</f>
        <v>0.46534639549102563</v>
      </c>
      <c r="Q439" s="51">
        <f t="shared" ref="Q439" si="782">1-P439</f>
        <v>0.53465360450897437</v>
      </c>
      <c r="R439" s="51">
        <f t="shared" ref="R439" si="783">Q439*L439</f>
        <v>0</v>
      </c>
      <c r="S439" s="51">
        <f t="shared" ref="S439" si="784">Q439-R439</f>
        <v>0.53465360450897437</v>
      </c>
      <c r="T439" s="51">
        <f t="shared" ref="T439" si="785">R439-S439</f>
        <v>-0.53465360450897437</v>
      </c>
      <c r="U439" s="298"/>
      <c r="V439" s="298"/>
      <c r="W439" s="298"/>
      <c r="X439" s="113"/>
      <c r="Y439" s="113"/>
      <c r="Z439" s="113"/>
      <c r="AA439" s="113"/>
      <c r="AB439" s="113"/>
      <c r="AC439" s="113"/>
      <c r="AD439" s="113"/>
      <c r="AE439" s="113"/>
      <c r="AF439" s="113"/>
      <c r="AG439" s="113"/>
      <c r="AH439" s="113"/>
      <c r="AI439" s="113"/>
      <c r="AJ439" s="113"/>
      <c r="AK439" s="113"/>
      <c r="AL439" s="113"/>
      <c r="AM439" s="113"/>
      <c r="AN439" s="113"/>
      <c r="AO439" s="113"/>
      <c r="AP439" s="113"/>
      <c r="AQ439" s="113"/>
      <c r="AR439" s="113"/>
      <c r="AS439" s="113"/>
      <c r="AT439" s="113"/>
      <c r="AU439" s="113"/>
      <c r="AV439" s="113"/>
      <c r="AW439" s="113"/>
      <c r="AX439" s="113"/>
      <c r="AY439" s="113"/>
      <c r="AZ439" s="113"/>
      <c r="BA439" s="113"/>
    </row>
    <row r="440" spans="2:53" x14ac:dyDescent="0.25">
      <c r="B440" s="44">
        <f t="shared" si="757"/>
        <v>1</v>
      </c>
      <c r="C440" s="44">
        <f t="shared" si="778"/>
        <v>19</v>
      </c>
      <c r="D440" s="44" t="str">
        <f t="shared" si="779"/>
        <v>Chelan</v>
      </c>
      <c r="E440" s="45">
        <v>2019</v>
      </c>
      <c r="F440" s="206">
        <v>1988</v>
      </c>
      <c r="G440" s="51">
        <f t="shared" si="734"/>
        <v>0.43049392243874202</v>
      </c>
      <c r="H440" s="44"/>
      <c r="I440" s="44"/>
      <c r="J440" s="206">
        <v>130798.79999999999</v>
      </c>
      <c r="K440" s="51">
        <f t="shared" ref="K440" si="786">J440/$J$484</f>
        <v>9.4989549797724296E-2</v>
      </c>
      <c r="L440" s="44"/>
      <c r="M440" s="206">
        <v>7497000</v>
      </c>
      <c r="N440" s="206">
        <v>239852.4</v>
      </c>
      <c r="O440" s="46">
        <f t="shared" ref="O440:O461" si="787">N440-J440</f>
        <v>109053.6</v>
      </c>
      <c r="P440" s="51">
        <f t="shared" ref="P440:P461" si="788">O440/N440</f>
        <v>0.45466962181741777</v>
      </c>
      <c r="Q440" s="51">
        <f t="shared" ref="Q440:Q461" si="789">1-P440</f>
        <v>0.54533037818258223</v>
      </c>
      <c r="R440" s="51">
        <f t="shared" ref="R440:R461" si="790">Q440*L440</f>
        <v>0</v>
      </c>
      <c r="S440" s="51">
        <f t="shared" ref="S440:S461" si="791">Q440-R440</f>
        <v>0.54533037818258223</v>
      </c>
      <c r="T440" s="51">
        <f t="shared" ref="T440:T461" si="792">R440-S440</f>
        <v>-0.54533037818258223</v>
      </c>
      <c r="U440" s="298"/>
      <c r="V440" s="298"/>
      <c r="W440" s="298"/>
      <c r="X440" s="113"/>
      <c r="Y440" s="113"/>
      <c r="Z440" s="113"/>
      <c r="AA440" s="113"/>
      <c r="AB440" s="113"/>
      <c r="AC440" s="113"/>
      <c r="AD440" s="113"/>
      <c r="AE440" s="113"/>
      <c r="AF440" s="113"/>
      <c r="AG440" s="113"/>
      <c r="AH440" s="113"/>
      <c r="AI440" s="113"/>
      <c r="AJ440" s="113"/>
      <c r="AK440" s="113"/>
      <c r="AL440" s="113"/>
      <c r="AM440" s="113"/>
      <c r="AN440" s="113"/>
      <c r="AO440" s="113"/>
      <c r="AP440" s="113"/>
      <c r="AQ440" s="113"/>
      <c r="AR440" s="113"/>
      <c r="AS440" s="113"/>
      <c r="AT440" s="113"/>
      <c r="AU440" s="113"/>
      <c r="AV440" s="113"/>
      <c r="AW440" s="113"/>
      <c r="AX440" s="113"/>
      <c r="AY440" s="113"/>
      <c r="AZ440" s="113"/>
      <c r="BA440" s="113"/>
    </row>
    <row r="441" spans="2:53" x14ac:dyDescent="0.25">
      <c r="B441" s="44">
        <f t="shared" si="757"/>
        <v>1</v>
      </c>
      <c r="C441" s="44">
        <f t="shared" si="778"/>
        <v>19</v>
      </c>
      <c r="D441" s="44" t="str">
        <f t="shared" si="779"/>
        <v>Chelan</v>
      </c>
      <c r="E441" s="45">
        <v>2020</v>
      </c>
      <c r="F441" s="206">
        <v>1988</v>
      </c>
      <c r="G441" s="51">
        <f t="shared" si="734"/>
        <v>0.50198450979851716</v>
      </c>
      <c r="H441" s="44"/>
      <c r="I441" s="44"/>
      <c r="J441" s="206">
        <v>140818.79999999999</v>
      </c>
      <c r="K441" s="51">
        <f t="shared" ref="K441" si="793">J441/$J$485</f>
        <v>0.10167687149538501</v>
      </c>
      <c r="L441" s="44"/>
      <c r="M441" s="206">
        <v>8742000</v>
      </c>
      <c r="N441" s="206">
        <v>268551.59999999998</v>
      </c>
      <c r="O441" s="46">
        <f t="shared" si="787"/>
        <v>127732.79999999999</v>
      </c>
      <c r="P441" s="51">
        <f t="shared" si="788"/>
        <v>0.47563596716608653</v>
      </c>
      <c r="Q441" s="51">
        <f t="shared" si="789"/>
        <v>0.52436403283391342</v>
      </c>
      <c r="R441" s="51">
        <f t="shared" si="790"/>
        <v>0</v>
      </c>
      <c r="S441" s="51">
        <f t="shared" si="791"/>
        <v>0.52436403283391342</v>
      </c>
      <c r="T441" s="51">
        <f t="shared" si="792"/>
        <v>-0.52436403283391342</v>
      </c>
      <c r="U441" s="298"/>
      <c r="V441" s="298"/>
      <c r="W441" s="298"/>
      <c r="X441" s="113"/>
      <c r="Y441" s="113"/>
      <c r="Z441" s="113"/>
      <c r="AA441" s="113"/>
      <c r="AB441" s="113"/>
      <c r="AC441" s="113"/>
      <c r="AD441" s="113"/>
      <c r="AE441" s="113"/>
      <c r="AF441" s="113"/>
      <c r="AG441" s="113"/>
      <c r="AH441" s="113"/>
      <c r="AI441" s="113"/>
      <c r="AJ441" s="113"/>
      <c r="AK441" s="113"/>
      <c r="AL441" s="113"/>
      <c r="AM441" s="113"/>
      <c r="AN441" s="113"/>
      <c r="AO441" s="113"/>
      <c r="AP441" s="113"/>
      <c r="AQ441" s="113"/>
      <c r="AR441" s="113"/>
      <c r="AS441" s="113"/>
      <c r="AT441" s="113"/>
      <c r="AU441" s="113"/>
      <c r="AV441" s="113"/>
      <c r="AW441" s="113"/>
      <c r="AX441" s="113"/>
      <c r="AY441" s="113"/>
      <c r="AZ441" s="113"/>
      <c r="BA441" s="113"/>
    </row>
    <row r="442" spans="2:53" x14ac:dyDescent="0.25">
      <c r="B442" s="44">
        <f t="shared" si="757"/>
        <v>1</v>
      </c>
      <c r="C442" s="44">
        <f t="shared" si="778"/>
        <v>19</v>
      </c>
      <c r="D442" s="44" t="str">
        <f t="shared" si="779"/>
        <v>Chelan</v>
      </c>
      <c r="E442" s="45">
        <v>2021</v>
      </c>
      <c r="F442" s="206">
        <v>1988</v>
      </c>
      <c r="G442" s="51">
        <f t="shared" si="734"/>
        <v>0.48860514686291262</v>
      </c>
      <c r="H442" s="44"/>
      <c r="I442" s="44"/>
      <c r="J442" s="206">
        <v>158638.79999999999</v>
      </c>
      <c r="K442" s="51">
        <f t="shared" ref="K442" si="794">J442/$J$486</f>
        <v>0.10948274857450961</v>
      </c>
      <c r="L442" s="44"/>
      <c r="M442" s="206">
        <v>8509000</v>
      </c>
      <c r="N442" s="206">
        <v>285535.2</v>
      </c>
      <c r="O442" s="46">
        <f t="shared" si="787"/>
        <v>126896.40000000002</v>
      </c>
      <c r="P442" s="51">
        <f t="shared" si="788"/>
        <v>0.44441595992368021</v>
      </c>
      <c r="Q442" s="51">
        <f t="shared" si="789"/>
        <v>0.55558404007631979</v>
      </c>
      <c r="R442" s="51">
        <f t="shared" si="790"/>
        <v>0</v>
      </c>
      <c r="S442" s="51">
        <f t="shared" si="791"/>
        <v>0.55558404007631979</v>
      </c>
      <c r="T442" s="51">
        <f t="shared" si="792"/>
        <v>-0.55558404007631979</v>
      </c>
      <c r="U442" s="298"/>
      <c r="V442" s="298"/>
      <c r="W442" s="298"/>
      <c r="X442" s="113"/>
      <c r="Y442" s="113"/>
      <c r="Z442" s="113"/>
      <c r="AA442" s="113"/>
      <c r="AB442" s="113"/>
      <c r="AC442" s="113"/>
      <c r="AD442" s="113"/>
      <c r="AE442" s="113"/>
      <c r="AF442" s="113"/>
      <c r="AG442" s="113"/>
      <c r="AH442" s="113"/>
      <c r="AI442" s="113"/>
      <c r="AJ442" s="113"/>
      <c r="AK442" s="113"/>
      <c r="AL442" s="113"/>
      <c r="AM442" s="113"/>
      <c r="AN442" s="113"/>
      <c r="AO442" s="113"/>
      <c r="AP442" s="113"/>
      <c r="AQ442" s="113"/>
      <c r="AR442" s="113"/>
      <c r="AS442" s="113"/>
      <c r="AT442" s="113"/>
      <c r="AU442" s="113"/>
      <c r="AV442" s="113"/>
      <c r="AW442" s="113"/>
      <c r="AX442" s="113"/>
      <c r="AY442" s="113"/>
      <c r="AZ442" s="113"/>
      <c r="BA442" s="113"/>
    </row>
    <row r="443" spans="2:53" x14ac:dyDescent="0.25">
      <c r="B443" s="44">
        <f t="shared" si="757"/>
        <v>1</v>
      </c>
      <c r="C443" s="44">
        <f t="shared" si="778"/>
        <v>19</v>
      </c>
      <c r="D443" s="44" t="str">
        <f t="shared" si="779"/>
        <v>Chelan</v>
      </c>
      <c r="E443" s="45">
        <v>2022</v>
      </c>
      <c r="F443" s="206">
        <v>2037</v>
      </c>
      <c r="G443" s="51">
        <f t="shared" si="734"/>
        <v>0.53401344532540695</v>
      </c>
      <c r="H443" s="44"/>
      <c r="I443" s="44"/>
      <c r="J443" s="206">
        <v>158796</v>
      </c>
      <c r="K443" s="51">
        <f t="shared" ref="K443" si="795">J443/$J$487</f>
        <v>0.10801384752658495</v>
      </c>
      <c r="L443" s="44"/>
      <c r="M443" s="206">
        <v>9529000</v>
      </c>
      <c r="N443" s="206">
        <v>288927.59999999998</v>
      </c>
      <c r="O443" s="46">
        <f t="shared" si="787"/>
        <v>130131.59999999998</v>
      </c>
      <c r="P443" s="51">
        <f t="shared" si="788"/>
        <v>0.45039518550668051</v>
      </c>
      <c r="Q443" s="51">
        <f t="shared" si="789"/>
        <v>0.54960481449331944</v>
      </c>
      <c r="R443" s="51">
        <f t="shared" si="790"/>
        <v>0</v>
      </c>
      <c r="S443" s="51">
        <f t="shared" si="791"/>
        <v>0.54960481449331944</v>
      </c>
      <c r="T443" s="51">
        <f t="shared" si="792"/>
        <v>-0.54960481449331944</v>
      </c>
      <c r="U443" s="298"/>
      <c r="V443" s="298"/>
      <c r="W443" s="298"/>
      <c r="X443" s="113"/>
      <c r="Y443" s="113"/>
      <c r="Z443" s="113"/>
      <c r="AA443" s="113"/>
      <c r="AB443" s="113"/>
      <c r="AC443" s="113"/>
      <c r="AD443" s="113"/>
      <c r="AE443" s="113"/>
      <c r="AF443" s="113"/>
      <c r="AG443" s="113"/>
      <c r="AH443" s="113"/>
      <c r="AI443" s="113"/>
      <c r="AJ443" s="113"/>
      <c r="AK443" s="113"/>
      <c r="AL443" s="113"/>
      <c r="AM443" s="113"/>
      <c r="AN443" s="113"/>
      <c r="AO443" s="113"/>
      <c r="AP443" s="113"/>
      <c r="AQ443" s="113"/>
      <c r="AR443" s="113"/>
      <c r="AS443" s="113"/>
      <c r="AT443" s="113"/>
      <c r="AU443" s="113"/>
      <c r="AV443" s="113"/>
      <c r="AW443" s="113"/>
      <c r="AX443" s="113"/>
      <c r="AY443" s="113"/>
      <c r="AZ443" s="113"/>
      <c r="BA443" s="113"/>
    </row>
    <row r="444" spans="2:53" x14ac:dyDescent="0.25">
      <c r="B444" s="44">
        <f>B443</f>
        <v>1</v>
      </c>
      <c r="C444" s="44">
        <f>IF(D444=D443,C443,C443+1)</f>
        <v>19</v>
      </c>
      <c r="D444" s="44" t="str">
        <f>D435</f>
        <v>Chelan</v>
      </c>
      <c r="E444" s="45">
        <v>2023</v>
      </c>
      <c r="F444" s="206">
        <v>2037</v>
      </c>
      <c r="G444" s="51">
        <f t="shared" si="734"/>
        <v>0.41139602289157434</v>
      </c>
      <c r="H444" s="44"/>
      <c r="I444" s="44"/>
      <c r="J444" s="206">
        <v>184314</v>
      </c>
      <c r="K444" s="51">
        <f t="shared" ref="K444" si="796">J444/$J$488</f>
        <v>0.11538914620591141</v>
      </c>
      <c r="L444" s="44"/>
      <c r="M444" s="206">
        <v>7341000</v>
      </c>
      <c r="N444" s="206">
        <v>316502.39999999997</v>
      </c>
      <c r="O444" s="46">
        <f t="shared" si="787"/>
        <v>132188.39999999997</v>
      </c>
      <c r="P444" s="51">
        <f t="shared" si="788"/>
        <v>0.41765370499560184</v>
      </c>
      <c r="Q444" s="51">
        <f t="shared" si="789"/>
        <v>0.58234629500439816</v>
      </c>
      <c r="R444" s="51">
        <f t="shared" si="790"/>
        <v>0</v>
      </c>
      <c r="S444" s="51">
        <f t="shared" si="791"/>
        <v>0.58234629500439816</v>
      </c>
      <c r="T444" s="51">
        <f t="shared" si="792"/>
        <v>-0.58234629500439816</v>
      </c>
      <c r="U444" s="298"/>
      <c r="V444" s="298"/>
      <c r="W444" s="298"/>
      <c r="X444" s="113"/>
      <c r="Y444" s="113"/>
      <c r="Z444" s="113"/>
      <c r="AA444" s="113"/>
      <c r="AB444" s="113"/>
      <c r="AC444" s="113"/>
      <c r="AD444" s="113"/>
      <c r="AE444" s="113"/>
      <c r="AF444" s="113"/>
      <c r="AG444" s="113"/>
      <c r="AH444" s="113"/>
      <c r="AI444" s="113"/>
      <c r="AJ444" s="113"/>
      <c r="AK444" s="113"/>
      <c r="AL444" s="113"/>
      <c r="AM444" s="113"/>
      <c r="AN444" s="113"/>
      <c r="AO444" s="113"/>
      <c r="AP444" s="113"/>
      <c r="AQ444" s="113"/>
      <c r="AR444" s="113"/>
      <c r="AS444" s="113"/>
      <c r="AT444" s="113"/>
      <c r="AU444" s="113"/>
      <c r="AV444" s="113"/>
      <c r="AW444" s="113"/>
      <c r="AX444" s="113"/>
      <c r="AY444" s="113"/>
      <c r="AZ444" s="113"/>
      <c r="BA444" s="113"/>
    </row>
    <row r="445" spans="2:53" x14ac:dyDescent="0.25">
      <c r="B445" s="47">
        <f t="shared" si="757"/>
        <v>1</v>
      </c>
      <c r="C445" s="47">
        <f t="shared" ref="C445:C466" si="797">IF(D445=D444,C444,C444+1)</f>
        <v>20</v>
      </c>
      <c r="D445" s="47" t="str">
        <f>'OPG hydro peers'!D24</f>
        <v>WAPA</v>
      </c>
      <c r="E445" s="48">
        <v>2002</v>
      </c>
      <c r="F445" s="207">
        <v>10504</v>
      </c>
      <c r="G445" s="50">
        <f t="shared" ref="G445:G466" si="798">M445/(F445*8760)</f>
        <v>0.26706503632449652</v>
      </c>
      <c r="H445" s="49"/>
      <c r="I445" s="49"/>
      <c r="J445" s="207">
        <v>176511.21899999943</v>
      </c>
      <c r="K445" s="50">
        <f>J445/$J$467</f>
        <v>0.23002522100770501</v>
      </c>
      <c r="L445" s="50"/>
      <c r="M445" s="207">
        <v>24574000</v>
      </c>
      <c r="N445" s="207">
        <v>714717.6</v>
      </c>
      <c r="O445" s="49">
        <f t="shared" si="787"/>
        <v>538206.38100000052</v>
      </c>
      <c r="P445" s="50">
        <f t="shared" si="788"/>
        <v>0.75303361915251632</v>
      </c>
      <c r="Q445" s="50">
        <f t="shared" si="789"/>
        <v>0.24696638084748368</v>
      </c>
      <c r="R445" s="50">
        <f t="shared" si="790"/>
        <v>0</v>
      </c>
      <c r="S445" s="50">
        <f t="shared" si="791"/>
        <v>0.24696638084748368</v>
      </c>
      <c r="T445" s="50">
        <f t="shared" si="792"/>
        <v>-0.24696638084748368</v>
      </c>
      <c r="U445" s="298"/>
      <c r="V445" s="298"/>
      <c r="W445" s="298"/>
      <c r="X445" s="113"/>
      <c r="Y445" s="113"/>
      <c r="Z445" s="113"/>
      <c r="AA445" s="113"/>
      <c r="AB445" s="113"/>
      <c r="AC445" s="113"/>
      <c r="AD445" s="113"/>
      <c r="AE445" s="113"/>
      <c r="AF445" s="113"/>
      <c r="AG445" s="113"/>
      <c r="AH445" s="113"/>
      <c r="AI445" s="113"/>
      <c r="AJ445" s="113"/>
      <c r="AK445" s="113"/>
      <c r="AL445" s="113"/>
      <c r="AM445" s="113"/>
      <c r="AN445" s="113"/>
      <c r="AO445" s="113"/>
      <c r="AP445" s="113"/>
      <c r="AQ445" s="113"/>
      <c r="AR445" s="113"/>
      <c r="AS445" s="113"/>
      <c r="AT445" s="113"/>
      <c r="AU445" s="113"/>
      <c r="AV445" s="113"/>
      <c r="AW445" s="113"/>
      <c r="AX445" s="113"/>
      <c r="AY445" s="113"/>
      <c r="AZ445" s="113"/>
      <c r="BA445" s="113"/>
    </row>
    <row r="446" spans="2:53" x14ac:dyDescent="0.25">
      <c r="B446" s="47">
        <f t="shared" si="757"/>
        <v>1</v>
      </c>
      <c r="C446" s="47">
        <f t="shared" si="797"/>
        <v>20</v>
      </c>
      <c r="D446" s="47" t="str">
        <f t="shared" ref="D446:D456" si="799">D445</f>
        <v>WAPA</v>
      </c>
      <c r="E446" s="48">
        <v>2003</v>
      </c>
      <c r="F446" s="207">
        <v>10504</v>
      </c>
      <c r="G446" s="50">
        <f t="shared" si="798"/>
        <v>0.26886908922715241</v>
      </c>
      <c r="H446" s="49"/>
      <c r="I446" s="49"/>
      <c r="J446" s="207">
        <v>215772.03433199989</v>
      </c>
      <c r="K446" s="50">
        <f>J446/$J$468</f>
        <v>0.25442083011974148</v>
      </c>
      <c r="L446" s="50"/>
      <c r="M446" s="207">
        <v>24740000</v>
      </c>
      <c r="N446" s="207">
        <v>817356</v>
      </c>
      <c r="O446" s="49">
        <f t="shared" si="787"/>
        <v>601583.96566800005</v>
      </c>
      <c r="P446" s="50">
        <f t="shared" si="788"/>
        <v>0.73601217299193988</v>
      </c>
      <c r="Q446" s="50">
        <f t="shared" si="789"/>
        <v>0.26398782700806012</v>
      </c>
      <c r="R446" s="50">
        <f t="shared" si="790"/>
        <v>0</v>
      </c>
      <c r="S446" s="50">
        <f t="shared" si="791"/>
        <v>0.26398782700806012</v>
      </c>
      <c r="T446" s="50">
        <f t="shared" si="792"/>
        <v>-0.26398782700806012</v>
      </c>
      <c r="U446" s="298"/>
      <c r="V446" s="298"/>
      <c r="W446" s="298"/>
      <c r="X446" s="113"/>
      <c r="Y446" s="113"/>
      <c r="Z446" s="113"/>
      <c r="AA446" s="113"/>
      <c r="AB446" s="113"/>
      <c r="AC446" s="113"/>
      <c r="AD446" s="113"/>
      <c r="AE446" s="113"/>
      <c r="AF446" s="113"/>
      <c r="AG446" s="113"/>
      <c r="AH446" s="113"/>
      <c r="AI446" s="113"/>
      <c r="AJ446" s="113"/>
      <c r="AK446" s="113"/>
      <c r="AL446" s="113"/>
      <c r="AM446" s="113"/>
      <c r="AN446" s="113"/>
      <c r="AO446" s="113"/>
      <c r="AP446" s="113"/>
      <c r="AQ446" s="113"/>
      <c r="AR446" s="113"/>
      <c r="AS446" s="113"/>
      <c r="AT446" s="113"/>
      <c r="AU446" s="113"/>
      <c r="AV446" s="113"/>
      <c r="AW446" s="113"/>
      <c r="AX446" s="113"/>
      <c r="AY446" s="113"/>
      <c r="AZ446" s="113"/>
      <c r="BA446" s="113"/>
    </row>
    <row r="447" spans="2:53" x14ac:dyDescent="0.25">
      <c r="B447" s="47">
        <f t="shared" si="757"/>
        <v>1</v>
      </c>
      <c r="C447" s="47">
        <f t="shared" si="797"/>
        <v>20</v>
      </c>
      <c r="D447" s="47" t="str">
        <f t="shared" si="799"/>
        <v>WAPA</v>
      </c>
      <c r="E447" s="48">
        <v>2004</v>
      </c>
      <c r="F447" s="207">
        <v>10504</v>
      </c>
      <c r="G447" s="50">
        <f t="shared" si="798"/>
        <v>0.2600227093309963</v>
      </c>
      <c r="H447" s="49"/>
      <c r="I447" s="49"/>
      <c r="J447" s="207">
        <v>204004.14014399986</v>
      </c>
      <c r="K447" s="50">
        <f>J447/$J$469</f>
        <v>0.23087393068492298</v>
      </c>
      <c r="L447" s="50"/>
      <c r="M447" s="207">
        <v>23926000</v>
      </c>
      <c r="N447" s="207">
        <v>879225.6</v>
      </c>
      <c r="O447" s="49">
        <f t="shared" si="787"/>
        <v>675221.45985600015</v>
      </c>
      <c r="P447" s="50">
        <f t="shared" si="788"/>
        <v>0.7679729296508202</v>
      </c>
      <c r="Q447" s="50">
        <f t="shared" si="789"/>
        <v>0.2320270703491798</v>
      </c>
      <c r="R447" s="50">
        <f t="shared" si="790"/>
        <v>0</v>
      </c>
      <c r="S447" s="50">
        <f t="shared" si="791"/>
        <v>0.2320270703491798</v>
      </c>
      <c r="T447" s="50">
        <f t="shared" si="792"/>
        <v>-0.2320270703491798</v>
      </c>
      <c r="U447" s="298"/>
      <c r="V447" s="298"/>
      <c r="W447" s="298"/>
      <c r="X447" s="113"/>
      <c r="Y447" s="113"/>
      <c r="Z447" s="113"/>
      <c r="AA447" s="113"/>
      <c r="AB447" s="113"/>
      <c r="AC447" s="113"/>
      <c r="AD447" s="113"/>
      <c r="AE447" s="113"/>
      <c r="AF447" s="113"/>
      <c r="AG447" s="113"/>
      <c r="AH447" s="113"/>
      <c r="AI447" s="113"/>
      <c r="AJ447" s="113"/>
      <c r="AK447" s="113"/>
      <c r="AL447" s="113"/>
      <c r="AM447" s="113"/>
      <c r="AN447" s="113"/>
      <c r="AO447" s="113"/>
      <c r="AP447" s="113"/>
      <c r="AQ447" s="113"/>
      <c r="AR447" s="113"/>
      <c r="AS447" s="113"/>
      <c r="AT447" s="113"/>
      <c r="AU447" s="113"/>
      <c r="AV447" s="113"/>
      <c r="AW447" s="113"/>
      <c r="AX447" s="113"/>
      <c r="AY447" s="113"/>
      <c r="AZ447" s="113"/>
      <c r="BA447" s="113"/>
    </row>
    <row r="448" spans="2:53" x14ac:dyDescent="0.25">
      <c r="B448" s="47">
        <f t="shared" si="757"/>
        <v>1</v>
      </c>
      <c r="C448" s="47">
        <f t="shared" si="797"/>
        <v>20</v>
      </c>
      <c r="D448" s="47" t="str">
        <f t="shared" si="799"/>
        <v>WAPA</v>
      </c>
      <c r="E448" s="48">
        <v>2005</v>
      </c>
      <c r="F448" s="207">
        <v>10504</v>
      </c>
      <c r="G448" s="50">
        <f t="shared" si="798"/>
        <v>0.22789752631743679</v>
      </c>
      <c r="H448" s="49"/>
      <c r="I448" s="49"/>
      <c r="J448" s="207">
        <v>224288.64415199967</v>
      </c>
      <c r="K448" s="50">
        <f>J448/$J$470</f>
        <v>0.24142755943782168</v>
      </c>
      <c r="L448" s="50"/>
      <c r="M448" s="207">
        <v>20970000</v>
      </c>
      <c r="N448" s="207">
        <v>853914</v>
      </c>
      <c r="O448" s="49">
        <f t="shared" si="787"/>
        <v>629625.35584800038</v>
      </c>
      <c r="P448" s="50">
        <f t="shared" si="788"/>
        <v>0.73734047673184933</v>
      </c>
      <c r="Q448" s="50">
        <f t="shared" si="789"/>
        <v>0.26265952326815067</v>
      </c>
      <c r="R448" s="50">
        <f t="shared" si="790"/>
        <v>0</v>
      </c>
      <c r="S448" s="50">
        <f t="shared" si="791"/>
        <v>0.26265952326815067</v>
      </c>
      <c r="T448" s="50">
        <f t="shared" si="792"/>
        <v>-0.26265952326815067</v>
      </c>
      <c r="U448" s="298"/>
      <c r="V448" s="298"/>
      <c r="W448" s="298"/>
      <c r="X448" s="113"/>
      <c r="Y448" s="113"/>
      <c r="Z448" s="113"/>
      <c r="AA448" s="113"/>
      <c r="AB448" s="113"/>
      <c r="AC448" s="113"/>
      <c r="AD448" s="113"/>
      <c r="AE448" s="113"/>
      <c r="AF448" s="113"/>
      <c r="AG448" s="113"/>
      <c r="AH448" s="113"/>
      <c r="AI448" s="113"/>
      <c r="AJ448" s="113"/>
      <c r="AK448" s="113"/>
      <c r="AL448" s="113"/>
      <c r="AM448" s="113"/>
      <c r="AN448" s="113"/>
      <c r="AO448" s="113"/>
      <c r="AP448" s="113"/>
      <c r="AQ448" s="113"/>
      <c r="AR448" s="113"/>
      <c r="AS448" s="113"/>
      <c r="AT448" s="113"/>
      <c r="AU448" s="113"/>
      <c r="AV448" s="113"/>
      <c r="AW448" s="113"/>
      <c r="AX448" s="113"/>
      <c r="AY448" s="113"/>
      <c r="AZ448" s="113"/>
      <c r="BA448" s="113"/>
    </row>
    <row r="449" spans="1:53" x14ac:dyDescent="0.25">
      <c r="B449" s="47">
        <f t="shared" si="757"/>
        <v>1</v>
      </c>
      <c r="C449" s="47">
        <f t="shared" si="797"/>
        <v>20</v>
      </c>
      <c r="D449" s="47" t="str">
        <f t="shared" si="799"/>
        <v>WAPA</v>
      </c>
      <c r="E449" s="48">
        <v>2006</v>
      </c>
      <c r="F449" s="207">
        <v>10504</v>
      </c>
      <c r="G449" s="50">
        <f t="shared" si="798"/>
        <v>0.28522511102532805</v>
      </c>
      <c r="H449" s="49"/>
      <c r="I449" s="49"/>
      <c r="J449" s="207">
        <v>231236.27056800036</v>
      </c>
      <c r="K449" s="50">
        <f>J449/$J$471</f>
        <v>0.23490656954933256</v>
      </c>
      <c r="L449" s="50"/>
      <c r="M449" s="207">
        <v>26245000</v>
      </c>
      <c r="N449" s="207">
        <v>946128</v>
      </c>
      <c r="O449" s="49">
        <f t="shared" si="787"/>
        <v>714891.72943199961</v>
      </c>
      <c r="P449" s="50">
        <f t="shared" si="788"/>
        <v>0.75559726530871052</v>
      </c>
      <c r="Q449" s="50">
        <f t="shared" si="789"/>
        <v>0.24440273469128948</v>
      </c>
      <c r="R449" s="50">
        <f t="shared" si="790"/>
        <v>0</v>
      </c>
      <c r="S449" s="50">
        <f t="shared" si="791"/>
        <v>0.24440273469128948</v>
      </c>
      <c r="T449" s="50">
        <f t="shared" si="792"/>
        <v>-0.24440273469128948</v>
      </c>
      <c r="U449" s="298"/>
      <c r="V449" s="298"/>
      <c r="W449" s="298"/>
      <c r="X449" s="113"/>
      <c r="Y449" s="113"/>
      <c r="Z449" s="113"/>
      <c r="AA449" s="113"/>
      <c r="AB449" s="113"/>
      <c r="AC449" s="113"/>
      <c r="AD449" s="113"/>
      <c r="AE449" s="113"/>
      <c r="AF449" s="113"/>
      <c r="AG449" s="113"/>
      <c r="AH449" s="113"/>
      <c r="AI449" s="113"/>
      <c r="AJ449" s="113"/>
      <c r="AK449" s="113"/>
      <c r="AL449" s="113"/>
      <c r="AM449" s="113"/>
      <c r="AN449" s="113"/>
      <c r="AO449" s="113"/>
      <c r="AP449" s="113"/>
      <c r="AQ449" s="113"/>
      <c r="AR449" s="113"/>
      <c r="AS449" s="113"/>
      <c r="AT449" s="113"/>
      <c r="AU449" s="113"/>
      <c r="AV449" s="113"/>
      <c r="AW449" s="113"/>
      <c r="AX449" s="113"/>
      <c r="AY449" s="113"/>
      <c r="AZ449" s="113"/>
      <c r="BA449" s="113"/>
    </row>
    <row r="450" spans="1:53" x14ac:dyDescent="0.25">
      <c r="B450" s="47">
        <f t="shared" si="757"/>
        <v>1</v>
      </c>
      <c r="C450" s="47">
        <f t="shared" si="797"/>
        <v>20</v>
      </c>
      <c r="D450" s="47" t="str">
        <f t="shared" si="799"/>
        <v>WAPA</v>
      </c>
      <c r="E450" s="48">
        <v>2007</v>
      </c>
      <c r="F450" s="207">
        <v>10504</v>
      </c>
      <c r="G450" s="50">
        <f t="shared" si="798"/>
        <v>0.23877618267622336</v>
      </c>
      <c r="H450" s="49"/>
      <c r="I450" s="49"/>
      <c r="J450" s="207">
        <v>254690.3226839999</v>
      </c>
      <c r="K450" s="50">
        <f>J450/$J$472</f>
        <v>0.23893780718800553</v>
      </c>
      <c r="L450" s="50"/>
      <c r="M450" s="207">
        <v>21971000</v>
      </c>
      <c r="N450" s="207">
        <v>952614</v>
      </c>
      <c r="O450" s="49">
        <f t="shared" si="787"/>
        <v>697923.6773160001</v>
      </c>
      <c r="P450" s="50">
        <f t="shared" si="788"/>
        <v>0.73264058403088772</v>
      </c>
      <c r="Q450" s="50">
        <f t="shared" si="789"/>
        <v>0.26735941596911228</v>
      </c>
      <c r="R450" s="50">
        <f t="shared" si="790"/>
        <v>0</v>
      </c>
      <c r="S450" s="50">
        <f t="shared" si="791"/>
        <v>0.26735941596911228</v>
      </c>
      <c r="T450" s="50">
        <f t="shared" si="792"/>
        <v>-0.26735941596911228</v>
      </c>
      <c r="U450" s="298"/>
      <c r="V450" s="298"/>
      <c r="W450" s="298"/>
      <c r="X450" s="113"/>
      <c r="Y450" s="113"/>
      <c r="Z450" s="113"/>
      <c r="AA450" s="113"/>
      <c r="AB450" s="113"/>
      <c r="AC450" s="113"/>
      <c r="AD450" s="113"/>
      <c r="AE450" s="113"/>
      <c r="AF450" s="113"/>
      <c r="AG450" s="113"/>
      <c r="AH450" s="113"/>
      <c r="AI450" s="113"/>
      <c r="AJ450" s="113"/>
      <c r="AK450" s="113"/>
      <c r="AL450" s="113"/>
      <c r="AM450" s="113"/>
      <c r="AN450" s="113"/>
      <c r="AO450" s="113"/>
      <c r="AP450" s="113"/>
      <c r="AQ450" s="113"/>
      <c r="AR450" s="113"/>
      <c r="AS450" s="113"/>
      <c r="AT450" s="113"/>
      <c r="AU450" s="113"/>
      <c r="AV450" s="113"/>
      <c r="AW450" s="113"/>
      <c r="AX450" s="113"/>
      <c r="AY450" s="113"/>
      <c r="AZ450" s="113"/>
      <c r="BA450" s="113"/>
    </row>
    <row r="451" spans="1:53" x14ac:dyDescent="0.25">
      <c r="B451" s="47">
        <f t="shared" si="757"/>
        <v>1</v>
      </c>
      <c r="C451" s="47">
        <f t="shared" si="797"/>
        <v>20</v>
      </c>
      <c r="D451" s="47" t="str">
        <f t="shared" si="799"/>
        <v>WAPA</v>
      </c>
      <c r="E451" s="48">
        <v>2008</v>
      </c>
      <c r="F451" s="207">
        <v>10504</v>
      </c>
      <c r="G451" s="50">
        <f t="shared" si="798"/>
        <v>0.23737423795066545</v>
      </c>
      <c r="H451" s="49"/>
      <c r="I451" s="49"/>
      <c r="J451" s="207">
        <v>281288.37734400004</v>
      </c>
      <c r="K451" s="50">
        <f>J451/$J$473</f>
        <v>0.24289363973560052</v>
      </c>
      <c r="L451" s="50"/>
      <c r="M451" s="207">
        <v>21842000</v>
      </c>
      <c r="N451" s="207">
        <v>951993.6</v>
      </c>
      <c r="O451" s="49">
        <f t="shared" si="787"/>
        <v>670705.22265599994</v>
      </c>
      <c r="P451" s="50">
        <f t="shared" si="788"/>
        <v>0.70452702902204378</v>
      </c>
      <c r="Q451" s="50">
        <f t="shared" si="789"/>
        <v>0.29547297097795622</v>
      </c>
      <c r="R451" s="50">
        <f t="shared" si="790"/>
        <v>0</v>
      </c>
      <c r="S451" s="50">
        <f t="shared" si="791"/>
        <v>0.29547297097795622</v>
      </c>
      <c r="T451" s="50">
        <f t="shared" si="792"/>
        <v>-0.29547297097795622</v>
      </c>
      <c r="U451" s="298"/>
      <c r="V451" s="298"/>
      <c r="W451" s="298"/>
      <c r="X451" s="113"/>
      <c r="Y451" s="113"/>
      <c r="Z451" s="113"/>
      <c r="AA451" s="113"/>
      <c r="AB451" s="113"/>
      <c r="AC451" s="113"/>
      <c r="AD451" s="113"/>
      <c r="AE451" s="113"/>
      <c r="AF451" s="113"/>
      <c r="AG451" s="113"/>
      <c r="AH451" s="113"/>
      <c r="AI451" s="113"/>
      <c r="AJ451" s="113"/>
      <c r="AK451" s="113"/>
      <c r="AL451" s="113"/>
      <c r="AM451" s="113"/>
      <c r="AN451" s="113"/>
      <c r="AO451" s="113"/>
      <c r="AP451" s="113"/>
      <c r="AQ451" s="113"/>
      <c r="AR451" s="113"/>
      <c r="AS451" s="113"/>
      <c r="AT451" s="113"/>
      <c r="AU451" s="113"/>
      <c r="AV451" s="113"/>
      <c r="AW451" s="113"/>
      <c r="AX451" s="113"/>
      <c r="AY451" s="113"/>
      <c r="AZ451" s="113"/>
      <c r="BA451" s="113"/>
    </row>
    <row r="452" spans="1:53" x14ac:dyDescent="0.25">
      <c r="B452" s="47">
        <f t="shared" si="757"/>
        <v>1</v>
      </c>
      <c r="C452" s="47">
        <f t="shared" si="797"/>
        <v>20</v>
      </c>
      <c r="D452" s="47" t="str">
        <f t="shared" si="799"/>
        <v>WAPA</v>
      </c>
      <c r="E452" s="48">
        <v>2009</v>
      </c>
      <c r="F452" s="207">
        <v>10504</v>
      </c>
      <c r="G452" s="50">
        <f t="shared" si="798"/>
        <v>0.24998087269211641</v>
      </c>
      <c r="H452" s="49"/>
      <c r="I452" s="49"/>
      <c r="J452" s="207">
        <v>269932.75450799998</v>
      </c>
      <c r="K452" s="50">
        <f>J452/$J$474</f>
        <v>0.2287594455203123</v>
      </c>
      <c r="L452" s="50"/>
      <c r="M452" s="207">
        <v>23002000</v>
      </c>
      <c r="N452" s="207">
        <v>979346.39999999991</v>
      </c>
      <c r="O452" s="49">
        <f t="shared" si="787"/>
        <v>709413.64549199992</v>
      </c>
      <c r="P452" s="50">
        <f t="shared" si="788"/>
        <v>0.72437458849289693</v>
      </c>
      <c r="Q452" s="50">
        <f t="shared" si="789"/>
        <v>0.27562541150710307</v>
      </c>
      <c r="R452" s="50">
        <f t="shared" si="790"/>
        <v>0</v>
      </c>
      <c r="S452" s="50">
        <f t="shared" si="791"/>
        <v>0.27562541150710307</v>
      </c>
      <c r="T452" s="50">
        <f t="shared" si="792"/>
        <v>-0.27562541150710307</v>
      </c>
      <c r="U452" s="298"/>
      <c r="V452" s="298"/>
      <c r="W452" s="298"/>
      <c r="X452" s="113"/>
      <c r="Y452" s="113"/>
      <c r="Z452" s="113"/>
      <c r="AA452" s="113"/>
      <c r="AB452" s="113"/>
      <c r="AC452" s="113"/>
      <c r="AD452" s="113"/>
      <c r="AE452" s="113"/>
      <c r="AF452" s="113"/>
      <c r="AG452" s="113"/>
      <c r="AH452" s="113"/>
      <c r="AI452" s="113"/>
      <c r="AJ452" s="113"/>
      <c r="AK452" s="113"/>
      <c r="AL452" s="113"/>
      <c r="AM452" s="113"/>
      <c r="AN452" s="113"/>
      <c r="AO452" s="113"/>
      <c r="AP452" s="113"/>
      <c r="AQ452" s="113"/>
      <c r="AR452" s="113"/>
      <c r="AS452" s="113"/>
      <c r="AT452" s="113"/>
      <c r="AU452" s="113"/>
      <c r="AV452" s="113"/>
      <c r="AW452" s="113"/>
      <c r="AX452" s="113"/>
      <c r="AY452" s="113"/>
      <c r="AZ452" s="113"/>
      <c r="BA452" s="113"/>
    </row>
    <row r="453" spans="1:53" x14ac:dyDescent="0.25">
      <c r="B453" s="47">
        <f t="shared" si="757"/>
        <v>1</v>
      </c>
      <c r="C453" s="47">
        <f t="shared" si="797"/>
        <v>20</v>
      </c>
      <c r="D453" s="47" t="str">
        <f t="shared" si="799"/>
        <v>WAPA</v>
      </c>
      <c r="E453" s="48">
        <v>2010</v>
      </c>
      <c r="F453" s="207">
        <v>10504</v>
      </c>
      <c r="G453" s="50">
        <f t="shared" si="798"/>
        <v>0.26255490406785675</v>
      </c>
      <c r="H453" s="49"/>
      <c r="I453" s="49"/>
      <c r="J453" s="207">
        <v>291504.58297199971</v>
      </c>
      <c r="K453" s="50">
        <f>J453/$J$475</f>
        <v>0.23821822604624759</v>
      </c>
      <c r="L453" s="50"/>
      <c r="M453" s="207">
        <v>24159000</v>
      </c>
      <c r="N453" s="207">
        <v>1031991.6</v>
      </c>
      <c r="O453" s="49">
        <f t="shared" si="787"/>
        <v>740487.01702800021</v>
      </c>
      <c r="P453" s="50">
        <f t="shared" si="788"/>
        <v>0.71753201966760216</v>
      </c>
      <c r="Q453" s="50">
        <f t="shared" si="789"/>
        <v>0.28246798033239784</v>
      </c>
      <c r="R453" s="50">
        <f t="shared" si="790"/>
        <v>0</v>
      </c>
      <c r="S453" s="50">
        <f t="shared" si="791"/>
        <v>0.28246798033239784</v>
      </c>
      <c r="T453" s="50">
        <f t="shared" si="792"/>
        <v>-0.28246798033239784</v>
      </c>
      <c r="U453" s="298"/>
      <c r="V453" s="298"/>
      <c r="W453" s="298"/>
      <c r="X453" s="113"/>
      <c r="Y453" s="113"/>
      <c r="Z453" s="113"/>
      <c r="AA453" s="113"/>
      <c r="AB453" s="113"/>
      <c r="AC453" s="113"/>
      <c r="AD453" s="113"/>
      <c r="AE453" s="113"/>
      <c r="AF453" s="113"/>
      <c r="AG453" s="113"/>
      <c r="AH453" s="113"/>
      <c r="AI453" s="113"/>
      <c r="AJ453" s="113"/>
      <c r="AK453" s="113"/>
      <c r="AL453" s="113"/>
      <c r="AM453" s="113"/>
      <c r="AN453" s="113"/>
      <c r="AO453" s="113"/>
      <c r="AP453" s="113"/>
      <c r="AQ453" s="113"/>
      <c r="AR453" s="113"/>
      <c r="AS453" s="113"/>
      <c r="AT453" s="113"/>
      <c r="AU453" s="113"/>
      <c r="AV453" s="113"/>
      <c r="AW453" s="113"/>
      <c r="AX453" s="113"/>
      <c r="AY453" s="113"/>
      <c r="AZ453" s="113"/>
      <c r="BA453" s="113"/>
    </row>
    <row r="454" spans="1:53" x14ac:dyDescent="0.25">
      <c r="B454" s="47">
        <f t="shared" si="757"/>
        <v>1</v>
      </c>
      <c r="C454" s="47">
        <f t="shared" si="797"/>
        <v>20</v>
      </c>
      <c r="D454" s="47" t="str">
        <f t="shared" si="799"/>
        <v>WAPA</v>
      </c>
      <c r="E454" s="48">
        <v>2011</v>
      </c>
      <c r="F454" s="207">
        <v>10504</v>
      </c>
      <c r="G454" s="50">
        <f t="shared" si="798"/>
        <v>0.3603106622569528</v>
      </c>
      <c r="H454" s="49"/>
      <c r="I454" s="49"/>
      <c r="J454" s="207">
        <v>304761.70382399997</v>
      </c>
      <c r="K454" s="50">
        <f>J454/$J$476</f>
        <v>0.25250113369290933</v>
      </c>
      <c r="L454" s="50"/>
      <c r="M454" s="207">
        <v>33154000</v>
      </c>
      <c r="N454" s="207">
        <v>1125823.2</v>
      </c>
      <c r="O454" s="49">
        <f t="shared" si="787"/>
        <v>821061.49617599999</v>
      </c>
      <c r="P454" s="50">
        <f t="shared" si="788"/>
        <v>0.72929878881160026</v>
      </c>
      <c r="Q454" s="50">
        <f t="shared" si="789"/>
        <v>0.27070121118839974</v>
      </c>
      <c r="R454" s="50">
        <f t="shared" si="790"/>
        <v>0</v>
      </c>
      <c r="S454" s="50">
        <f t="shared" si="791"/>
        <v>0.27070121118839974</v>
      </c>
      <c r="T454" s="50">
        <f t="shared" si="792"/>
        <v>-0.27070121118839974</v>
      </c>
      <c r="U454" s="298"/>
      <c r="V454" s="298"/>
      <c r="W454" s="298"/>
      <c r="X454" s="113"/>
      <c r="Y454" s="113"/>
      <c r="Z454" s="113"/>
      <c r="AA454" s="113"/>
      <c r="AB454" s="113"/>
      <c r="AC454" s="113"/>
      <c r="AD454" s="113"/>
      <c r="AE454" s="113"/>
      <c r="AF454" s="113"/>
      <c r="AG454" s="113"/>
      <c r="AH454" s="113"/>
      <c r="AI454" s="113"/>
      <c r="AJ454" s="113"/>
      <c r="AK454" s="113"/>
      <c r="AL454" s="113"/>
      <c r="AM454" s="113"/>
      <c r="AN454" s="113"/>
      <c r="AO454" s="113"/>
      <c r="AP454" s="113"/>
      <c r="AQ454" s="113"/>
      <c r="AR454" s="113"/>
      <c r="AS454" s="113"/>
      <c r="AT454" s="113"/>
      <c r="AU454" s="113"/>
      <c r="AV454" s="113"/>
      <c r="AW454" s="113"/>
      <c r="AX454" s="113"/>
      <c r="AY454" s="113"/>
      <c r="AZ454" s="113"/>
      <c r="BA454" s="113"/>
    </row>
    <row r="455" spans="1:53" x14ac:dyDescent="0.25">
      <c r="B455" s="47">
        <f t="shared" si="757"/>
        <v>1</v>
      </c>
      <c r="C455" s="47">
        <f t="shared" si="797"/>
        <v>20</v>
      </c>
      <c r="D455" s="47" t="str">
        <f t="shared" si="799"/>
        <v>WAPA</v>
      </c>
      <c r="E455" s="48">
        <v>2012</v>
      </c>
      <c r="F455" s="207">
        <v>10505</v>
      </c>
      <c r="G455" s="50">
        <f t="shared" si="798"/>
        <v>0.32110171499112189</v>
      </c>
      <c r="H455" s="49"/>
      <c r="I455" s="49"/>
      <c r="J455" s="207">
        <v>332445.466548</v>
      </c>
      <c r="K455" s="50">
        <f>J455/$J$477</f>
        <v>0.26700573733212446</v>
      </c>
      <c r="L455" s="50"/>
      <c r="M455" s="207">
        <v>29549000</v>
      </c>
      <c r="N455" s="207">
        <v>1046990.3999999999</v>
      </c>
      <c r="O455" s="49">
        <f t="shared" si="787"/>
        <v>714544.93345199991</v>
      </c>
      <c r="P455" s="50">
        <f t="shared" si="788"/>
        <v>0.68247515302146033</v>
      </c>
      <c r="Q455" s="50">
        <f t="shared" si="789"/>
        <v>0.31752484697853967</v>
      </c>
      <c r="R455" s="50">
        <f t="shared" si="790"/>
        <v>0</v>
      </c>
      <c r="S455" s="50">
        <f t="shared" si="791"/>
        <v>0.31752484697853967</v>
      </c>
      <c r="T455" s="50">
        <f t="shared" si="792"/>
        <v>-0.31752484697853967</v>
      </c>
      <c r="U455" s="298"/>
      <c r="V455" s="298"/>
      <c r="W455" s="298"/>
      <c r="X455" s="113"/>
      <c r="Y455" s="113"/>
      <c r="Z455" s="113"/>
      <c r="AA455" s="113"/>
      <c r="AB455" s="113"/>
      <c r="AC455" s="113"/>
      <c r="AD455" s="113"/>
      <c r="AE455" s="113"/>
      <c r="AF455" s="113"/>
      <c r="AG455" s="113"/>
      <c r="AH455" s="113"/>
      <c r="AI455" s="113"/>
      <c r="AJ455" s="113"/>
      <c r="AK455" s="113"/>
      <c r="AL455" s="113"/>
      <c r="AM455" s="113"/>
      <c r="AN455" s="113"/>
      <c r="AO455" s="113"/>
      <c r="AP455" s="113"/>
      <c r="AQ455" s="113"/>
      <c r="AR455" s="113"/>
      <c r="AS455" s="113"/>
      <c r="AT455" s="113"/>
      <c r="AU455" s="113"/>
      <c r="AV455" s="113"/>
      <c r="AW455" s="113"/>
      <c r="AX455" s="113"/>
      <c r="AY455" s="113"/>
      <c r="AZ455" s="113"/>
      <c r="BA455" s="113"/>
    </row>
    <row r="456" spans="1:53" x14ac:dyDescent="0.25">
      <c r="B456" s="47">
        <f t="shared" si="757"/>
        <v>1</v>
      </c>
      <c r="C456" s="47">
        <f t="shared" si="797"/>
        <v>20</v>
      </c>
      <c r="D456" s="47" t="str">
        <f t="shared" si="799"/>
        <v>WAPA</v>
      </c>
      <c r="E456" s="48">
        <v>2013</v>
      </c>
      <c r="F456" s="207">
        <v>10504</v>
      </c>
      <c r="G456" s="50">
        <f t="shared" si="798"/>
        <v>0.2724228560896132</v>
      </c>
      <c r="H456" s="47"/>
      <c r="I456" s="47"/>
      <c r="J456" s="207">
        <v>310529.26800000004</v>
      </c>
      <c r="K456" s="50">
        <f>J456/$J$478</f>
        <v>0.24979785486484615</v>
      </c>
      <c r="L456" s="47"/>
      <c r="M456" s="207">
        <v>25067000</v>
      </c>
      <c r="N456" s="207">
        <v>1054178.3999999999</v>
      </c>
      <c r="O456" s="49">
        <f t="shared" si="787"/>
        <v>743649.13199999987</v>
      </c>
      <c r="P456" s="50">
        <f t="shared" si="788"/>
        <v>0.70543006003537911</v>
      </c>
      <c r="Q456" s="50">
        <f t="shared" si="789"/>
        <v>0.29456993996462089</v>
      </c>
      <c r="R456" s="50">
        <f t="shared" si="790"/>
        <v>0</v>
      </c>
      <c r="S456" s="50">
        <f t="shared" si="791"/>
        <v>0.29456993996462089</v>
      </c>
      <c r="T456" s="50">
        <f t="shared" si="792"/>
        <v>-0.29456993996462089</v>
      </c>
      <c r="U456" s="298"/>
      <c r="V456" s="298"/>
      <c r="W456" s="298"/>
      <c r="X456" s="113"/>
      <c r="Y456" s="113"/>
      <c r="Z456" s="113"/>
      <c r="AA456" s="113"/>
      <c r="AB456" s="113"/>
      <c r="AC456" s="113"/>
      <c r="AD456" s="113"/>
      <c r="AE456" s="113"/>
      <c r="AF456" s="113"/>
      <c r="AG456" s="113"/>
      <c r="AH456" s="113"/>
      <c r="AI456" s="113"/>
      <c r="AJ456" s="113"/>
      <c r="AK456" s="113"/>
      <c r="AL456" s="113"/>
      <c r="AM456" s="113"/>
      <c r="AN456" s="113"/>
      <c r="AO456" s="113"/>
      <c r="AP456" s="113"/>
      <c r="AQ456" s="113"/>
      <c r="AR456" s="113"/>
      <c r="AS456" s="113"/>
      <c r="AT456" s="113"/>
      <c r="AU456" s="113"/>
      <c r="AV456" s="113"/>
      <c r="AW456" s="113"/>
      <c r="AX456" s="113"/>
      <c r="AY456" s="113"/>
      <c r="AZ456" s="113"/>
      <c r="BA456" s="113"/>
    </row>
    <row r="457" spans="1:53" x14ac:dyDescent="0.25">
      <c r="B457" s="47">
        <f t="shared" si="757"/>
        <v>1</v>
      </c>
      <c r="C457" s="47">
        <f t="shared" si="797"/>
        <v>20</v>
      </c>
      <c r="D457" s="47" t="str">
        <f>D454</f>
        <v>WAPA</v>
      </c>
      <c r="E457" s="48">
        <v>2014</v>
      </c>
      <c r="F457" s="207">
        <v>10504</v>
      </c>
      <c r="G457" s="50">
        <f t="shared" si="798"/>
        <v>0.26525011563327039</v>
      </c>
      <c r="H457" s="47"/>
      <c r="I457" s="47"/>
      <c r="J457" s="207">
        <v>278276.39999999997</v>
      </c>
      <c r="K457" s="50">
        <f>J457/$J$479</f>
        <v>0.22303451758483109</v>
      </c>
      <c r="L457" s="47"/>
      <c r="M457" s="207">
        <v>24407000</v>
      </c>
      <c r="N457" s="207">
        <v>1062034.8</v>
      </c>
      <c r="O457" s="49">
        <f t="shared" si="787"/>
        <v>783758.40000000014</v>
      </c>
      <c r="P457" s="50">
        <f t="shared" si="788"/>
        <v>0.73797807755452094</v>
      </c>
      <c r="Q457" s="50">
        <f t="shared" si="789"/>
        <v>0.26202192244547906</v>
      </c>
      <c r="R457" s="50">
        <f t="shared" si="790"/>
        <v>0</v>
      </c>
      <c r="S457" s="50">
        <f t="shared" si="791"/>
        <v>0.26202192244547906</v>
      </c>
      <c r="T457" s="50">
        <f t="shared" si="792"/>
        <v>-0.26202192244547906</v>
      </c>
      <c r="U457" s="298"/>
      <c r="V457" s="298"/>
      <c r="W457" s="298"/>
      <c r="X457" s="113"/>
      <c r="Y457" s="113"/>
      <c r="Z457" s="113"/>
      <c r="AA457" s="113"/>
      <c r="AB457" s="113"/>
      <c r="AC457" s="113"/>
      <c r="AD457" s="113"/>
      <c r="AE457" s="113"/>
      <c r="AF457" s="113"/>
      <c r="AG457" s="113"/>
      <c r="AH457" s="113"/>
      <c r="AI457" s="113"/>
      <c r="AJ457" s="113"/>
      <c r="AK457" s="113"/>
      <c r="AL457" s="113"/>
      <c r="AM457" s="113"/>
      <c r="AN457" s="113"/>
      <c r="AO457" s="113"/>
      <c r="AP457" s="113"/>
      <c r="AQ457" s="113"/>
      <c r="AR457" s="113"/>
      <c r="AS457" s="113"/>
      <c r="AT457" s="113"/>
      <c r="AU457" s="113"/>
      <c r="AV457" s="113"/>
      <c r="AW457" s="113"/>
      <c r="AX457" s="113"/>
      <c r="AY457" s="113"/>
      <c r="AZ457" s="113"/>
      <c r="BA457" s="113"/>
    </row>
    <row r="458" spans="1:53" x14ac:dyDescent="0.25">
      <c r="B458" s="47">
        <f t="shared" si="757"/>
        <v>1</v>
      </c>
      <c r="C458" s="47">
        <f t="shared" si="797"/>
        <v>20</v>
      </c>
      <c r="D458" s="47" t="str">
        <f>D455</f>
        <v>WAPA</v>
      </c>
      <c r="E458" s="48">
        <v>2015</v>
      </c>
      <c r="F458" s="207">
        <v>10503</v>
      </c>
      <c r="G458" s="50">
        <f t="shared" si="798"/>
        <v>0.26743826617052663</v>
      </c>
      <c r="H458" s="47"/>
      <c r="I458" s="47"/>
      <c r="J458" s="207">
        <v>302473.2</v>
      </c>
      <c r="K458" s="50">
        <f>J458/$J$480</f>
        <v>0.22950159354864785</v>
      </c>
      <c r="L458" s="47"/>
      <c r="M458" s="207">
        <v>24606000</v>
      </c>
      <c r="N458" s="207">
        <v>1074808.8</v>
      </c>
      <c r="O458" s="49">
        <f t="shared" si="787"/>
        <v>772335.60000000009</v>
      </c>
      <c r="P458" s="50">
        <f t="shared" si="788"/>
        <v>0.71857952781927359</v>
      </c>
      <c r="Q458" s="50">
        <f t="shared" si="789"/>
        <v>0.28142047218072641</v>
      </c>
      <c r="R458" s="50">
        <f t="shared" si="790"/>
        <v>0</v>
      </c>
      <c r="S458" s="50">
        <f t="shared" si="791"/>
        <v>0.28142047218072641</v>
      </c>
      <c r="T458" s="50">
        <f t="shared" si="792"/>
        <v>-0.28142047218072641</v>
      </c>
      <c r="U458" s="298"/>
      <c r="V458" s="298"/>
      <c r="W458" s="298"/>
      <c r="X458" s="113"/>
      <c r="Y458" s="113"/>
      <c r="Z458" s="113"/>
      <c r="AA458" s="113"/>
      <c r="AB458" s="113"/>
      <c r="AC458" s="113"/>
      <c r="AD458" s="113"/>
      <c r="AE458" s="113"/>
      <c r="AF458" s="113"/>
      <c r="AG458" s="113"/>
      <c r="AH458" s="113"/>
      <c r="AI458" s="113"/>
      <c r="AJ458" s="113"/>
      <c r="AK458" s="113"/>
      <c r="AL458" s="113"/>
      <c r="AM458" s="113"/>
      <c r="AN458" s="113"/>
      <c r="AO458" s="113"/>
      <c r="AP458" s="113"/>
      <c r="AQ458" s="113"/>
      <c r="AR458" s="113"/>
      <c r="AS458" s="113"/>
      <c r="AT458" s="113"/>
      <c r="AU458" s="113"/>
      <c r="AV458" s="113"/>
      <c r="AW458" s="113"/>
      <c r="AX458" s="113"/>
      <c r="AY458" s="113"/>
      <c r="AZ458" s="113"/>
      <c r="BA458" s="113"/>
    </row>
    <row r="459" spans="1:53" x14ac:dyDescent="0.25">
      <c r="B459" s="47">
        <f t="shared" si="757"/>
        <v>1</v>
      </c>
      <c r="C459" s="47">
        <f t="shared" si="797"/>
        <v>20</v>
      </c>
      <c r="D459" s="47" t="str">
        <f>D456</f>
        <v>WAPA</v>
      </c>
      <c r="E459" s="48">
        <v>2016</v>
      </c>
      <c r="F459" s="207">
        <v>10503</v>
      </c>
      <c r="G459" s="50">
        <f t="shared" si="798"/>
        <v>0.27293789076136976</v>
      </c>
      <c r="H459" s="47"/>
      <c r="I459" s="47"/>
      <c r="J459" s="207">
        <v>307828.8</v>
      </c>
      <c r="K459" s="50">
        <f>J459/$J$481</f>
        <v>0.23129608842454757</v>
      </c>
      <c r="L459" s="47"/>
      <c r="M459" s="207">
        <v>25112000</v>
      </c>
      <c r="N459" s="207">
        <v>970621.2</v>
      </c>
      <c r="O459" s="49">
        <f t="shared" si="787"/>
        <v>662792.39999999991</v>
      </c>
      <c r="P459" s="50">
        <f t="shared" si="788"/>
        <v>0.68285382598278288</v>
      </c>
      <c r="Q459" s="50">
        <f t="shared" si="789"/>
        <v>0.31714617401721712</v>
      </c>
      <c r="R459" s="50">
        <f t="shared" si="790"/>
        <v>0</v>
      </c>
      <c r="S459" s="50">
        <f t="shared" si="791"/>
        <v>0.31714617401721712</v>
      </c>
      <c r="T459" s="50">
        <f t="shared" si="792"/>
        <v>-0.31714617401721712</v>
      </c>
      <c r="U459" s="298"/>
      <c r="V459" s="298"/>
      <c r="W459" s="298"/>
      <c r="X459" s="113"/>
      <c r="Y459" s="113"/>
      <c r="Z459" s="113"/>
      <c r="AA459" s="113"/>
      <c r="AB459" s="113"/>
      <c r="AC459" s="113"/>
      <c r="AD459" s="113"/>
      <c r="AE459" s="113"/>
      <c r="AF459" s="113"/>
      <c r="AG459" s="113"/>
      <c r="AH459" s="113"/>
      <c r="AI459" s="113"/>
      <c r="AJ459" s="113"/>
      <c r="AK459" s="113"/>
      <c r="AL459" s="113"/>
      <c r="AM459" s="113"/>
      <c r="AN459" s="113"/>
      <c r="AO459" s="113"/>
      <c r="AP459" s="113"/>
      <c r="AQ459" s="113"/>
      <c r="AR459" s="113"/>
      <c r="AS459" s="113"/>
      <c r="AT459" s="113"/>
      <c r="AU459" s="113"/>
      <c r="AV459" s="113"/>
      <c r="AW459" s="113"/>
      <c r="AX459" s="113"/>
      <c r="AY459" s="113"/>
      <c r="AZ459" s="113"/>
      <c r="BA459" s="113"/>
    </row>
    <row r="460" spans="1:53" x14ac:dyDescent="0.25">
      <c r="B460" s="47">
        <f t="shared" si="757"/>
        <v>1</v>
      </c>
      <c r="C460" s="47">
        <f t="shared" si="797"/>
        <v>20</v>
      </c>
      <c r="D460" s="47" t="str">
        <f>D456</f>
        <v>WAPA</v>
      </c>
      <c r="E460" s="48">
        <v>2017</v>
      </c>
      <c r="F460" s="207">
        <v>10558</v>
      </c>
      <c r="G460" s="50">
        <f t="shared" si="798"/>
        <v>0.31143472758867952</v>
      </c>
      <c r="H460" s="47"/>
      <c r="I460" s="47"/>
      <c r="J460" s="207">
        <v>324025.2</v>
      </c>
      <c r="K460" s="50">
        <f>J460/$J$482</f>
        <v>0.248871832929763</v>
      </c>
      <c r="L460" s="47"/>
      <c r="M460" s="207">
        <v>28804000</v>
      </c>
      <c r="N460" s="207">
        <v>1019898</v>
      </c>
      <c r="O460" s="49">
        <f t="shared" si="787"/>
        <v>695872.8</v>
      </c>
      <c r="P460" s="50">
        <f t="shared" si="788"/>
        <v>0.6822964649406118</v>
      </c>
      <c r="Q460" s="50">
        <f t="shared" si="789"/>
        <v>0.3177035350593882</v>
      </c>
      <c r="R460" s="50">
        <f t="shared" si="790"/>
        <v>0</v>
      </c>
      <c r="S460" s="50">
        <f t="shared" si="791"/>
        <v>0.3177035350593882</v>
      </c>
      <c r="T460" s="50">
        <f t="shared" si="792"/>
        <v>-0.3177035350593882</v>
      </c>
      <c r="U460" s="298"/>
      <c r="V460" s="298"/>
      <c r="W460" s="298"/>
      <c r="X460" s="113"/>
      <c r="Y460" s="113"/>
      <c r="Z460" s="113"/>
      <c r="AA460" s="113"/>
      <c r="AB460" s="113"/>
      <c r="AC460" s="113"/>
      <c r="AD460" s="113"/>
      <c r="AE460" s="113"/>
      <c r="AF460" s="113"/>
      <c r="AG460" s="113"/>
      <c r="AH460" s="113"/>
      <c r="AI460" s="113"/>
      <c r="AJ460" s="113"/>
      <c r="AK460" s="113"/>
      <c r="AL460" s="113"/>
      <c r="AM460" s="113"/>
      <c r="AN460" s="113"/>
      <c r="AO460" s="113"/>
      <c r="AP460" s="113"/>
      <c r="AQ460" s="113"/>
      <c r="AR460" s="113"/>
      <c r="AS460" s="113"/>
      <c r="AT460" s="113"/>
      <c r="AU460" s="113"/>
      <c r="AV460" s="113"/>
      <c r="AW460" s="113"/>
      <c r="AX460" s="113"/>
      <c r="AY460" s="113"/>
      <c r="AZ460" s="113"/>
      <c r="BA460" s="113"/>
    </row>
    <row r="461" spans="1:53" x14ac:dyDescent="0.25">
      <c r="B461" s="47">
        <f t="shared" si="757"/>
        <v>1</v>
      </c>
      <c r="C461" s="47">
        <f t="shared" si="797"/>
        <v>20</v>
      </c>
      <c r="D461" s="47" t="str">
        <f t="shared" ref="D461:D465" si="800">D457</f>
        <v>WAPA</v>
      </c>
      <c r="E461" s="48">
        <v>2018</v>
      </c>
      <c r="F461" s="207">
        <v>10558</v>
      </c>
      <c r="G461" s="50">
        <f t="shared" si="798"/>
        <v>0.31995474443841843</v>
      </c>
      <c r="H461" s="47"/>
      <c r="I461" s="47"/>
      <c r="J461" s="207">
        <v>370675.20000000001</v>
      </c>
      <c r="K461" s="50">
        <f>J461/$J$483</f>
        <v>0.26418237115861704</v>
      </c>
      <c r="L461" s="47"/>
      <c r="M461" s="207">
        <v>29592000</v>
      </c>
      <c r="N461" s="207">
        <v>979558.79999999993</v>
      </c>
      <c r="O461" s="49">
        <f t="shared" si="787"/>
        <v>608883.59999999986</v>
      </c>
      <c r="P461" s="50">
        <f t="shared" si="788"/>
        <v>0.62158963811054513</v>
      </c>
      <c r="Q461" s="50">
        <f t="shared" si="789"/>
        <v>0.37841036188945487</v>
      </c>
      <c r="R461" s="50">
        <f t="shared" si="790"/>
        <v>0</v>
      </c>
      <c r="S461" s="50">
        <f t="shared" si="791"/>
        <v>0.37841036188945487</v>
      </c>
      <c r="T461" s="50">
        <f t="shared" si="792"/>
        <v>-0.37841036188945487</v>
      </c>
      <c r="U461" s="298"/>
      <c r="V461" s="298"/>
      <c r="W461" s="298"/>
      <c r="X461" s="113"/>
      <c r="Y461" s="113"/>
      <c r="Z461" s="113"/>
      <c r="AA461" s="113"/>
      <c r="AB461" s="113"/>
      <c r="AC461" s="113"/>
      <c r="AD461" s="113"/>
      <c r="AE461" s="113"/>
      <c r="AF461" s="113"/>
      <c r="AG461" s="113"/>
      <c r="AH461" s="113"/>
      <c r="AI461" s="113"/>
      <c r="AJ461" s="113"/>
      <c r="AK461" s="113"/>
      <c r="AL461" s="113"/>
      <c r="AM461" s="113"/>
      <c r="AN461" s="113"/>
      <c r="AO461" s="113"/>
      <c r="AP461" s="113"/>
      <c r="AQ461" s="113"/>
      <c r="AR461" s="113"/>
      <c r="AS461" s="113"/>
      <c r="AT461" s="113"/>
      <c r="AU461" s="113"/>
      <c r="AV461" s="113"/>
      <c r="AW461" s="113"/>
      <c r="AX461" s="113"/>
      <c r="AY461" s="113"/>
      <c r="AZ461" s="113"/>
      <c r="BA461" s="113"/>
    </row>
    <row r="462" spans="1:53" x14ac:dyDescent="0.25">
      <c r="A462" s="113"/>
      <c r="B462" s="47">
        <f t="shared" si="757"/>
        <v>1</v>
      </c>
      <c r="C462" s="47">
        <f t="shared" si="797"/>
        <v>20</v>
      </c>
      <c r="D462" s="47" t="str">
        <f t="shared" si="800"/>
        <v>WAPA</v>
      </c>
      <c r="E462" s="48">
        <v>2019</v>
      </c>
      <c r="F462" s="207">
        <v>10570</v>
      </c>
      <c r="G462" s="50">
        <f t="shared" si="798"/>
        <v>0.33106102823965478</v>
      </c>
      <c r="H462" s="47"/>
      <c r="I462" s="47"/>
      <c r="J462" s="207">
        <v>338756.39999999997</v>
      </c>
      <c r="K462" s="50">
        <f>J462/$J$484</f>
        <v>0.2460138619551388</v>
      </c>
      <c r="L462" s="47"/>
      <c r="M462" s="207">
        <v>30654000</v>
      </c>
      <c r="N462" s="207">
        <v>1026090</v>
      </c>
      <c r="O462" s="49">
        <f t="shared" ref="O462:O466" si="801">N462-J462</f>
        <v>687333.60000000009</v>
      </c>
      <c r="P462" s="50">
        <f t="shared" ref="P462:P466" si="802">O462/N462</f>
        <v>0.66985703008508035</v>
      </c>
      <c r="Q462" s="50">
        <f t="shared" ref="Q462:Q466" si="803">1-P462</f>
        <v>0.33014296991491965</v>
      </c>
      <c r="R462" s="50">
        <f t="shared" ref="R462:R466" si="804">Q462*L462</f>
        <v>0</v>
      </c>
      <c r="S462" s="50">
        <f t="shared" ref="S462:S466" si="805">Q462-R462</f>
        <v>0.33014296991491965</v>
      </c>
      <c r="T462" s="50">
        <f t="shared" ref="T462:T465" si="806">R462-S462</f>
        <v>-0.33014296991491965</v>
      </c>
      <c r="U462" s="298"/>
      <c r="V462" s="298"/>
      <c r="W462" s="298"/>
      <c r="X462" s="113"/>
      <c r="Y462" s="113"/>
      <c r="Z462" s="113"/>
      <c r="AA462" s="113"/>
      <c r="AB462" s="113"/>
      <c r="AC462" s="113"/>
      <c r="AD462" s="113"/>
      <c r="AE462" s="113"/>
      <c r="AF462" s="113"/>
      <c r="AG462" s="113"/>
      <c r="AH462" s="113"/>
      <c r="AI462" s="113"/>
      <c r="AJ462" s="113"/>
      <c r="AK462" s="113"/>
      <c r="AL462" s="113"/>
      <c r="AM462" s="113"/>
      <c r="AN462" s="113"/>
      <c r="AO462" s="113"/>
      <c r="AP462" s="113"/>
      <c r="AQ462" s="113"/>
      <c r="AR462" s="113"/>
      <c r="AS462" s="113"/>
      <c r="AT462" s="113"/>
      <c r="AU462" s="113"/>
      <c r="AV462" s="113"/>
      <c r="AW462" s="113"/>
      <c r="AX462" s="113"/>
      <c r="AY462" s="113"/>
      <c r="AZ462" s="113"/>
      <c r="BA462" s="113"/>
    </row>
    <row r="463" spans="1:53" x14ac:dyDescent="0.25">
      <c r="A463" s="113"/>
      <c r="B463" s="47">
        <f t="shared" si="757"/>
        <v>1</v>
      </c>
      <c r="C463" s="47">
        <f t="shared" si="797"/>
        <v>20</v>
      </c>
      <c r="D463" s="47" t="str">
        <f t="shared" si="800"/>
        <v>WAPA</v>
      </c>
      <c r="E463" s="48">
        <v>2020</v>
      </c>
      <c r="F463" s="207">
        <v>10576</v>
      </c>
      <c r="G463" s="50">
        <f t="shared" si="798"/>
        <v>0.31321454969984597</v>
      </c>
      <c r="H463" s="47"/>
      <c r="I463" s="47"/>
      <c r="J463" s="207">
        <v>324028.79999999999</v>
      </c>
      <c r="K463" s="50">
        <f>J463/$J$485</f>
        <v>0.23396190464912223</v>
      </c>
      <c r="L463" s="47"/>
      <c r="M463" s="207">
        <v>29018000</v>
      </c>
      <c r="N463" s="207">
        <v>934006.79999999993</v>
      </c>
      <c r="O463" s="49">
        <f t="shared" si="801"/>
        <v>609978</v>
      </c>
      <c r="P463" s="50">
        <f t="shared" si="802"/>
        <v>0.65307661571628817</v>
      </c>
      <c r="Q463" s="50">
        <f t="shared" si="803"/>
        <v>0.34692338428371183</v>
      </c>
      <c r="R463" s="50">
        <f t="shared" si="804"/>
        <v>0</v>
      </c>
      <c r="S463" s="50">
        <f t="shared" si="805"/>
        <v>0.34692338428371183</v>
      </c>
      <c r="T463" s="50">
        <f t="shared" si="806"/>
        <v>-0.34692338428371183</v>
      </c>
      <c r="U463" s="298"/>
      <c r="V463" s="298"/>
      <c r="W463" s="298"/>
      <c r="X463" s="113"/>
      <c r="Y463" s="113"/>
      <c r="Z463" s="113"/>
      <c r="AA463" s="113"/>
      <c r="AB463" s="113"/>
      <c r="AC463" s="113"/>
      <c r="AD463" s="113"/>
      <c r="AE463" s="113"/>
      <c r="AF463" s="113"/>
      <c r="AG463" s="113"/>
      <c r="AH463" s="113"/>
      <c r="AI463" s="113"/>
      <c r="AJ463" s="113"/>
      <c r="AK463" s="113"/>
      <c r="AL463" s="113"/>
      <c r="AM463" s="113"/>
      <c r="AN463" s="113"/>
      <c r="AO463" s="113"/>
      <c r="AP463" s="113"/>
      <c r="AQ463" s="113"/>
      <c r="AR463" s="113"/>
      <c r="AS463" s="113"/>
      <c r="AT463" s="113"/>
      <c r="AU463" s="113"/>
      <c r="AV463" s="113"/>
      <c r="AW463" s="113"/>
      <c r="AX463" s="113"/>
      <c r="AY463" s="113"/>
      <c r="AZ463" s="113"/>
      <c r="BA463" s="113"/>
    </row>
    <row r="464" spans="1:53" x14ac:dyDescent="0.25">
      <c r="A464" s="113"/>
      <c r="B464" s="47">
        <f t="shared" si="757"/>
        <v>1</v>
      </c>
      <c r="C464" s="47">
        <f t="shared" si="797"/>
        <v>20</v>
      </c>
      <c r="D464" s="47" t="str">
        <f t="shared" si="800"/>
        <v>WAPA</v>
      </c>
      <c r="E464" s="48">
        <v>2021</v>
      </c>
      <c r="F464" s="207">
        <v>10576</v>
      </c>
      <c r="G464" s="50">
        <f t="shared" si="798"/>
        <v>0.25353561781996281</v>
      </c>
      <c r="H464" s="47"/>
      <c r="I464" s="47"/>
      <c r="J464" s="207">
        <v>324544.8</v>
      </c>
      <c r="K464" s="50">
        <f>J464/$J$486</f>
        <v>0.22398087188988133</v>
      </c>
      <c r="L464" s="47"/>
      <c r="M464" s="207">
        <v>23489000</v>
      </c>
      <c r="N464" s="207">
        <v>949015.2</v>
      </c>
      <c r="O464" s="49">
        <f t="shared" si="801"/>
        <v>624470.39999999991</v>
      </c>
      <c r="P464" s="50">
        <f t="shared" si="802"/>
        <v>0.6580193868338462</v>
      </c>
      <c r="Q464" s="50">
        <f t="shared" si="803"/>
        <v>0.3419806131661538</v>
      </c>
      <c r="R464" s="50">
        <f t="shared" si="804"/>
        <v>0</v>
      </c>
      <c r="S464" s="50">
        <f t="shared" si="805"/>
        <v>0.3419806131661538</v>
      </c>
      <c r="T464" s="50">
        <f t="shared" si="806"/>
        <v>-0.3419806131661538</v>
      </c>
      <c r="U464" s="298"/>
      <c r="V464" s="298"/>
      <c r="W464" s="298"/>
      <c r="X464" s="113"/>
      <c r="Y464" s="113"/>
      <c r="Z464" s="113"/>
      <c r="AA464" s="113"/>
      <c r="AB464" s="113"/>
      <c r="AC464" s="113"/>
      <c r="AD464" s="113"/>
      <c r="AE464" s="113"/>
      <c r="AF464" s="113"/>
      <c r="AG464" s="113"/>
      <c r="AH464" s="113"/>
      <c r="AI464" s="113"/>
      <c r="AJ464" s="113"/>
      <c r="AK464" s="113"/>
      <c r="AL464" s="113"/>
      <c r="AM464" s="113"/>
      <c r="AN464" s="113"/>
      <c r="AO464" s="113"/>
      <c r="AP464" s="113"/>
      <c r="AQ464" s="113"/>
      <c r="AR464" s="113"/>
      <c r="AS464" s="113"/>
      <c r="AT464" s="113"/>
      <c r="AU464" s="113"/>
      <c r="AV464" s="113"/>
      <c r="AW464" s="113"/>
      <c r="AX464" s="113"/>
      <c r="AY464" s="113"/>
      <c r="AZ464" s="113"/>
      <c r="BA464" s="113"/>
    </row>
    <row r="465" spans="1:53" x14ac:dyDescent="0.25">
      <c r="A465" s="113"/>
      <c r="B465" s="47">
        <f t="shared" si="757"/>
        <v>1</v>
      </c>
      <c r="C465" s="47">
        <f t="shared" si="797"/>
        <v>20</v>
      </c>
      <c r="D465" s="47" t="str">
        <f t="shared" si="800"/>
        <v>WAPA</v>
      </c>
      <c r="E465" s="48">
        <v>2022</v>
      </c>
      <c r="F465" s="207">
        <v>10035</v>
      </c>
      <c r="G465" s="50">
        <f t="shared" si="798"/>
        <v>0.22645626153212614</v>
      </c>
      <c r="H465" s="47"/>
      <c r="I465" s="47"/>
      <c r="J465" s="207">
        <v>328944</v>
      </c>
      <c r="K465" s="50">
        <f>J465/$J$487</f>
        <v>0.22374938323877783</v>
      </c>
      <c r="L465" s="47"/>
      <c r="M465" s="207">
        <v>19907000</v>
      </c>
      <c r="N465" s="207">
        <v>961753.2</v>
      </c>
      <c r="O465" s="49">
        <f t="shared" si="801"/>
        <v>632809.19999999995</v>
      </c>
      <c r="P465" s="50">
        <f t="shared" si="802"/>
        <v>0.65797462384320637</v>
      </c>
      <c r="Q465" s="50">
        <f t="shared" si="803"/>
        <v>0.34202537615679363</v>
      </c>
      <c r="R465" s="50">
        <f t="shared" si="804"/>
        <v>0</v>
      </c>
      <c r="S465" s="50">
        <f t="shared" si="805"/>
        <v>0.34202537615679363</v>
      </c>
      <c r="T465" s="50">
        <f t="shared" si="806"/>
        <v>-0.34202537615679363</v>
      </c>
      <c r="U465" s="298"/>
      <c r="V465" s="298"/>
      <c r="W465" s="298"/>
      <c r="X465" s="113"/>
      <c r="Y465" s="113"/>
      <c r="Z465" s="113"/>
      <c r="AA465" s="113"/>
      <c r="AB465" s="113"/>
      <c r="AC465" s="113"/>
      <c r="AD465" s="113"/>
      <c r="AE465" s="113"/>
      <c r="AF465" s="113"/>
      <c r="AG465" s="113"/>
      <c r="AH465" s="113"/>
      <c r="AI465" s="113"/>
      <c r="AJ465" s="113"/>
      <c r="AK465" s="113"/>
      <c r="AL465" s="113"/>
      <c r="AM465" s="113"/>
      <c r="AN465" s="113"/>
      <c r="AO465" s="113"/>
      <c r="AP465" s="113"/>
      <c r="AQ465" s="113"/>
      <c r="AR465" s="113"/>
      <c r="AS465" s="113"/>
      <c r="AT465" s="113"/>
      <c r="AU465" s="113"/>
      <c r="AV465" s="113"/>
      <c r="AW465" s="113"/>
      <c r="AX465" s="113"/>
      <c r="AY465" s="113"/>
      <c r="AZ465" s="113"/>
      <c r="BA465" s="113"/>
    </row>
    <row r="466" spans="1:53" x14ac:dyDescent="0.25">
      <c r="A466" s="113"/>
      <c r="B466" s="47">
        <f>B465</f>
        <v>1</v>
      </c>
      <c r="C466" s="47">
        <f t="shared" si="797"/>
        <v>20</v>
      </c>
      <c r="D466" s="47" t="str">
        <f>D457</f>
        <v>WAPA</v>
      </c>
      <c r="E466" s="48">
        <v>2023</v>
      </c>
      <c r="F466" s="207">
        <v>10035</v>
      </c>
      <c r="G466" s="50">
        <f t="shared" si="798"/>
        <v>0.25631750061997621</v>
      </c>
      <c r="H466" s="47"/>
      <c r="I466" s="47"/>
      <c r="J466" s="207">
        <v>377990.39999999997</v>
      </c>
      <c r="K466" s="50">
        <f>J466/$J$488</f>
        <v>0.236639590752905</v>
      </c>
      <c r="L466" s="47"/>
      <c r="M466" s="207">
        <v>22532000</v>
      </c>
      <c r="N466" s="207">
        <v>1141670.3999999999</v>
      </c>
      <c r="O466" s="49">
        <f t="shared" si="801"/>
        <v>763680</v>
      </c>
      <c r="P466" s="50">
        <f t="shared" si="802"/>
        <v>0.66891460092159705</v>
      </c>
      <c r="Q466" s="50">
        <f t="shared" si="803"/>
        <v>0.33108539907840295</v>
      </c>
      <c r="R466" s="50">
        <f t="shared" si="804"/>
        <v>0</v>
      </c>
      <c r="S466" s="50">
        <f t="shared" si="805"/>
        <v>0.33108539907840295</v>
      </c>
      <c r="T466" s="50">
        <f>R466-S466</f>
        <v>-0.33108539907840295</v>
      </c>
      <c r="U466" s="298"/>
      <c r="V466" s="298"/>
      <c r="W466" s="298"/>
      <c r="X466" s="113"/>
      <c r="Y466" s="113"/>
      <c r="Z466" s="113"/>
      <c r="AA466" s="113"/>
      <c r="AB466" s="113"/>
      <c r="AC466" s="113"/>
      <c r="AD466" s="113"/>
      <c r="AE466" s="113"/>
      <c r="AF466" s="113"/>
      <c r="AG466" s="113"/>
      <c r="AH466" s="113"/>
      <c r="AI466" s="113"/>
      <c r="AJ466" s="113"/>
      <c r="AK466" s="113"/>
      <c r="AL466" s="113"/>
      <c r="AM466" s="113"/>
      <c r="AN466" s="113"/>
      <c r="AO466" s="113"/>
      <c r="AP466" s="113"/>
      <c r="AQ466" s="113"/>
      <c r="AR466" s="113"/>
      <c r="AS466" s="113"/>
      <c r="AT466" s="113"/>
      <c r="AU466" s="113"/>
      <c r="AV466" s="113"/>
      <c r="AW466" s="113"/>
      <c r="AX466" s="113"/>
      <c r="AY466" s="113"/>
      <c r="AZ466" s="113"/>
      <c r="BA466" s="113"/>
    </row>
    <row r="467" spans="1:53" s="111" customFormat="1" x14ac:dyDescent="0.25">
      <c r="A467" s="113"/>
      <c r="B467" s="44">
        <f>B444</f>
        <v>1</v>
      </c>
      <c r="C467" s="44">
        <f>IF(D467=D466,C466,C466+1)</f>
        <v>21</v>
      </c>
      <c r="D467" s="44" t="str">
        <f>'OPG hydro peers'!D25</f>
        <v>Peer Industry</v>
      </c>
      <c r="E467" s="45">
        <v>2002</v>
      </c>
      <c r="F467" s="46">
        <f>SUMIF($E$5:$E$466,E467,$F$5:$F$466)</f>
        <v>43368.599999999991</v>
      </c>
      <c r="G467" s="51">
        <f>M467/(F467*8760)</f>
        <v>0.33479619861587046</v>
      </c>
      <c r="H467" s="46"/>
      <c r="I467" s="46"/>
      <c r="J467" s="46">
        <f>SUMIF($E$5:$E$466,$E467,J$5:J$466)</f>
        <v>767355.93699999945</v>
      </c>
      <c r="K467" s="51">
        <f>SUMIF($E$5:$E$466,$E467,K$5:K$466)</f>
        <v>1</v>
      </c>
      <c r="L467" s="51"/>
      <c r="M467" s="46">
        <f>SUMIF($E$5:$E$466,$E467,M$5:M$466)</f>
        <v>127192067.59299999</v>
      </c>
      <c r="N467" s="46">
        <f>SUMIF($E$5:$E$466,$E467,N$5:N$466)</f>
        <v>4435116.3245463204</v>
      </c>
      <c r="O467" s="46">
        <f>N467-J467</f>
        <v>3667760.3875463209</v>
      </c>
      <c r="P467" s="51">
        <f>O467/N467</f>
        <v>0.82698177886495583</v>
      </c>
      <c r="Q467" s="51">
        <f>1-P467</f>
        <v>0.17301822113504417</v>
      </c>
      <c r="R467" s="51">
        <f>Q467*L467</f>
        <v>0</v>
      </c>
      <c r="S467" s="51">
        <f>Q467-R467</f>
        <v>0.17301822113504417</v>
      </c>
      <c r="T467" s="51">
        <f>R467-S467</f>
        <v>-0.17301822113504417</v>
      </c>
      <c r="U467" s="298"/>
      <c r="V467" s="113"/>
      <c r="W467" s="113"/>
      <c r="X467" s="113"/>
      <c r="Y467" s="113"/>
      <c r="Z467" s="113"/>
      <c r="AA467" s="113"/>
      <c r="AB467" s="113"/>
      <c r="AC467" s="113"/>
      <c r="AD467" s="113"/>
      <c r="AE467" s="113"/>
      <c r="AF467" s="113"/>
      <c r="AG467" s="113"/>
      <c r="AH467" s="113"/>
      <c r="AI467" s="113"/>
      <c r="AJ467" s="113"/>
      <c r="AK467" s="113"/>
      <c r="AL467" s="113"/>
      <c r="AM467" s="113"/>
      <c r="AN467" s="113"/>
      <c r="AO467" s="113"/>
      <c r="AP467" s="113"/>
      <c r="AQ467" s="113"/>
      <c r="AR467" s="113"/>
      <c r="AS467" s="113"/>
      <c r="AT467" s="113"/>
      <c r="AU467" s="113"/>
      <c r="AV467" s="113"/>
      <c r="AW467" s="113"/>
      <c r="AX467" s="113"/>
      <c r="AY467" s="113"/>
      <c r="AZ467" s="113"/>
      <c r="BA467" s="113"/>
    </row>
    <row r="468" spans="1:53" s="111" customFormat="1" x14ac:dyDescent="0.25">
      <c r="A468" s="113"/>
      <c r="B468" s="44">
        <f t="shared" si="757"/>
        <v>1</v>
      </c>
      <c r="C468" s="44">
        <f t="shared" ref="C468:C510" si="807">IF(D468=D467,C467,C467+1)</f>
        <v>21</v>
      </c>
      <c r="D468" s="44" t="str">
        <f t="shared" ref="D468:D478" si="808">D467</f>
        <v>Peer Industry</v>
      </c>
      <c r="E468" s="45">
        <v>2003</v>
      </c>
      <c r="F468" s="46">
        <f t="shared" ref="F468:F488" si="809">SUMIF($E$5:$E$466,E468,$F$5:$F$466)</f>
        <v>44056.099999999991</v>
      </c>
      <c r="G468" s="51">
        <f t="shared" ref="G468:G488" si="810">M468/(F468*8760)</f>
        <v>0.35370268881387529</v>
      </c>
      <c r="H468" s="46"/>
      <c r="I468" s="46"/>
      <c r="J468" s="46">
        <f t="shared" ref="J468:K488" si="811">SUMIF($E$5:$E$466,$E468,J$5:J$466)</f>
        <v>848091.07112199976</v>
      </c>
      <c r="K468" s="51">
        <f t="shared" si="811"/>
        <v>1</v>
      </c>
      <c r="L468" s="51"/>
      <c r="M468" s="46">
        <f t="shared" ref="M468:N488" si="812">SUMIF($E$5:$E$466,$E468,M$5:M$466)</f>
        <v>136504986.611</v>
      </c>
      <c r="N468" s="46">
        <f t="shared" si="812"/>
        <v>5476601.9523873869</v>
      </c>
      <c r="O468" s="46">
        <f t="shared" ref="O468:O488" si="813">N468-J468</f>
        <v>4628510.8812653869</v>
      </c>
      <c r="P468" s="51">
        <f t="shared" ref="P468:P488" si="814">O468/N468</f>
        <v>0.84514283154131808</v>
      </c>
      <c r="Q468" s="51">
        <f t="shared" ref="Q468:Q488" si="815">1-P468</f>
        <v>0.15485716845868192</v>
      </c>
      <c r="R468" s="51">
        <f t="shared" ref="R468:R488" si="816">Q468*L468</f>
        <v>0</v>
      </c>
      <c r="S468" s="51">
        <f t="shared" ref="S468:S488" si="817">Q468-R468</f>
        <v>0.15485716845868192</v>
      </c>
      <c r="T468" s="51">
        <f t="shared" ref="T468:T488" si="818">R468-S468</f>
        <v>-0.15485716845868192</v>
      </c>
      <c r="U468" s="298"/>
      <c r="V468" s="113"/>
      <c r="W468" s="113"/>
      <c r="X468" s="113"/>
      <c r="Y468" s="113"/>
      <c r="Z468" s="113"/>
      <c r="AA468" s="113"/>
      <c r="AB468" s="113"/>
      <c r="AC468" s="113"/>
      <c r="AD468" s="113"/>
      <c r="AE468" s="113"/>
      <c r="AF468" s="113"/>
      <c r="AG468" s="113"/>
      <c r="AH468" s="113"/>
      <c r="AI468" s="113"/>
      <c r="AJ468" s="113"/>
      <c r="AK468" s="113"/>
      <c r="AL468" s="113"/>
      <c r="AM468" s="113"/>
      <c r="AN468" s="113"/>
      <c r="AO468" s="113"/>
      <c r="AP468" s="113"/>
      <c r="AQ468" s="113"/>
      <c r="AR468" s="113"/>
      <c r="AS468" s="113"/>
      <c r="AT468" s="113"/>
      <c r="AU468" s="113"/>
      <c r="AV468" s="113"/>
      <c r="AW468" s="113"/>
      <c r="AX468" s="113"/>
      <c r="AY468" s="113"/>
      <c r="AZ468" s="113"/>
      <c r="BA468" s="113"/>
    </row>
    <row r="469" spans="1:53" s="111" customFormat="1" x14ac:dyDescent="0.25">
      <c r="A469" s="113"/>
      <c r="B469" s="44">
        <f t="shared" si="757"/>
        <v>1</v>
      </c>
      <c r="C469" s="44">
        <f t="shared" si="807"/>
        <v>21</v>
      </c>
      <c r="D469" s="44" t="str">
        <f t="shared" si="808"/>
        <v>Peer Industry</v>
      </c>
      <c r="E469" s="45">
        <v>2004</v>
      </c>
      <c r="F469" s="46">
        <f t="shared" si="809"/>
        <v>44102.719999999994</v>
      </c>
      <c r="G469" s="51">
        <f t="shared" si="810"/>
        <v>0.3417703524173446</v>
      </c>
      <c r="H469" s="46"/>
      <c r="I469" s="46"/>
      <c r="J469" s="46">
        <f t="shared" si="811"/>
        <v>883617.04389399977</v>
      </c>
      <c r="K469" s="51">
        <f t="shared" si="811"/>
        <v>0.99999999999999989</v>
      </c>
      <c r="L469" s="51"/>
      <c r="M469" s="46">
        <f t="shared" si="812"/>
        <v>132039498.895</v>
      </c>
      <c r="N469" s="46">
        <f t="shared" si="812"/>
        <v>5404350.6762194522</v>
      </c>
      <c r="O469" s="46">
        <f t="shared" si="813"/>
        <v>4520733.6323254528</v>
      </c>
      <c r="P469" s="51">
        <f t="shared" si="814"/>
        <v>0.83649894375245781</v>
      </c>
      <c r="Q469" s="51">
        <f t="shared" si="815"/>
        <v>0.16350105624754219</v>
      </c>
      <c r="R469" s="51">
        <f t="shared" si="816"/>
        <v>0</v>
      </c>
      <c r="S469" s="51">
        <f t="shared" si="817"/>
        <v>0.16350105624754219</v>
      </c>
      <c r="T469" s="51">
        <f t="shared" si="818"/>
        <v>-0.16350105624754219</v>
      </c>
      <c r="U469" s="298"/>
      <c r="V469" s="113"/>
      <c r="W469" s="113"/>
      <c r="X469" s="113"/>
      <c r="Y469" s="113"/>
      <c r="Z469" s="113"/>
      <c r="AA469" s="113"/>
      <c r="AB469" s="113"/>
      <c r="AC469" s="113"/>
      <c r="AD469" s="113"/>
      <c r="AE469" s="113"/>
      <c r="AF469" s="113"/>
      <c r="AG469" s="113"/>
      <c r="AH469" s="113"/>
      <c r="AI469" s="113"/>
      <c r="AJ469" s="113"/>
      <c r="AK469" s="113"/>
      <c r="AL469" s="113"/>
      <c r="AM469" s="113"/>
      <c r="AN469" s="113"/>
      <c r="AO469" s="113"/>
      <c r="AP469" s="113"/>
      <c r="AQ469" s="113"/>
      <c r="AR469" s="113"/>
      <c r="AS469" s="113"/>
      <c r="AT469" s="113"/>
      <c r="AU469" s="113"/>
      <c r="AV469" s="113"/>
      <c r="AW469" s="113"/>
      <c r="AX469" s="113"/>
      <c r="AY469" s="113"/>
      <c r="AZ469" s="113"/>
      <c r="BA469" s="113"/>
    </row>
    <row r="470" spans="1:53" s="111" customFormat="1" x14ac:dyDescent="0.25">
      <c r="A470" s="113"/>
      <c r="B470" s="44">
        <f t="shared" si="757"/>
        <v>1</v>
      </c>
      <c r="C470" s="44">
        <f t="shared" si="807"/>
        <v>21</v>
      </c>
      <c r="D470" s="44" t="str">
        <f t="shared" si="808"/>
        <v>Peer Industry</v>
      </c>
      <c r="E470" s="45">
        <v>2005</v>
      </c>
      <c r="F470" s="46">
        <f t="shared" si="809"/>
        <v>44081.119999999995</v>
      </c>
      <c r="G470" s="51">
        <f t="shared" si="810"/>
        <v>0.33938386862509257</v>
      </c>
      <c r="H470" s="46"/>
      <c r="I470" s="46"/>
      <c r="J470" s="46">
        <f t="shared" si="811"/>
        <v>929010.11249199975</v>
      </c>
      <c r="K470" s="51">
        <f t="shared" si="811"/>
        <v>1</v>
      </c>
      <c r="L470" s="51"/>
      <c r="M470" s="46">
        <f t="shared" si="812"/>
        <v>131053288.301</v>
      </c>
      <c r="N470" s="46">
        <f t="shared" si="812"/>
        <v>6378226.4142814893</v>
      </c>
      <c r="O470" s="46">
        <f t="shared" si="813"/>
        <v>5449216.3017894896</v>
      </c>
      <c r="P470" s="51">
        <f t="shared" si="814"/>
        <v>0.85434663930840515</v>
      </c>
      <c r="Q470" s="51">
        <f t="shared" si="815"/>
        <v>0.14565336069159485</v>
      </c>
      <c r="R470" s="51">
        <f t="shared" si="816"/>
        <v>0</v>
      </c>
      <c r="S470" s="51">
        <f t="shared" si="817"/>
        <v>0.14565336069159485</v>
      </c>
      <c r="T470" s="51">
        <f t="shared" si="818"/>
        <v>-0.14565336069159485</v>
      </c>
      <c r="U470" s="298"/>
      <c r="V470" s="113"/>
      <c r="W470" s="113"/>
      <c r="X470" s="113"/>
      <c r="Y470" s="113"/>
      <c r="Z470" s="113"/>
      <c r="AA470" s="113"/>
      <c r="AB470" s="113"/>
      <c r="AC470" s="113"/>
      <c r="AD470" s="113"/>
      <c r="AE470" s="113"/>
      <c r="AF470" s="113"/>
      <c r="AG470" s="113"/>
      <c r="AH470" s="113"/>
      <c r="AI470" s="113"/>
      <c r="AJ470" s="113"/>
      <c r="AK470" s="113"/>
      <c r="AL470" s="113"/>
      <c r="AM470" s="113"/>
      <c r="AN470" s="113"/>
      <c r="AO470" s="113"/>
      <c r="AP470" s="113"/>
      <c r="AQ470" s="113"/>
      <c r="AR470" s="113"/>
      <c r="AS470" s="113"/>
      <c r="AT470" s="113"/>
      <c r="AU470" s="113"/>
      <c r="AV470" s="113"/>
      <c r="AW470" s="113"/>
      <c r="AX470" s="113"/>
      <c r="AY470" s="113"/>
      <c r="AZ470" s="113"/>
      <c r="BA470" s="113"/>
    </row>
    <row r="471" spans="1:53" s="111" customFormat="1" x14ac:dyDescent="0.25">
      <c r="A471" s="113"/>
      <c r="B471" s="44">
        <f t="shared" si="757"/>
        <v>1</v>
      </c>
      <c r="C471" s="44">
        <f t="shared" si="807"/>
        <v>21</v>
      </c>
      <c r="D471" s="44" t="str">
        <f t="shared" si="808"/>
        <v>Peer Industry</v>
      </c>
      <c r="E471" s="45">
        <v>2006</v>
      </c>
      <c r="F471" s="46">
        <f t="shared" si="809"/>
        <v>44145.499999999993</v>
      </c>
      <c r="G471" s="51">
        <f t="shared" si="810"/>
        <v>0.35934625589239488</v>
      </c>
      <c r="H471" s="46"/>
      <c r="I471" s="46"/>
      <c r="J471" s="46">
        <f t="shared" si="811"/>
        <v>984375.49452800036</v>
      </c>
      <c r="K471" s="51">
        <f t="shared" si="811"/>
        <v>1.0000000000000002</v>
      </c>
      <c r="L471" s="51"/>
      <c r="M471" s="46">
        <f t="shared" si="812"/>
        <v>138964436.42199999</v>
      </c>
      <c r="N471" s="46">
        <f t="shared" si="812"/>
        <v>5715307.0830493104</v>
      </c>
      <c r="O471" s="46">
        <f t="shared" si="813"/>
        <v>4730931.5885213101</v>
      </c>
      <c r="P471" s="51">
        <f t="shared" si="814"/>
        <v>0.82776507364801077</v>
      </c>
      <c r="Q471" s="51">
        <f t="shared" si="815"/>
        <v>0.17223492635198923</v>
      </c>
      <c r="R471" s="51">
        <f t="shared" si="816"/>
        <v>0</v>
      </c>
      <c r="S471" s="51">
        <f t="shared" si="817"/>
        <v>0.17223492635198923</v>
      </c>
      <c r="T471" s="51">
        <f t="shared" si="818"/>
        <v>-0.17223492635198923</v>
      </c>
      <c r="U471" s="298"/>
      <c r="V471" s="113"/>
      <c r="W471" s="113"/>
      <c r="X471" s="113"/>
      <c r="Y471" s="113"/>
      <c r="Z471" s="113"/>
      <c r="AA471" s="113"/>
      <c r="AB471" s="113"/>
      <c r="AC471" s="113"/>
      <c r="AD471" s="113"/>
      <c r="AE471" s="113"/>
      <c r="AF471" s="113"/>
      <c r="AG471" s="113"/>
      <c r="AH471" s="113"/>
      <c r="AI471" s="113"/>
      <c r="AJ471" s="113"/>
      <c r="AK471" s="113"/>
      <c r="AL471" s="113"/>
      <c r="AM471" s="113"/>
      <c r="AN471" s="113"/>
      <c r="AO471" s="113"/>
      <c r="AP471" s="113"/>
      <c r="AQ471" s="113"/>
      <c r="AR471" s="113"/>
      <c r="AS471" s="113"/>
      <c r="AT471" s="113"/>
      <c r="AU471" s="113"/>
      <c r="AV471" s="113"/>
      <c r="AW471" s="113"/>
      <c r="AX471" s="113"/>
      <c r="AY471" s="113"/>
      <c r="AZ471" s="113"/>
      <c r="BA471" s="113"/>
    </row>
    <row r="472" spans="1:53" s="111" customFormat="1" x14ac:dyDescent="0.25">
      <c r="A472" s="113"/>
      <c r="B472" s="44">
        <f t="shared" si="757"/>
        <v>1</v>
      </c>
      <c r="C472" s="44">
        <f t="shared" si="807"/>
        <v>21</v>
      </c>
      <c r="D472" s="44" t="str">
        <f t="shared" si="808"/>
        <v>Peer Industry</v>
      </c>
      <c r="E472" s="45">
        <v>2007</v>
      </c>
      <c r="F472" s="46">
        <f t="shared" si="809"/>
        <v>43473.099999999991</v>
      </c>
      <c r="G472" s="51">
        <f t="shared" si="810"/>
        <v>0.30892817766361569</v>
      </c>
      <c r="H472" s="46"/>
      <c r="I472" s="46"/>
      <c r="J472" s="46">
        <f t="shared" si="811"/>
        <v>1065927.2623340001</v>
      </c>
      <c r="K472" s="51">
        <f t="shared" si="811"/>
        <v>0.99999999999999956</v>
      </c>
      <c r="L472" s="51"/>
      <c r="M472" s="46">
        <f t="shared" si="812"/>
        <v>117647374.309</v>
      </c>
      <c r="N472" s="46">
        <f t="shared" si="812"/>
        <v>5193465.0325811477</v>
      </c>
      <c r="O472" s="46">
        <f t="shared" si="813"/>
        <v>4127537.7702471474</v>
      </c>
      <c r="P472" s="51">
        <f t="shared" si="814"/>
        <v>0.79475605291516993</v>
      </c>
      <c r="Q472" s="51">
        <f t="shared" si="815"/>
        <v>0.20524394708483007</v>
      </c>
      <c r="R472" s="51">
        <f t="shared" si="816"/>
        <v>0</v>
      </c>
      <c r="S472" s="51">
        <f t="shared" si="817"/>
        <v>0.20524394708483007</v>
      </c>
      <c r="T472" s="51">
        <f t="shared" si="818"/>
        <v>-0.20524394708483007</v>
      </c>
      <c r="U472" s="298"/>
      <c r="V472" s="113"/>
      <c r="W472" s="113"/>
      <c r="X472" s="113"/>
      <c r="Y472" s="113"/>
      <c r="Z472" s="113"/>
      <c r="AA472" s="113"/>
      <c r="AB472" s="113"/>
      <c r="AC472" s="113"/>
      <c r="AD472" s="113"/>
      <c r="AE472" s="113"/>
      <c r="AF472" s="113"/>
      <c r="AG472" s="113"/>
      <c r="AH472" s="113"/>
      <c r="AI472" s="113"/>
      <c r="AJ472" s="113"/>
      <c r="AK472" s="113"/>
      <c r="AL472" s="113"/>
      <c r="AM472" s="113"/>
      <c r="AN472" s="113"/>
      <c r="AO472" s="113"/>
      <c r="AP472" s="113"/>
      <c r="AQ472" s="113"/>
      <c r="AR472" s="113"/>
      <c r="AS472" s="113"/>
      <c r="AT472" s="113"/>
      <c r="AU472" s="113"/>
      <c r="AV472" s="113"/>
      <c r="AW472" s="113"/>
      <c r="AX472" s="113"/>
      <c r="AY472" s="113"/>
      <c r="AZ472" s="113"/>
      <c r="BA472" s="113"/>
    </row>
    <row r="473" spans="1:53" s="111" customFormat="1" x14ac:dyDescent="0.25">
      <c r="A473" s="113"/>
      <c r="B473" s="44">
        <f t="shared" si="757"/>
        <v>1</v>
      </c>
      <c r="C473" s="44">
        <f t="shared" si="807"/>
        <v>21</v>
      </c>
      <c r="D473" s="44" t="str">
        <f t="shared" si="808"/>
        <v>Peer Industry</v>
      </c>
      <c r="E473" s="45">
        <v>2008</v>
      </c>
      <c r="F473" s="46">
        <f t="shared" si="809"/>
        <v>43799.299999999988</v>
      </c>
      <c r="G473" s="51">
        <f t="shared" si="810"/>
        <v>0.31610012424407824</v>
      </c>
      <c r="H473" s="46"/>
      <c r="I473" s="46"/>
      <c r="J473" s="46">
        <f t="shared" si="811"/>
        <v>1158072.223094</v>
      </c>
      <c r="K473" s="51">
        <f t="shared" si="811"/>
        <v>0.99999999999999989</v>
      </c>
      <c r="L473" s="51"/>
      <c r="M473" s="46">
        <f t="shared" si="812"/>
        <v>121281886.145</v>
      </c>
      <c r="N473" s="46">
        <f t="shared" si="812"/>
        <v>6135929.9569736002</v>
      </c>
      <c r="O473" s="46">
        <f t="shared" si="813"/>
        <v>4977857.7338795997</v>
      </c>
      <c r="P473" s="51">
        <f t="shared" si="814"/>
        <v>0.81126378051662251</v>
      </c>
      <c r="Q473" s="51">
        <f t="shared" si="815"/>
        <v>0.18873621948337749</v>
      </c>
      <c r="R473" s="51">
        <f t="shared" si="816"/>
        <v>0</v>
      </c>
      <c r="S473" s="51">
        <f t="shared" si="817"/>
        <v>0.18873621948337749</v>
      </c>
      <c r="T473" s="51">
        <f t="shared" si="818"/>
        <v>-0.18873621948337749</v>
      </c>
      <c r="U473" s="298"/>
      <c r="V473" s="113"/>
      <c r="W473" s="113"/>
      <c r="X473" s="113"/>
      <c r="Y473" s="113"/>
      <c r="Z473" s="113"/>
      <c r="AA473" s="113"/>
      <c r="AB473" s="113"/>
      <c r="AC473" s="113"/>
      <c r="AD473" s="113"/>
      <c r="AE473" s="113"/>
      <c r="AF473" s="113"/>
      <c r="AG473" s="113"/>
      <c r="AH473" s="113"/>
      <c r="AI473" s="113"/>
      <c r="AJ473" s="113"/>
      <c r="AK473" s="113"/>
      <c r="AL473" s="113"/>
      <c r="AM473" s="113"/>
      <c r="AN473" s="113"/>
      <c r="AO473" s="113"/>
      <c r="AP473" s="113"/>
      <c r="AQ473" s="113"/>
      <c r="AR473" s="113"/>
      <c r="AS473" s="113"/>
      <c r="AT473" s="113"/>
      <c r="AU473" s="113"/>
      <c r="AV473" s="113"/>
      <c r="AW473" s="113"/>
      <c r="AX473" s="113"/>
      <c r="AY473" s="113"/>
      <c r="AZ473" s="113"/>
      <c r="BA473" s="113"/>
    </row>
    <row r="474" spans="1:53" s="111" customFormat="1" x14ac:dyDescent="0.25">
      <c r="A474" s="113"/>
      <c r="B474" s="44">
        <f t="shared" si="757"/>
        <v>1</v>
      </c>
      <c r="C474" s="44">
        <f t="shared" si="807"/>
        <v>21</v>
      </c>
      <c r="D474" s="44" t="str">
        <f t="shared" si="808"/>
        <v>Peer Industry</v>
      </c>
      <c r="E474" s="45">
        <v>2009</v>
      </c>
      <c r="F474" s="46">
        <f t="shared" si="809"/>
        <v>43853.782999999996</v>
      </c>
      <c r="G474" s="51">
        <f t="shared" si="810"/>
        <v>0.34090153277006352</v>
      </c>
      <c r="H474" s="46"/>
      <c r="I474" s="46"/>
      <c r="J474" s="46">
        <f t="shared" si="811"/>
        <v>1179985.175668</v>
      </c>
      <c r="K474" s="51">
        <f t="shared" si="811"/>
        <v>1</v>
      </c>
      <c r="L474" s="51"/>
      <c r="M474" s="46">
        <f t="shared" si="812"/>
        <v>130960439.34</v>
      </c>
      <c r="N474" s="46">
        <f t="shared" si="812"/>
        <v>4663465.4034009464</v>
      </c>
      <c r="O474" s="46">
        <f t="shared" si="813"/>
        <v>3483480.2277329462</v>
      </c>
      <c r="P474" s="51">
        <f t="shared" si="814"/>
        <v>0.74697246069254264</v>
      </c>
      <c r="Q474" s="51">
        <f t="shared" si="815"/>
        <v>0.25302753930745736</v>
      </c>
      <c r="R474" s="51">
        <f t="shared" si="816"/>
        <v>0</v>
      </c>
      <c r="S474" s="51">
        <f t="shared" si="817"/>
        <v>0.25302753930745736</v>
      </c>
      <c r="T474" s="51">
        <f t="shared" si="818"/>
        <v>-0.25302753930745736</v>
      </c>
      <c r="U474" s="298"/>
      <c r="V474" s="113"/>
      <c r="W474" s="113"/>
      <c r="X474" s="113"/>
      <c r="Y474" s="113"/>
      <c r="Z474" s="113"/>
      <c r="AA474" s="113"/>
      <c r="AB474" s="113"/>
      <c r="AC474" s="113"/>
      <c r="AD474" s="113"/>
      <c r="AE474" s="113"/>
      <c r="AF474" s="113"/>
      <c r="AG474" s="113"/>
      <c r="AH474" s="113"/>
      <c r="AI474" s="113"/>
      <c r="AJ474" s="113"/>
      <c r="AK474" s="113"/>
      <c r="AL474" s="113"/>
      <c r="AM474" s="113"/>
      <c r="AN474" s="113"/>
      <c r="AO474" s="113"/>
      <c r="AP474" s="113"/>
      <c r="AQ474" s="113"/>
      <c r="AR474" s="113"/>
      <c r="AS474" s="113"/>
      <c r="AT474" s="113"/>
      <c r="AU474" s="113"/>
      <c r="AV474" s="113"/>
      <c r="AW474" s="113"/>
      <c r="AX474" s="113"/>
      <c r="AY474" s="113"/>
      <c r="AZ474" s="113"/>
      <c r="BA474" s="113"/>
    </row>
    <row r="475" spans="1:53" s="111" customFormat="1" x14ac:dyDescent="0.25">
      <c r="A475" s="113"/>
      <c r="B475" s="44">
        <f t="shared" si="757"/>
        <v>1</v>
      </c>
      <c r="C475" s="44">
        <f t="shared" si="807"/>
        <v>21</v>
      </c>
      <c r="D475" s="44" t="str">
        <f t="shared" si="808"/>
        <v>Peer Industry</v>
      </c>
      <c r="E475" s="45">
        <v>2010</v>
      </c>
      <c r="F475" s="46">
        <f t="shared" si="809"/>
        <v>43858.329999999994</v>
      </c>
      <c r="G475" s="51">
        <f t="shared" si="810"/>
        <v>0.33121266279040229</v>
      </c>
      <c r="H475" s="46"/>
      <c r="I475" s="46"/>
      <c r="J475" s="46">
        <f t="shared" si="811"/>
        <v>1223687.153624455</v>
      </c>
      <c r="K475" s="51">
        <f t="shared" si="811"/>
        <v>1</v>
      </c>
      <c r="L475" s="51"/>
      <c r="M475" s="46">
        <f t="shared" si="812"/>
        <v>127251564.16</v>
      </c>
      <c r="N475" s="46">
        <f t="shared" si="812"/>
        <v>4634336.1092730965</v>
      </c>
      <c r="O475" s="46">
        <f t="shared" si="813"/>
        <v>3410648.9556486416</v>
      </c>
      <c r="P475" s="51">
        <f t="shared" si="814"/>
        <v>0.73595200590308663</v>
      </c>
      <c r="Q475" s="51">
        <f t="shared" si="815"/>
        <v>0.26404799409691337</v>
      </c>
      <c r="R475" s="51">
        <f t="shared" si="816"/>
        <v>0</v>
      </c>
      <c r="S475" s="51">
        <f t="shared" si="817"/>
        <v>0.26404799409691337</v>
      </c>
      <c r="T475" s="51">
        <f t="shared" si="818"/>
        <v>-0.26404799409691337</v>
      </c>
      <c r="U475" s="298"/>
      <c r="V475" s="113"/>
      <c r="W475" s="113"/>
      <c r="X475" s="113"/>
      <c r="Y475" s="113"/>
      <c r="Z475" s="113"/>
      <c r="AA475" s="113"/>
      <c r="AB475" s="113"/>
      <c r="AC475" s="113"/>
      <c r="AD475" s="113"/>
      <c r="AE475" s="113"/>
      <c r="AF475" s="113"/>
      <c r="AG475" s="113"/>
      <c r="AH475" s="113"/>
      <c r="AI475" s="113"/>
      <c r="AJ475" s="113"/>
      <c r="AK475" s="113"/>
      <c r="AL475" s="113"/>
      <c r="AM475" s="113"/>
      <c r="AN475" s="113"/>
      <c r="AO475" s="113"/>
      <c r="AP475" s="113"/>
      <c r="AQ475" s="113"/>
      <c r="AR475" s="113"/>
      <c r="AS475" s="113"/>
      <c r="AT475" s="113"/>
      <c r="AU475" s="113"/>
      <c r="AV475" s="113"/>
      <c r="AW475" s="113"/>
      <c r="AX475" s="113"/>
      <c r="AY475" s="113"/>
      <c r="AZ475" s="113"/>
      <c r="BA475" s="113"/>
    </row>
    <row r="476" spans="1:53" s="111" customFormat="1" x14ac:dyDescent="0.25">
      <c r="A476" s="113"/>
      <c r="B476" s="44">
        <f t="shared" si="757"/>
        <v>1</v>
      </c>
      <c r="C476" s="44">
        <f t="shared" si="807"/>
        <v>21</v>
      </c>
      <c r="D476" s="44" t="str">
        <f t="shared" si="808"/>
        <v>Peer Industry</v>
      </c>
      <c r="E476" s="45">
        <v>2011</v>
      </c>
      <c r="F476" s="46">
        <f t="shared" si="809"/>
        <v>43488.27</v>
      </c>
      <c r="G476" s="51">
        <f t="shared" si="810"/>
        <v>0.38025164030139308</v>
      </c>
      <c r="H476" s="46"/>
      <c r="I476" s="46"/>
      <c r="J476" s="46">
        <f t="shared" si="811"/>
        <v>1206971.6256983213</v>
      </c>
      <c r="K476" s="51">
        <f t="shared" si="811"/>
        <v>1</v>
      </c>
      <c r="L476" s="51"/>
      <c r="M476" s="46">
        <f t="shared" si="812"/>
        <v>144859617.37200001</v>
      </c>
      <c r="N476" s="46">
        <f t="shared" si="812"/>
        <v>4645155.195253347</v>
      </c>
      <c r="O476" s="46">
        <f t="shared" si="813"/>
        <v>3438183.5695550255</v>
      </c>
      <c r="P476" s="51">
        <f t="shared" si="814"/>
        <v>0.74016548964140838</v>
      </c>
      <c r="Q476" s="51">
        <f t="shared" si="815"/>
        <v>0.25983451035859162</v>
      </c>
      <c r="R476" s="51">
        <f t="shared" si="816"/>
        <v>0</v>
      </c>
      <c r="S476" s="51">
        <f t="shared" si="817"/>
        <v>0.25983451035859162</v>
      </c>
      <c r="T476" s="51">
        <f t="shared" si="818"/>
        <v>-0.25983451035859162</v>
      </c>
      <c r="U476" s="298"/>
      <c r="V476" s="113"/>
      <c r="W476" s="113"/>
      <c r="X476" s="113"/>
      <c r="Y476" s="113"/>
      <c r="Z476" s="113"/>
      <c r="AA476" s="113"/>
      <c r="AB476" s="113"/>
      <c r="AC476" s="113"/>
      <c r="AD476" s="113"/>
      <c r="AE476" s="113"/>
      <c r="AF476" s="113"/>
      <c r="AG476" s="113"/>
      <c r="AH476" s="113"/>
      <c r="AI476" s="113"/>
      <c r="AJ476" s="113"/>
      <c r="AK476" s="113"/>
      <c r="AL476" s="113"/>
      <c r="AM476" s="113"/>
      <c r="AN476" s="113"/>
      <c r="AO476" s="113"/>
      <c r="AP476" s="113"/>
      <c r="AQ476" s="113"/>
      <c r="AR476" s="113"/>
      <c r="AS476" s="113"/>
      <c r="AT476" s="113"/>
      <c r="AU476" s="113"/>
      <c r="AV476" s="113"/>
      <c r="AW476" s="113"/>
      <c r="AX476" s="113"/>
      <c r="AY476" s="113"/>
      <c r="AZ476" s="113"/>
      <c r="BA476" s="113"/>
    </row>
    <row r="477" spans="1:53" s="111" customFormat="1" x14ac:dyDescent="0.25">
      <c r="A477" s="113"/>
      <c r="B477" s="44">
        <f t="shared" si="757"/>
        <v>1</v>
      </c>
      <c r="C477" s="44">
        <f t="shared" si="807"/>
        <v>21</v>
      </c>
      <c r="D477" s="44" t="str">
        <f t="shared" si="808"/>
        <v>Peer Industry</v>
      </c>
      <c r="E477" s="45">
        <v>2012</v>
      </c>
      <c r="F477" s="46">
        <f t="shared" si="809"/>
        <v>43587.25</v>
      </c>
      <c r="G477" s="51">
        <f t="shared" si="810"/>
        <v>0.33460380805245221</v>
      </c>
      <c r="H477" s="46"/>
      <c r="I477" s="46"/>
      <c r="J477" s="46">
        <f t="shared" si="811"/>
        <v>1245087.3523158645</v>
      </c>
      <c r="K477" s="51">
        <f t="shared" si="811"/>
        <v>1</v>
      </c>
      <c r="L477" s="51"/>
      <c r="M477" s="46">
        <f t="shared" si="812"/>
        <v>127759868.133</v>
      </c>
      <c r="N477" s="46">
        <f t="shared" si="812"/>
        <v>3729912.2015280956</v>
      </c>
      <c r="O477" s="46">
        <f t="shared" si="813"/>
        <v>2484824.8492122311</v>
      </c>
      <c r="P477" s="51">
        <f t="shared" si="814"/>
        <v>0.66618856288205153</v>
      </c>
      <c r="Q477" s="51">
        <f t="shared" si="815"/>
        <v>0.33381143711794847</v>
      </c>
      <c r="R477" s="51">
        <f t="shared" si="816"/>
        <v>0</v>
      </c>
      <c r="S477" s="51">
        <f t="shared" si="817"/>
        <v>0.33381143711794847</v>
      </c>
      <c r="T477" s="51">
        <f t="shared" si="818"/>
        <v>-0.33381143711794847</v>
      </c>
      <c r="U477" s="298"/>
      <c r="V477" s="113"/>
      <c r="W477" s="113"/>
      <c r="X477" s="113"/>
      <c r="Y477" s="113"/>
      <c r="Z477" s="113"/>
      <c r="AA477" s="113"/>
      <c r="AB477" s="113"/>
      <c r="AC477" s="113"/>
      <c r="AD477" s="113"/>
      <c r="AE477" s="113"/>
      <c r="AF477" s="113"/>
      <c r="AG477" s="113"/>
      <c r="AH477" s="113"/>
      <c r="AI477" s="113"/>
      <c r="AJ477" s="113"/>
      <c r="AK477" s="113"/>
      <c r="AL477" s="113"/>
      <c r="AM477" s="113"/>
      <c r="AN477" s="113"/>
      <c r="AO477" s="113"/>
      <c r="AP477" s="113"/>
      <c r="AQ477" s="113"/>
      <c r="AR477" s="113"/>
      <c r="AS477" s="113"/>
      <c r="AT477" s="113"/>
      <c r="AU477" s="113"/>
      <c r="AV477" s="113"/>
      <c r="AW477" s="113"/>
      <c r="AX477" s="113"/>
      <c r="AY477" s="113"/>
      <c r="AZ477" s="113"/>
      <c r="BA477" s="113"/>
    </row>
    <row r="478" spans="1:53" s="111" customFormat="1" x14ac:dyDescent="0.25">
      <c r="A478" s="113"/>
      <c r="B478" s="44">
        <f t="shared" si="757"/>
        <v>1</v>
      </c>
      <c r="C478" s="44">
        <f t="shared" si="807"/>
        <v>21</v>
      </c>
      <c r="D478" s="44" t="str">
        <f t="shared" si="808"/>
        <v>Peer Industry</v>
      </c>
      <c r="E478" s="45">
        <v>2013</v>
      </c>
      <c r="F478" s="46">
        <f t="shared" si="809"/>
        <v>43746.04</v>
      </c>
      <c r="G478" s="51">
        <f t="shared" si="810"/>
        <v>0.32610368813698631</v>
      </c>
      <c r="H478" s="46"/>
      <c r="I478" s="46"/>
      <c r="J478" s="46">
        <f t="shared" si="811"/>
        <v>1243122.23645</v>
      </c>
      <c r="K478" s="51">
        <f t="shared" si="811"/>
        <v>1</v>
      </c>
      <c r="L478" s="51"/>
      <c r="M478" s="46">
        <f t="shared" si="812"/>
        <v>124967926.07200001</v>
      </c>
      <c r="N478" s="46">
        <f t="shared" si="812"/>
        <v>4623213.2602297999</v>
      </c>
      <c r="O478" s="46">
        <f t="shared" si="813"/>
        <v>3380091.0237798002</v>
      </c>
      <c r="P478" s="51">
        <f t="shared" si="814"/>
        <v>0.73111293672223776</v>
      </c>
      <c r="Q478" s="51">
        <f t="shared" si="815"/>
        <v>0.26888706327776224</v>
      </c>
      <c r="R478" s="51">
        <f t="shared" si="816"/>
        <v>0</v>
      </c>
      <c r="S478" s="51">
        <f t="shared" si="817"/>
        <v>0.26888706327776224</v>
      </c>
      <c r="T478" s="51">
        <f t="shared" si="818"/>
        <v>-0.26888706327776224</v>
      </c>
      <c r="U478" s="298"/>
      <c r="V478" s="113"/>
      <c r="W478" s="113"/>
      <c r="X478" s="113"/>
      <c r="Y478" s="113"/>
      <c r="Z478" s="113"/>
      <c r="AA478" s="113"/>
      <c r="AB478" s="113"/>
      <c r="AC478" s="113"/>
      <c r="AD478" s="113"/>
      <c r="AE478" s="113"/>
      <c r="AF478" s="113"/>
      <c r="AG478" s="113"/>
      <c r="AH478" s="113"/>
      <c r="AI478" s="113"/>
      <c r="AJ478" s="113"/>
      <c r="AK478" s="113"/>
      <c r="AL478" s="113"/>
      <c r="AM478" s="113"/>
      <c r="AN478" s="113"/>
      <c r="AO478" s="113"/>
      <c r="AP478" s="113"/>
      <c r="AQ478" s="113"/>
      <c r="AR478" s="113"/>
      <c r="AS478" s="113"/>
      <c r="AT478" s="113"/>
      <c r="AU478" s="113"/>
      <c r="AV478" s="113"/>
      <c r="AW478" s="113"/>
      <c r="AX478" s="113"/>
      <c r="AY478" s="113"/>
      <c r="AZ478" s="113"/>
      <c r="BA478" s="113"/>
    </row>
    <row r="479" spans="1:53" s="111" customFormat="1" x14ac:dyDescent="0.25">
      <c r="A479" s="113"/>
      <c r="B479" s="44">
        <f t="shared" si="757"/>
        <v>1</v>
      </c>
      <c r="C479" s="44">
        <f t="shared" si="807"/>
        <v>21</v>
      </c>
      <c r="D479" s="44" t="str">
        <f>D476</f>
        <v>Peer Industry</v>
      </c>
      <c r="E479" s="45">
        <v>2014</v>
      </c>
      <c r="F479" s="46">
        <f t="shared" si="809"/>
        <v>43952.869999999995</v>
      </c>
      <c r="G479" s="51">
        <f t="shared" si="810"/>
        <v>0.31399742200563602</v>
      </c>
      <c r="H479" s="46"/>
      <c r="I479" s="46"/>
      <c r="J479" s="46">
        <f t="shared" si="811"/>
        <v>1247683.1075896476</v>
      </c>
      <c r="K479" s="51">
        <f t="shared" si="811"/>
        <v>1.0000000000000002</v>
      </c>
      <c r="L479" s="51"/>
      <c r="M479" s="46">
        <f t="shared" si="812"/>
        <v>120897529.73899999</v>
      </c>
      <c r="N479" s="46">
        <f t="shared" si="812"/>
        <v>4924416.0882130917</v>
      </c>
      <c r="O479" s="46">
        <f t="shared" si="813"/>
        <v>3676732.9806234441</v>
      </c>
      <c r="P479" s="51">
        <f t="shared" si="814"/>
        <v>0.74663328905612636</v>
      </c>
      <c r="Q479" s="51">
        <f t="shared" si="815"/>
        <v>0.25336671094387364</v>
      </c>
      <c r="R479" s="51">
        <f t="shared" si="816"/>
        <v>0</v>
      </c>
      <c r="S479" s="51">
        <f t="shared" si="817"/>
        <v>0.25336671094387364</v>
      </c>
      <c r="T479" s="51">
        <f t="shared" si="818"/>
        <v>-0.25336671094387364</v>
      </c>
      <c r="U479" s="298"/>
      <c r="V479" s="113"/>
      <c r="W479" s="113"/>
      <c r="X479" s="113"/>
      <c r="Y479" s="113"/>
      <c r="Z479" s="113"/>
      <c r="AA479" s="113"/>
      <c r="AB479" s="113"/>
      <c r="AC479" s="113"/>
      <c r="AD479" s="113"/>
      <c r="AE479" s="113"/>
      <c r="AF479" s="113"/>
      <c r="AG479" s="113"/>
      <c r="AH479" s="113"/>
      <c r="AI479" s="113"/>
      <c r="AJ479" s="113"/>
      <c r="AK479" s="113"/>
      <c r="AL479" s="113"/>
      <c r="AM479" s="113"/>
      <c r="AN479" s="113"/>
      <c r="AO479" s="113"/>
      <c r="AP479" s="113"/>
      <c r="AQ479" s="113"/>
      <c r="AR479" s="113"/>
      <c r="AS479" s="113"/>
      <c r="AT479" s="113"/>
      <c r="AU479" s="113"/>
      <c r="AV479" s="113"/>
      <c r="AW479" s="113"/>
      <c r="AX479" s="113"/>
      <c r="AY479" s="113"/>
      <c r="AZ479" s="113"/>
      <c r="BA479" s="113"/>
    </row>
    <row r="480" spans="1:53" s="111" customFormat="1" x14ac:dyDescent="0.25">
      <c r="A480" s="113"/>
      <c r="B480" s="44">
        <f t="shared" si="757"/>
        <v>1</v>
      </c>
      <c r="C480" s="44">
        <f t="shared" si="807"/>
        <v>21</v>
      </c>
      <c r="D480" s="44" t="str">
        <f>D477</f>
        <v>Peer Industry</v>
      </c>
      <c r="E480" s="45">
        <v>2015</v>
      </c>
      <c r="F480" s="46">
        <f t="shared" si="809"/>
        <v>43883.31</v>
      </c>
      <c r="G480" s="51">
        <f t="shared" si="810"/>
        <v>0.30013702996480113</v>
      </c>
      <c r="H480" s="46"/>
      <c r="I480" s="46"/>
      <c r="J480" s="46">
        <f t="shared" si="811"/>
        <v>1317956.8617500002</v>
      </c>
      <c r="K480" s="51">
        <f t="shared" si="811"/>
        <v>1</v>
      </c>
      <c r="L480" s="51"/>
      <c r="M480" s="46">
        <f t="shared" si="812"/>
        <v>115378015.43699999</v>
      </c>
      <c r="N480" s="46">
        <f t="shared" si="812"/>
        <v>4264379.7025598697</v>
      </c>
      <c r="O480" s="46">
        <f t="shared" si="813"/>
        <v>2946422.8408098696</v>
      </c>
      <c r="P480" s="51">
        <f t="shared" si="814"/>
        <v>0.69093820117405536</v>
      </c>
      <c r="Q480" s="51">
        <f t="shared" si="815"/>
        <v>0.30906179882594464</v>
      </c>
      <c r="R480" s="51">
        <f t="shared" si="816"/>
        <v>0</v>
      </c>
      <c r="S480" s="51">
        <f t="shared" si="817"/>
        <v>0.30906179882594464</v>
      </c>
      <c r="T480" s="51">
        <f t="shared" si="818"/>
        <v>-0.30906179882594464</v>
      </c>
      <c r="U480" s="298"/>
      <c r="V480" s="113"/>
      <c r="W480" s="113"/>
      <c r="X480" s="113"/>
      <c r="Y480" s="113"/>
      <c r="Z480" s="113"/>
      <c r="AA480" s="113"/>
      <c r="AB480" s="113"/>
      <c r="AC480" s="113"/>
      <c r="AD480" s="113"/>
      <c r="AE480" s="113"/>
      <c r="AF480" s="113"/>
      <c r="AG480" s="113"/>
      <c r="AH480" s="113"/>
      <c r="AI480" s="113"/>
      <c r="AJ480" s="113"/>
      <c r="AK480" s="113"/>
      <c r="AL480" s="113"/>
      <c r="AM480" s="113"/>
      <c r="AN480" s="113"/>
      <c r="AO480" s="113"/>
      <c r="AP480" s="113"/>
      <c r="AQ480" s="113"/>
      <c r="AR480" s="113"/>
      <c r="AS480" s="113"/>
      <c r="AT480" s="113"/>
      <c r="AU480" s="113"/>
      <c r="AV480" s="113"/>
      <c r="AW480" s="113"/>
      <c r="AX480" s="113"/>
      <c r="AY480" s="113"/>
      <c r="AZ480" s="113"/>
      <c r="BA480" s="113"/>
    </row>
    <row r="481" spans="1:53" s="111" customFormat="1" x14ac:dyDescent="0.25">
      <c r="A481" s="113"/>
      <c r="B481" s="44">
        <f t="shared" si="757"/>
        <v>1</v>
      </c>
      <c r="C481" s="44">
        <f t="shared" si="807"/>
        <v>21</v>
      </c>
      <c r="D481" s="44" t="str">
        <f>D478</f>
        <v>Peer Industry</v>
      </c>
      <c r="E481" s="45">
        <v>2016</v>
      </c>
      <c r="F481" s="46">
        <f t="shared" si="809"/>
        <v>43931.119999999995</v>
      </c>
      <c r="G481" s="51">
        <f t="shared" si="810"/>
        <v>0.31978758638180216</v>
      </c>
      <c r="H481" s="46"/>
      <c r="I481" s="46"/>
      <c r="J481" s="46">
        <f t="shared" si="811"/>
        <v>1330886.3202000002</v>
      </c>
      <c r="K481" s="51">
        <f t="shared" si="811"/>
        <v>1</v>
      </c>
      <c r="L481" s="51"/>
      <c r="M481" s="46">
        <f t="shared" si="812"/>
        <v>123065971.04700001</v>
      </c>
      <c r="N481" s="46">
        <f t="shared" si="812"/>
        <v>4176472.6122359727</v>
      </c>
      <c r="O481" s="46">
        <f t="shared" si="813"/>
        <v>2845586.2920359727</v>
      </c>
      <c r="P481" s="51">
        <f t="shared" si="814"/>
        <v>0.68133723269228419</v>
      </c>
      <c r="Q481" s="51">
        <f t="shared" si="815"/>
        <v>0.31866276730771581</v>
      </c>
      <c r="R481" s="51">
        <f t="shared" si="816"/>
        <v>0</v>
      </c>
      <c r="S481" s="51">
        <f t="shared" si="817"/>
        <v>0.31866276730771581</v>
      </c>
      <c r="T481" s="51">
        <f t="shared" si="818"/>
        <v>-0.31866276730771581</v>
      </c>
      <c r="U481" s="298"/>
      <c r="V481" s="113"/>
      <c r="W481" s="113"/>
      <c r="X481" s="113"/>
      <c r="Y481" s="113"/>
      <c r="Z481" s="113"/>
      <c r="AA481" s="113"/>
      <c r="AB481" s="113"/>
      <c r="AC481" s="113"/>
      <c r="AD481" s="113"/>
      <c r="AE481" s="113"/>
      <c r="AF481" s="113"/>
      <c r="AG481" s="113"/>
      <c r="AH481" s="113"/>
      <c r="AI481" s="113"/>
      <c r="AJ481" s="113"/>
      <c r="AK481" s="113"/>
      <c r="AL481" s="113"/>
      <c r="AM481" s="113"/>
      <c r="AN481" s="113"/>
      <c r="AO481" s="113"/>
      <c r="AP481" s="113"/>
      <c r="AQ481" s="113"/>
      <c r="AR481" s="113"/>
      <c r="AS481" s="113"/>
      <c r="AT481" s="113"/>
      <c r="AU481" s="113"/>
      <c r="AV481" s="113"/>
      <c r="AW481" s="113"/>
      <c r="AX481" s="113"/>
      <c r="AY481" s="113"/>
      <c r="AZ481" s="113"/>
      <c r="BA481" s="113"/>
    </row>
    <row r="482" spans="1:53" s="111" customFormat="1" x14ac:dyDescent="0.25">
      <c r="A482" s="113"/>
      <c r="B482" s="44">
        <f t="shared" si="757"/>
        <v>1</v>
      </c>
      <c r="C482" s="44">
        <f t="shared" si="807"/>
        <v>21</v>
      </c>
      <c r="D482" s="44" t="str">
        <f>D479</f>
        <v>Peer Industry</v>
      </c>
      <c r="E482" s="45">
        <v>2017</v>
      </c>
      <c r="F482" s="46">
        <f t="shared" si="809"/>
        <v>43994.720000000001</v>
      </c>
      <c r="G482" s="51">
        <f t="shared" si="810"/>
        <v>0.35475981900673664</v>
      </c>
      <c r="H482" s="46"/>
      <c r="I482" s="46"/>
      <c r="J482" s="46">
        <f t="shared" si="811"/>
        <v>1301976.18664</v>
      </c>
      <c r="K482" s="51">
        <f t="shared" si="811"/>
        <v>1.0000000000000002</v>
      </c>
      <c r="L482" s="51"/>
      <c r="M482" s="46">
        <f t="shared" si="812"/>
        <v>136722216.00300002</v>
      </c>
      <c r="N482" s="46">
        <f t="shared" si="812"/>
        <v>4550319.6408648305</v>
      </c>
      <c r="O482" s="46">
        <f t="shared" si="813"/>
        <v>3248343.4542248305</v>
      </c>
      <c r="P482" s="51">
        <f t="shared" si="814"/>
        <v>0.71387148829119462</v>
      </c>
      <c r="Q482" s="51">
        <f t="shared" si="815"/>
        <v>0.28612851170880538</v>
      </c>
      <c r="R482" s="51">
        <f t="shared" si="816"/>
        <v>0</v>
      </c>
      <c r="S482" s="51">
        <f t="shared" si="817"/>
        <v>0.28612851170880538</v>
      </c>
      <c r="T482" s="51">
        <f t="shared" si="818"/>
        <v>-0.28612851170880538</v>
      </c>
      <c r="U482" s="298"/>
      <c r="V482" s="113"/>
      <c r="W482" s="113"/>
      <c r="X482" s="113"/>
      <c r="Y482" s="113"/>
      <c r="Z482" s="113"/>
      <c r="AA482" s="113"/>
      <c r="AB482" s="113"/>
      <c r="AC482" s="113"/>
      <c r="AD482" s="113"/>
      <c r="AE482" s="113"/>
      <c r="AF482" s="113"/>
      <c r="AG482" s="113"/>
      <c r="AH482" s="113"/>
      <c r="AI482" s="113"/>
      <c r="AJ482" s="113"/>
      <c r="AK482" s="113"/>
      <c r="AL482" s="113"/>
      <c r="AM482" s="113"/>
      <c r="AN482" s="113"/>
      <c r="AO482" s="113"/>
      <c r="AP482" s="113"/>
      <c r="AQ482" s="113"/>
      <c r="AR482" s="113"/>
      <c r="AS482" s="113"/>
      <c r="AT482" s="113"/>
      <c r="AU482" s="113"/>
      <c r="AV482" s="113"/>
      <c r="AW482" s="113"/>
      <c r="AX482" s="113"/>
      <c r="AY482" s="113"/>
      <c r="AZ482" s="113"/>
      <c r="BA482" s="113"/>
    </row>
    <row r="483" spans="1:53" s="111" customFormat="1" x14ac:dyDescent="0.25">
      <c r="A483" s="113"/>
      <c r="B483" s="44">
        <f t="shared" si="757"/>
        <v>1</v>
      </c>
      <c r="C483" s="44">
        <f t="shared" si="807"/>
        <v>21</v>
      </c>
      <c r="D483" s="44" t="str">
        <f t="shared" ref="D483" si="819">D480</f>
        <v>Peer Industry</v>
      </c>
      <c r="E483" s="45">
        <v>2018</v>
      </c>
      <c r="F483" s="46">
        <f t="shared" si="809"/>
        <v>44058.099999999991</v>
      </c>
      <c r="G483" s="51">
        <f t="shared" si="810"/>
        <v>0.34686570087263047</v>
      </c>
      <c r="H483" s="46"/>
      <c r="I483" s="46"/>
      <c r="J483" s="46">
        <f t="shared" si="811"/>
        <v>1403103.4636200003</v>
      </c>
      <c r="K483" s="51">
        <f t="shared" si="811"/>
        <v>0.99999999999999978</v>
      </c>
      <c r="L483" s="51"/>
      <c r="M483" s="46">
        <f t="shared" si="812"/>
        <v>133872455.124</v>
      </c>
      <c r="N483" s="46">
        <f t="shared" si="812"/>
        <v>4726316.8376999395</v>
      </c>
      <c r="O483" s="46">
        <f t="shared" si="813"/>
        <v>3323213.374079939</v>
      </c>
      <c r="P483" s="51">
        <f t="shared" si="814"/>
        <v>0.70312962253651612</v>
      </c>
      <c r="Q483" s="51">
        <f t="shared" si="815"/>
        <v>0.29687037746348388</v>
      </c>
      <c r="R483" s="51">
        <f t="shared" si="816"/>
        <v>0</v>
      </c>
      <c r="S483" s="51">
        <f t="shared" si="817"/>
        <v>0.29687037746348388</v>
      </c>
      <c r="T483" s="51">
        <f t="shared" si="818"/>
        <v>-0.29687037746348388</v>
      </c>
      <c r="U483" s="298"/>
      <c r="V483" s="113"/>
      <c r="W483" s="113"/>
      <c r="X483" s="113"/>
      <c r="Y483" s="113"/>
      <c r="Z483" s="113"/>
      <c r="AA483" s="113"/>
      <c r="AB483" s="113"/>
      <c r="AC483" s="113"/>
      <c r="AD483" s="113"/>
      <c r="AE483" s="113"/>
      <c r="AF483" s="113"/>
      <c r="AG483" s="113"/>
      <c r="AH483" s="113"/>
      <c r="AI483" s="113"/>
      <c r="AJ483" s="113"/>
      <c r="AK483" s="113"/>
      <c r="AL483" s="113"/>
      <c r="AM483" s="113"/>
      <c r="AN483" s="113"/>
      <c r="AO483" s="113"/>
      <c r="AP483" s="113"/>
      <c r="AQ483" s="113"/>
      <c r="AR483" s="113"/>
      <c r="AS483" s="113"/>
      <c r="AT483" s="113"/>
      <c r="AU483" s="113"/>
      <c r="AV483" s="113"/>
      <c r="AW483" s="113"/>
      <c r="AX483" s="113"/>
      <c r="AY483" s="113"/>
      <c r="AZ483" s="113"/>
      <c r="BA483" s="113"/>
    </row>
    <row r="484" spans="1:53" s="111" customFormat="1" x14ac:dyDescent="0.25">
      <c r="A484" s="113"/>
      <c r="B484" s="44">
        <f t="shared" si="757"/>
        <v>1</v>
      </c>
      <c r="C484" s="44">
        <f t="shared" si="807"/>
        <v>21</v>
      </c>
      <c r="D484" s="44" t="str">
        <f>D481</f>
        <v>Peer Industry</v>
      </c>
      <c r="E484" s="45">
        <v>2019</v>
      </c>
      <c r="F484" s="46">
        <f t="shared" si="809"/>
        <v>44033.73</v>
      </c>
      <c r="G484" s="51">
        <f t="shared" si="810"/>
        <v>0.35325835369047126</v>
      </c>
      <c r="H484" s="46"/>
      <c r="I484" s="46"/>
      <c r="J484" s="46">
        <f t="shared" si="811"/>
        <v>1376980.9445200001</v>
      </c>
      <c r="K484" s="51">
        <f t="shared" si="811"/>
        <v>1</v>
      </c>
      <c r="L484" s="51"/>
      <c r="M484" s="46">
        <f t="shared" si="812"/>
        <v>136264278.78786027</v>
      </c>
      <c r="N484" s="46">
        <f t="shared" si="812"/>
        <v>4900288.9556456674</v>
      </c>
      <c r="O484" s="46">
        <f t="shared" si="813"/>
        <v>3523308.011125667</v>
      </c>
      <c r="P484" s="51">
        <f t="shared" si="814"/>
        <v>0.71900005142889212</v>
      </c>
      <c r="Q484" s="51">
        <f t="shared" si="815"/>
        <v>0.28099994857110788</v>
      </c>
      <c r="R484" s="51">
        <f t="shared" si="816"/>
        <v>0</v>
      </c>
      <c r="S484" s="51">
        <f t="shared" si="817"/>
        <v>0.28099994857110788</v>
      </c>
      <c r="T484" s="51">
        <f t="shared" si="818"/>
        <v>-0.28099994857110788</v>
      </c>
      <c r="U484" s="298"/>
      <c r="V484" s="113"/>
      <c r="W484" s="113"/>
      <c r="X484" s="113"/>
      <c r="Y484" s="113"/>
      <c r="Z484" s="113"/>
      <c r="AA484" s="113"/>
      <c r="AB484" s="113"/>
      <c r="AC484" s="113"/>
      <c r="AD484" s="113"/>
      <c r="AE484" s="113"/>
      <c r="AF484" s="113"/>
      <c r="AG484" s="113"/>
      <c r="AH484" s="113"/>
      <c r="AI484" s="113"/>
      <c r="AJ484" s="113"/>
      <c r="AK484" s="113"/>
      <c r="AL484" s="113"/>
      <c r="AM484" s="113"/>
      <c r="AN484" s="113"/>
      <c r="AO484" s="113"/>
      <c r="AP484" s="113"/>
      <c r="AQ484" s="113"/>
      <c r="AR484" s="113"/>
      <c r="AS484" s="113"/>
      <c r="AT484" s="113"/>
      <c r="AU484" s="113"/>
      <c r="AV484" s="113"/>
      <c r="AW484" s="113"/>
      <c r="AX484" s="113"/>
      <c r="AY484" s="113"/>
      <c r="AZ484" s="113"/>
      <c r="BA484" s="113"/>
    </row>
    <row r="485" spans="1:53" s="111" customFormat="1" x14ac:dyDescent="0.25">
      <c r="A485" s="113"/>
      <c r="B485" s="44">
        <f t="shared" si="757"/>
        <v>1</v>
      </c>
      <c r="C485" s="44">
        <f t="shared" si="807"/>
        <v>21</v>
      </c>
      <c r="D485" s="44" t="str">
        <f t="shared" ref="D485" si="820">D482</f>
        <v>Peer Industry</v>
      </c>
      <c r="E485" s="45">
        <v>2020</v>
      </c>
      <c r="F485" s="46">
        <f t="shared" si="809"/>
        <v>44536.43</v>
      </c>
      <c r="G485" s="51">
        <f t="shared" si="810"/>
        <v>0.34319101216202336</v>
      </c>
      <c r="H485" s="46"/>
      <c r="I485" s="46"/>
      <c r="J485" s="46">
        <f t="shared" si="811"/>
        <v>1384963.9345600004</v>
      </c>
      <c r="K485" s="51">
        <f t="shared" si="811"/>
        <v>0.99999999999999989</v>
      </c>
      <c r="L485" s="51"/>
      <c r="M485" s="46">
        <f t="shared" si="812"/>
        <v>133892241.81049998</v>
      </c>
      <c r="N485" s="46">
        <f t="shared" si="812"/>
        <v>4202461.8835856309</v>
      </c>
      <c r="O485" s="46">
        <f t="shared" si="813"/>
        <v>2817497.9490256305</v>
      </c>
      <c r="P485" s="51">
        <f t="shared" si="814"/>
        <v>0.67043985812946405</v>
      </c>
      <c r="Q485" s="51">
        <f t="shared" si="815"/>
        <v>0.32956014187053595</v>
      </c>
      <c r="R485" s="51">
        <f t="shared" si="816"/>
        <v>0</v>
      </c>
      <c r="S485" s="51">
        <f t="shared" si="817"/>
        <v>0.32956014187053595</v>
      </c>
      <c r="T485" s="51">
        <f t="shared" si="818"/>
        <v>-0.32956014187053595</v>
      </c>
      <c r="U485" s="298"/>
      <c r="V485" s="113"/>
      <c r="W485" s="113"/>
      <c r="X485" s="113"/>
      <c r="Y485" s="113"/>
      <c r="Z485" s="113"/>
      <c r="AA485" s="113"/>
      <c r="AB485" s="113"/>
      <c r="AC485" s="113"/>
      <c r="AD485" s="113"/>
      <c r="AE485" s="113"/>
      <c r="AF485" s="113"/>
      <c r="AG485" s="113"/>
      <c r="AH485" s="113"/>
      <c r="AI485" s="113"/>
      <c r="AJ485" s="113"/>
      <c r="AK485" s="113"/>
      <c r="AL485" s="113"/>
      <c r="AM485" s="113"/>
      <c r="AN485" s="113"/>
      <c r="AO485" s="113"/>
      <c r="AP485" s="113"/>
      <c r="AQ485" s="113"/>
      <c r="AR485" s="113"/>
      <c r="AS485" s="113"/>
      <c r="AT485" s="113"/>
      <c r="AU485" s="113"/>
      <c r="AV485" s="113"/>
      <c r="AW485" s="113"/>
      <c r="AX485" s="113"/>
      <c r="AY485" s="113"/>
      <c r="AZ485" s="113"/>
      <c r="BA485" s="113"/>
    </row>
    <row r="486" spans="1:53" s="111" customFormat="1" x14ac:dyDescent="0.25">
      <c r="A486" s="113"/>
      <c r="B486" s="44">
        <f t="shared" si="757"/>
        <v>1</v>
      </c>
      <c r="C486" s="44">
        <f t="shared" si="807"/>
        <v>21</v>
      </c>
      <c r="D486" s="44" t="str">
        <f>D483</f>
        <v>Peer Industry</v>
      </c>
      <c r="E486" s="45">
        <v>2021</v>
      </c>
      <c r="F486" s="46">
        <f t="shared" si="809"/>
        <v>44569.99</v>
      </c>
      <c r="G486" s="51">
        <f t="shared" si="810"/>
        <v>0.29764676975435761</v>
      </c>
      <c r="H486" s="46"/>
      <c r="I486" s="46"/>
      <c r="J486" s="46">
        <f t="shared" si="811"/>
        <v>1448984.4479200002</v>
      </c>
      <c r="K486" s="51">
        <f t="shared" si="811"/>
        <v>1</v>
      </c>
      <c r="L486" s="51"/>
      <c r="M486" s="46">
        <f t="shared" si="812"/>
        <v>116211154.71100003</v>
      </c>
      <c r="N486" s="46">
        <f t="shared" si="812"/>
        <v>5119204.6977074789</v>
      </c>
      <c r="O486" s="46">
        <f t="shared" si="813"/>
        <v>3670220.2497874787</v>
      </c>
      <c r="P486" s="51">
        <f t="shared" si="814"/>
        <v>0.71695125835290485</v>
      </c>
      <c r="Q486" s="51">
        <f t="shared" si="815"/>
        <v>0.28304874164709515</v>
      </c>
      <c r="R486" s="51">
        <f t="shared" si="816"/>
        <v>0</v>
      </c>
      <c r="S486" s="51">
        <f t="shared" si="817"/>
        <v>0.28304874164709515</v>
      </c>
      <c r="T486" s="51">
        <f t="shared" si="818"/>
        <v>-0.28304874164709515</v>
      </c>
      <c r="U486" s="298"/>
      <c r="V486" s="113"/>
      <c r="W486" s="113"/>
      <c r="X486" s="113"/>
      <c r="Y486" s="113"/>
      <c r="Z486" s="113"/>
      <c r="AA486" s="113"/>
      <c r="AB486" s="113"/>
      <c r="AC486" s="113"/>
      <c r="AD486" s="113"/>
      <c r="AE486" s="113"/>
      <c r="AF486" s="113"/>
      <c r="AG486" s="113"/>
      <c r="AH486" s="113"/>
      <c r="AI486" s="113"/>
      <c r="AJ486" s="113"/>
      <c r="AK486" s="113"/>
      <c r="AL486" s="113"/>
      <c r="AM486" s="113"/>
      <c r="AN486" s="113"/>
      <c r="AO486" s="113"/>
      <c r="AP486" s="113"/>
      <c r="AQ486" s="113"/>
      <c r="AR486" s="113"/>
      <c r="AS486" s="113"/>
      <c r="AT486" s="113"/>
      <c r="AU486" s="113"/>
      <c r="AV486" s="113"/>
      <c r="AW486" s="113"/>
      <c r="AX486" s="113"/>
      <c r="AY486" s="113"/>
      <c r="AZ486" s="113"/>
      <c r="BA486" s="113"/>
    </row>
    <row r="487" spans="1:53" s="111" customFormat="1" x14ac:dyDescent="0.25">
      <c r="A487" s="113"/>
      <c r="B487" s="44">
        <f t="shared" si="757"/>
        <v>1</v>
      </c>
      <c r="C487" s="44">
        <f t="shared" si="807"/>
        <v>21</v>
      </c>
      <c r="D487" s="44" t="str">
        <f t="shared" ref="D487" si="821">D484</f>
        <v>Peer Industry</v>
      </c>
      <c r="E487" s="45">
        <v>2022</v>
      </c>
      <c r="F487" s="46">
        <f t="shared" si="809"/>
        <v>44094.740000000005</v>
      </c>
      <c r="G487" s="51">
        <f t="shared" si="810"/>
        <v>0.30335300206770632</v>
      </c>
      <c r="H487" s="46"/>
      <c r="I487" s="46"/>
      <c r="J487" s="46">
        <f t="shared" si="811"/>
        <v>1470144.8345399997</v>
      </c>
      <c r="K487" s="51">
        <f t="shared" si="811"/>
        <v>1</v>
      </c>
      <c r="L487" s="51"/>
      <c r="M487" s="46">
        <f t="shared" si="812"/>
        <v>117176140.56849998</v>
      </c>
      <c r="N487" s="46">
        <f t="shared" si="812"/>
        <v>6946518.6839055233</v>
      </c>
      <c r="O487" s="46">
        <f t="shared" si="813"/>
        <v>5476373.8493655231</v>
      </c>
      <c r="P487" s="51">
        <f t="shared" si="814"/>
        <v>0.78836235797562926</v>
      </c>
      <c r="Q487" s="51">
        <f t="shared" si="815"/>
        <v>0.21163764202437074</v>
      </c>
      <c r="R487" s="51">
        <f t="shared" si="816"/>
        <v>0</v>
      </c>
      <c r="S487" s="51">
        <f t="shared" si="817"/>
        <v>0.21163764202437074</v>
      </c>
      <c r="T487" s="51">
        <f t="shared" si="818"/>
        <v>-0.21163764202437074</v>
      </c>
      <c r="U487" s="298"/>
      <c r="V487" s="113"/>
      <c r="W487" s="113"/>
      <c r="X487" s="113"/>
      <c r="Y487" s="113"/>
      <c r="Z487" s="113"/>
      <c r="AA487" s="113"/>
      <c r="AB487" s="113"/>
      <c r="AC487" s="113"/>
      <c r="AD487" s="113"/>
      <c r="AE487" s="113"/>
      <c r="AF487" s="113"/>
      <c r="AG487" s="113"/>
      <c r="AH487" s="113"/>
      <c r="AI487" s="113"/>
      <c r="AJ487" s="113"/>
      <c r="AK487" s="113"/>
      <c r="AL487" s="113"/>
      <c r="AM487" s="113"/>
      <c r="AN487" s="113"/>
      <c r="AO487" s="113"/>
      <c r="AP487" s="113"/>
      <c r="AQ487" s="113"/>
      <c r="AR487" s="113"/>
      <c r="AS487" s="113"/>
      <c r="AT487" s="113"/>
      <c r="AU487" s="113"/>
      <c r="AV487" s="113"/>
      <c r="AW487" s="113"/>
      <c r="AX487" s="113"/>
      <c r="AY487" s="113"/>
      <c r="AZ487" s="113"/>
      <c r="BA487" s="113"/>
    </row>
    <row r="488" spans="1:53" s="111" customFormat="1" x14ac:dyDescent="0.25">
      <c r="A488" s="113"/>
      <c r="B488" s="44">
        <f t="shared" si="757"/>
        <v>1</v>
      </c>
      <c r="C488" s="44">
        <f t="shared" si="807"/>
        <v>21</v>
      </c>
      <c r="D488" s="44" t="str">
        <f>D485</f>
        <v>Peer Industry</v>
      </c>
      <c r="E488" s="45">
        <v>2023</v>
      </c>
      <c r="F488" s="46">
        <f t="shared" si="809"/>
        <v>44379.25</v>
      </c>
      <c r="G488" s="51">
        <f t="shared" si="810"/>
        <v>0.29935122071915266</v>
      </c>
      <c r="H488" s="46"/>
      <c r="I488" s="46"/>
      <c r="J488" s="46">
        <f t="shared" si="811"/>
        <v>1597325.27764</v>
      </c>
      <c r="K488" s="51">
        <f t="shared" si="811"/>
        <v>1</v>
      </c>
      <c r="L488" s="51"/>
      <c r="M488" s="46">
        <f t="shared" si="812"/>
        <v>116376448.11999999</v>
      </c>
      <c r="N488" s="46">
        <f t="shared" si="812"/>
        <v>5980425.0046683587</v>
      </c>
      <c r="O488" s="46">
        <f t="shared" si="813"/>
        <v>4383099.7270283587</v>
      </c>
      <c r="P488" s="51">
        <f t="shared" si="814"/>
        <v>0.73290773207704851</v>
      </c>
      <c r="Q488" s="51">
        <f t="shared" si="815"/>
        <v>0.26709226792295149</v>
      </c>
      <c r="R488" s="51">
        <f t="shared" si="816"/>
        <v>0</v>
      </c>
      <c r="S488" s="51">
        <f t="shared" si="817"/>
        <v>0.26709226792295149</v>
      </c>
      <c r="T488" s="51">
        <f t="shared" si="818"/>
        <v>-0.26709226792295149</v>
      </c>
      <c r="U488" s="298"/>
      <c r="V488" s="113"/>
      <c r="W488" s="113"/>
      <c r="X488" s="113"/>
      <c r="Y488" s="113"/>
      <c r="Z488" s="113"/>
      <c r="AA488" s="113"/>
      <c r="AB488" s="113"/>
      <c r="AC488" s="113"/>
      <c r="AD488" s="113"/>
      <c r="AE488" s="113"/>
      <c r="AF488" s="113"/>
      <c r="AG488" s="113"/>
      <c r="AH488" s="113"/>
      <c r="AI488" s="113"/>
      <c r="AJ488" s="113"/>
      <c r="AK488" s="113"/>
      <c r="AL488" s="113"/>
      <c r="AM488" s="113"/>
      <c r="AN488" s="113"/>
      <c r="AO488" s="113"/>
      <c r="AP488" s="113"/>
      <c r="AQ488" s="113"/>
      <c r="AR488" s="113"/>
      <c r="AS488" s="113"/>
      <c r="AT488" s="113"/>
      <c r="AU488" s="113"/>
      <c r="AV488" s="113"/>
      <c r="AW488" s="113"/>
      <c r="AX488" s="113"/>
      <c r="AY488" s="113"/>
      <c r="AZ488" s="113"/>
      <c r="BA488" s="113"/>
    </row>
    <row r="489" spans="1:53" s="114" customFormat="1" x14ac:dyDescent="0.25">
      <c r="A489" s="113"/>
      <c r="B489" s="47">
        <f t="shared" si="757"/>
        <v>1</v>
      </c>
      <c r="C489" s="47">
        <f t="shared" si="807"/>
        <v>22</v>
      </c>
      <c r="D489" s="47" t="str">
        <f>'OPG hydro peers'!D26</f>
        <v>Peer Industry less OPG</v>
      </c>
      <c r="E489" s="48">
        <v>2002</v>
      </c>
      <c r="F489" s="49">
        <f>F467-F5</f>
        <v>36470.089999999997</v>
      </c>
      <c r="G489" s="50">
        <f>M489/(F489*8760)</f>
        <v>0.29177067584478383</v>
      </c>
      <c r="H489" s="49"/>
      <c r="I489" s="49"/>
      <c r="J489" s="49">
        <f>SUMIF($E$5:$E$466,$E489,J$5:J$466)-J5</f>
        <v>649466.81699999946</v>
      </c>
      <c r="K489" s="50">
        <f>SUMIF($E$5:$E$466,$E489,K$5:K$466)-K5</f>
        <v>0.84636970365943742</v>
      </c>
      <c r="L489" s="50"/>
      <c r="M489" s="49">
        <f>M467-M5</f>
        <v>93214308.592999995</v>
      </c>
      <c r="N489" s="49">
        <f>N467-N5</f>
        <v>2308826.5500503206</v>
      </c>
      <c r="O489" s="49">
        <f>N489-J489</f>
        <v>1659359.7330503212</v>
      </c>
      <c r="P489" s="50">
        <f>O489/N489</f>
        <v>0.71870263836586412</v>
      </c>
      <c r="Q489" s="50">
        <f>1-P489</f>
        <v>0.28129736163413588</v>
      </c>
      <c r="R489" s="50">
        <f>Q489*L489</f>
        <v>0</v>
      </c>
      <c r="S489" s="50">
        <f>Q489-R489</f>
        <v>0.28129736163413588</v>
      </c>
      <c r="T489" s="50">
        <f>R489-S489</f>
        <v>-0.28129736163413588</v>
      </c>
      <c r="U489" s="298"/>
      <c r="V489" s="113"/>
      <c r="W489" s="113"/>
      <c r="X489" s="113"/>
      <c r="Y489" s="113"/>
      <c r="Z489" s="113"/>
      <c r="AA489" s="113"/>
      <c r="AB489" s="113"/>
      <c r="AC489" s="113"/>
      <c r="AD489" s="113"/>
      <c r="AE489" s="113"/>
      <c r="AF489" s="113"/>
      <c r="AG489" s="113"/>
      <c r="AH489" s="113"/>
      <c r="AI489" s="113"/>
      <c r="AJ489" s="113"/>
      <c r="AK489" s="113"/>
      <c r="AL489" s="113"/>
      <c r="AM489" s="113"/>
      <c r="AN489" s="113"/>
      <c r="AO489" s="113"/>
      <c r="AP489" s="113"/>
      <c r="AQ489" s="113"/>
      <c r="AR489" s="113"/>
      <c r="AS489" s="113"/>
      <c r="AT489" s="113"/>
      <c r="AU489" s="113"/>
      <c r="AV489" s="113"/>
      <c r="AW489" s="113"/>
      <c r="AX489" s="113"/>
      <c r="AY489" s="113"/>
      <c r="AZ489" s="113"/>
      <c r="BA489" s="113"/>
    </row>
    <row r="490" spans="1:53" s="114" customFormat="1" x14ac:dyDescent="0.25">
      <c r="A490" s="113"/>
      <c r="B490" s="47">
        <f t="shared" si="757"/>
        <v>1</v>
      </c>
      <c r="C490" s="47">
        <f t="shared" si="807"/>
        <v>22</v>
      </c>
      <c r="D490" s="47" t="str">
        <f t="shared" ref="D490:D497" si="822">D489</f>
        <v>Peer Industry less OPG</v>
      </c>
      <c r="E490" s="48">
        <v>2003</v>
      </c>
      <c r="F490" s="49">
        <f t="shared" ref="F490:F510" si="823">F468-F6</f>
        <v>37130.089999999997</v>
      </c>
      <c r="G490" s="50">
        <f t="shared" ref="G490:G510" si="824">M490/(F490*8760)</f>
        <v>0.31759924778592635</v>
      </c>
      <c r="H490" s="49"/>
      <c r="I490" s="49"/>
      <c r="J490" s="49">
        <f t="shared" ref="J490:K490" si="825">SUMIF($E$5:$E$466,$E490,J$5:J$466)-J6</f>
        <v>717388.82713199977</v>
      </c>
      <c r="K490" s="50">
        <f t="shared" si="825"/>
        <v>0.84588654633860871</v>
      </c>
      <c r="L490" s="50"/>
      <c r="M490" s="49">
        <f t="shared" ref="M490:N490" si="826">M468-M6</f>
        <v>103302200.611</v>
      </c>
      <c r="N490" s="49">
        <f t="shared" si="826"/>
        <v>3408522.9037673869</v>
      </c>
      <c r="O490" s="49">
        <f t="shared" ref="O490:O510" si="827">N490-J490</f>
        <v>2691134.0766353873</v>
      </c>
      <c r="P490" s="50">
        <f t="shared" ref="P490:P510" si="828">O490/N490</f>
        <v>0.78953087675043021</v>
      </c>
      <c r="Q490" s="50">
        <f t="shared" ref="Q490:Q510" si="829">1-P490</f>
        <v>0.21046912324956979</v>
      </c>
      <c r="R490" s="50">
        <f t="shared" ref="R490:R510" si="830">Q490*L490</f>
        <v>0</v>
      </c>
      <c r="S490" s="50">
        <f t="shared" ref="S490:T490" si="831">Q490-R490</f>
        <v>0.21046912324956979</v>
      </c>
      <c r="T490" s="50">
        <f t="shared" si="831"/>
        <v>-0.21046912324956979</v>
      </c>
      <c r="U490" s="298"/>
      <c r="V490" s="113"/>
      <c r="W490" s="113"/>
      <c r="X490" s="113"/>
      <c r="Y490" s="113"/>
      <c r="Z490" s="113"/>
      <c r="AA490" s="113"/>
      <c r="AB490" s="113"/>
      <c r="AC490" s="113"/>
      <c r="AD490" s="113"/>
      <c r="AE490" s="113"/>
      <c r="AF490" s="113"/>
      <c r="AG490" s="113"/>
      <c r="AH490" s="113"/>
      <c r="AI490" s="113"/>
      <c r="AJ490" s="113"/>
      <c r="AK490" s="113"/>
      <c r="AL490" s="113"/>
      <c r="AM490" s="113"/>
      <c r="AN490" s="113"/>
      <c r="AO490" s="113"/>
      <c r="AP490" s="113"/>
      <c r="AQ490" s="113"/>
      <c r="AR490" s="113"/>
      <c r="AS490" s="113"/>
      <c r="AT490" s="113"/>
      <c r="AU490" s="113"/>
      <c r="AV490" s="113"/>
      <c r="AW490" s="113"/>
      <c r="AX490" s="113"/>
      <c r="AY490" s="113"/>
      <c r="AZ490" s="113"/>
      <c r="BA490" s="113"/>
    </row>
    <row r="491" spans="1:53" s="114" customFormat="1" x14ac:dyDescent="0.25">
      <c r="A491" s="113"/>
      <c r="B491" s="47">
        <f t="shared" si="757"/>
        <v>1</v>
      </c>
      <c r="C491" s="47">
        <f t="shared" si="807"/>
        <v>22</v>
      </c>
      <c r="D491" s="47" t="str">
        <f t="shared" si="822"/>
        <v>Peer Industry less OPG</v>
      </c>
      <c r="E491" s="48">
        <v>2004</v>
      </c>
      <c r="F491" s="49">
        <f t="shared" si="823"/>
        <v>37144.709999999992</v>
      </c>
      <c r="G491" s="50">
        <f t="shared" si="824"/>
        <v>0.29714779599773128</v>
      </c>
      <c r="H491" s="49"/>
      <c r="I491" s="49"/>
      <c r="J491" s="49">
        <f t="shared" ref="J491:K491" si="832">SUMIF($E$5:$E$466,$E491,J$5:J$466)-J7</f>
        <v>751405.92014399974</v>
      </c>
      <c r="K491" s="50">
        <f t="shared" si="832"/>
        <v>0.85037508651105154</v>
      </c>
      <c r="L491" s="50"/>
      <c r="M491" s="49">
        <f t="shared" ref="M491:N491" si="833">M469-M7</f>
        <v>96688225.894999996</v>
      </c>
      <c r="N491" s="49">
        <f t="shared" si="833"/>
        <v>3552803.4211894521</v>
      </c>
      <c r="O491" s="49">
        <f t="shared" si="827"/>
        <v>2801397.5010454524</v>
      </c>
      <c r="P491" s="50">
        <f t="shared" si="828"/>
        <v>0.78850337858196651</v>
      </c>
      <c r="Q491" s="50">
        <f t="shared" si="829"/>
        <v>0.21149662141803349</v>
      </c>
      <c r="R491" s="50">
        <f t="shared" si="830"/>
        <v>0</v>
      </c>
      <c r="S491" s="50">
        <f t="shared" ref="S491:T491" si="834">Q491-R491</f>
        <v>0.21149662141803349</v>
      </c>
      <c r="T491" s="50">
        <f t="shared" si="834"/>
        <v>-0.21149662141803349</v>
      </c>
      <c r="U491" s="298"/>
      <c r="V491" s="113"/>
      <c r="W491" s="113"/>
      <c r="X491" s="113"/>
      <c r="Y491" s="113"/>
      <c r="Z491" s="113"/>
      <c r="AA491" s="113"/>
      <c r="AB491" s="113"/>
      <c r="AC491" s="113"/>
      <c r="AD491" s="113"/>
      <c r="AE491" s="113"/>
      <c r="AF491" s="113"/>
      <c r="AG491" s="113"/>
      <c r="AH491" s="113"/>
      <c r="AI491" s="113"/>
      <c r="AJ491" s="113"/>
      <c r="AK491" s="113"/>
      <c r="AL491" s="113"/>
      <c r="AM491" s="113"/>
      <c r="AN491" s="113"/>
      <c r="AO491" s="113"/>
      <c r="AP491" s="113"/>
      <c r="AQ491" s="113"/>
      <c r="AR491" s="113"/>
      <c r="AS491" s="113"/>
      <c r="AT491" s="113"/>
      <c r="AU491" s="113"/>
      <c r="AV491" s="113"/>
      <c r="AW491" s="113"/>
      <c r="AX491" s="113"/>
      <c r="AY491" s="113"/>
      <c r="AZ491" s="113"/>
      <c r="BA491" s="113"/>
    </row>
    <row r="492" spans="1:53" s="114" customFormat="1" x14ac:dyDescent="0.25">
      <c r="A492" s="113"/>
      <c r="B492" s="47">
        <f t="shared" si="757"/>
        <v>1</v>
      </c>
      <c r="C492" s="47">
        <f t="shared" si="807"/>
        <v>22</v>
      </c>
      <c r="D492" s="47" t="str">
        <f t="shared" si="822"/>
        <v>Peer Industry less OPG</v>
      </c>
      <c r="E492" s="48">
        <v>2005</v>
      </c>
      <c r="F492" s="49">
        <f t="shared" si="823"/>
        <v>37157.509999999995</v>
      </c>
      <c r="G492" s="50">
        <f t="shared" si="824"/>
        <v>0.29974265427446939</v>
      </c>
      <c r="H492" s="49"/>
      <c r="I492" s="49"/>
      <c r="J492" s="49">
        <f t="shared" ref="J492:K492" si="835">SUMIF($E$5:$E$466,$E492,J$5:J$466)-J8</f>
        <v>786621.64495199977</v>
      </c>
      <c r="K492" s="50">
        <f t="shared" si="835"/>
        <v>0.84673098212240805</v>
      </c>
      <c r="L492" s="50"/>
      <c r="M492" s="49">
        <f t="shared" ref="M492:N492" si="836">M470-M8</f>
        <v>97566170.300999999</v>
      </c>
      <c r="N492" s="49">
        <f t="shared" si="836"/>
        <v>4540295.9481114894</v>
      </c>
      <c r="O492" s="49">
        <f t="shared" si="827"/>
        <v>3753674.3031594898</v>
      </c>
      <c r="P492" s="50">
        <f t="shared" si="828"/>
        <v>0.82674661433046215</v>
      </c>
      <c r="Q492" s="50">
        <f t="shared" si="829"/>
        <v>0.17325338566953785</v>
      </c>
      <c r="R492" s="50">
        <f t="shared" si="830"/>
        <v>0</v>
      </c>
      <c r="S492" s="50">
        <f t="shared" ref="S492:T492" si="837">Q492-R492</f>
        <v>0.17325338566953785</v>
      </c>
      <c r="T492" s="50">
        <f t="shared" si="837"/>
        <v>-0.17325338566953785</v>
      </c>
      <c r="U492" s="298"/>
      <c r="V492" s="113"/>
      <c r="W492" s="113"/>
      <c r="X492" s="113"/>
      <c r="Y492" s="113"/>
      <c r="Z492" s="113"/>
      <c r="AA492" s="113"/>
      <c r="AB492" s="113"/>
      <c r="AC492" s="113"/>
      <c r="AD492" s="113"/>
      <c r="AE492" s="113"/>
      <c r="AF492" s="113"/>
      <c r="AG492" s="113"/>
      <c r="AH492" s="113"/>
      <c r="AI492" s="113"/>
      <c r="AJ492" s="113"/>
      <c r="AK492" s="113"/>
      <c r="AL492" s="113"/>
      <c r="AM492" s="113"/>
      <c r="AN492" s="113"/>
      <c r="AO492" s="113"/>
      <c r="AP492" s="113"/>
      <c r="AQ492" s="113"/>
      <c r="AR492" s="113"/>
      <c r="AS492" s="113"/>
      <c r="AT492" s="113"/>
      <c r="AU492" s="113"/>
      <c r="AV492" s="113"/>
      <c r="AW492" s="113"/>
      <c r="AX492" s="113"/>
      <c r="AY492" s="113"/>
      <c r="AZ492" s="113"/>
      <c r="BA492" s="113"/>
    </row>
    <row r="493" spans="1:53" s="114" customFormat="1" x14ac:dyDescent="0.25">
      <c r="A493" s="113"/>
      <c r="B493" s="47">
        <f t="shared" si="757"/>
        <v>1</v>
      </c>
      <c r="C493" s="47">
        <f t="shared" si="807"/>
        <v>22</v>
      </c>
      <c r="D493" s="47" t="str">
        <f t="shared" si="822"/>
        <v>Peer Industry less OPG</v>
      </c>
      <c r="E493" s="48">
        <v>2006</v>
      </c>
      <c r="F493" s="49">
        <f t="shared" si="823"/>
        <v>37174.489999999991</v>
      </c>
      <c r="G493" s="50">
        <f t="shared" si="824"/>
        <v>0.32131268840933985</v>
      </c>
      <c r="H493" s="49"/>
      <c r="I493" s="49"/>
      <c r="J493" s="49">
        <f t="shared" ref="J493:K493" si="838">SUMIF($E$5:$E$466,$E493,J$5:J$466)-J9</f>
        <v>827769.57376800035</v>
      </c>
      <c r="K493" s="50">
        <f t="shared" si="838"/>
        <v>0.84090835089805749</v>
      </c>
      <c r="L493" s="50"/>
      <c r="M493" s="49">
        <f t="shared" ref="M493:N493" si="839">M471-M9</f>
        <v>104635005.42199999</v>
      </c>
      <c r="N493" s="49">
        <f t="shared" si="839"/>
        <v>4306387.2770293104</v>
      </c>
      <c r="O493" s="49">
        <f t="shared" si="827"/>
        <v>3478617.7032613102</v>
      </c>
      <c r="P493" s="50">
        <f t="shared" si="828"/>
        <v>0.80778097265348059</v>
      </c>
      <c r="Q493" s="50">
        <f t="shared" si="829"/>
        <v>0.19221902734651941</v>
      </c>
      <c r="R493" s="50">
        <f t="shared" si="830"/>
        <v>0</v>
      </c>
      <c r="S493" s="50">
        <f t="shared" ref="S493:T493" si="840">Q493-R493</f>
        <v>0.19221902734651941</v>
      </c>
      <c r="T493" s="50">
        <f t="shared" si="840"/>
        <v>-0.19221902734651941</v>
      </c>
      <c r="U493" s="298"/>
      <c r="V493" s="113"/>
      <c r="W493" s="113"/>
      <c r="X493" s="113"/>
      <c r="Y493" s="113"/>
      <c r="Z493" s="113"/>
      <c r="AA493" s="113"/>
      <c r="AB493" s="113"/>
      <c r="AC493" s="113"/>
      <c r="AD493" s="113"/>
      <c r="AE493" s="113"/>
      <c r="AF493" s="113"/>
      <c r="AG493" s="113"/>
      <c r="AH493" s="113"/>
      <c r="AI493" s="113"/>
      <c r="AJ493" s="113"/>
      <c r="AK493" s="113"/>
      <c r="AL493" s="113"/>
      <c r="AM493" s="113"/>
      <c r="AN493" s="113"/>
      <c r="AO493" s="113"/>
      <c r="AP493" s="113"/>
      <c r="AQ493" s="113"/>
      <c r="AR493" s="113"/>
      <c r="AS493" s="113"/>
      <c r="AT493" s="113"/>
      <c r="AU493" s="113"/>
      <c r="AV493" s="113"/>
      <c r="AW493" s="113"/>
      <c r="AX493" s="113"/>
      <c r="AY493" s="113"/>
      <c r="AZ493" s="113"/>
      <c r="BA493" s="113"/>
    </row>
    <row r="494" spans="1:53" s="114" customFormat="1" x14ac:dyDescent="0.25">
      <c r="A494" s="113"/>
      <c r="B494" s="47">
        <f t="shared" si="757"/>
        <v>1</v>
      </c>
      <c r="C494" s="47">
        <f t="shared" si="807"/>
        <v>22</v>
      </c>
      <c r="D494" s="47" t="str">
        <f t="shared" si="822"/>
        <v>Peer Industry less OPG</v>
      </c>
      <c r="E494" s="48">
        <v>2007</v>
      </c>
      <c r="F494" s="49">
        <f t="shared" si="823"/>
        <v>36502.289999999994</v>
      </c>
      <c r="G494" s="50">
        <f t="shared" si="824"/>
        <v>0.2647630732965674</v>
      </c>
      <c r="H494" s="49"/>
      <c r="I494" s="49"/>
      <c r="J494" s="49">
        <f t="shared" ref="J494:K494" si="841">SUMIF($E$5:$E$466,$E494,J$5:J$466)-J10</f>
        <v>900973.15988400008</v>
      </c>
      <c r="K494" s="50">
        <f t="shared" si="841"/>
        <v>0.84524825635024115</v>
      </c>
      <c r="L494" s="50"/>
      <c r="M494" s="49">
        <f t="shared" ref="M494:N494" si="842">M472-M10</f>
        <v>84660656.309</v>
      </c>
      <c r="N494" s="49">
        <f t="shared" si="842"/>
        <v>3814943.9819811475</v>
      </c>
      <c r="O494" s="49">
        <f t="shared" si="827"/>
        <v>2913970.8220971473</v>
      </c>
      <c r="P494" s="50">
        <f t="shared" si="828"/>
        <v>0.76383056628367219</v>
      </c>
      <c r="Q494" s="50">
        <f t="shared" si="829"/>
        <v>0.23616943371632781</v>
      </c>
      <c r="R494" s="50">
        <f t="shared" si="830"/>
        <v>0</v>
      </c>
      <c r="S494" s="50">
        <f t="shared" ref="S494:T494" si="843">Q494-R494</f>
        <v>0.23616943371632781</v>
      </c>
      <c r="T494" s="50">
        <f t="shared" si="843"/>
        <v>-0.23616943371632781</v>
      </c>
      <c r="U494" s="298"/>
      <c r="V494" s="113"/>
      <c r="W494" s="113"/>
      <c r="X494" s="113"/>
      <c r="Y494" s="113"/>
      <c r="Z494" s="113"/>
      <c r="AA494" s="113"/>
      <c r="AB494" s="113"/>
      <c r="AC494" s="113"/>
      <c r="AD494" s="113"/>
      <c r="AE494" s="113"/>
      <c r="AF494" s="113"/>
      <c r="AG494" s="113"/>
      <c r="AH494" s="113"/>
      <c r="AI494" s="113"/>
      <c r="AJ494" s="113"/>
      <c r="AK494" s="113"/>
      <c r="AL494" s="113"/>
      <c r="AM494" s="113"/>
      <c r="AN494" s="113"/>
      <c r="AO494" s="113"/>
      <c r="AP494" s="113"/>
      <c r="AQ494" s="113"/>
      <c r="AR494" s="113"/>
      <c r="AS494" s="113"/>
      <c r="AT494" s="113"/>
      <c r="AU494" s="113"/>
      <c r="AV494" s="113"/>
      <c r="AW494" s="113"/>
      <c r="AX494" s="113"/>
      <c r="AY494" s="113"/>
      <c r="AZ494" s="113"/>
      <c r="BA494" s="113"/>
    </row>
    <row r="495" spans="1:53" s="114" customFormat="1" x14ac:dyDescent="0.25">
      <c r="A495" s="113"/>
      <c r="B495" s="47">
        <f t="shared" si="757"/>
        <v>1</v>
      </c>
      <c r="C495" s="47">
        <f t="shared" si="807"/>
        <v>22</v>
      </c>
      <c r="D495" s="47" t="str">
        <f t="shared" si="822"/>
        <v>Peer Industry less OPG</v>
      </c>
      <c r="E495" s="48">
        <v>2008</v>
      </c>
      <c r="F495" s="49">
        <f t="shared" si="823"/>
        <v>36800.139999999985</v>
      </c>
      <c r="G495" s="50">
        <f t="shared" si="824"/>
        <v>0.26013202619082265</v>
      </c>
      <c r="H495" s="49"/>
      <c r="I495" s="49"/>
      <c r="J495" s="49">
        <f t="shared" ref="J495:K495" si="844">SUMIF($E$5:$E$466,$E495,J$5:J$466)-J11</f>
        <v>972332.79134400003</v>
      </c>
      <c r="K495" s="50">
        <f t="shared" si="844"/>
        <v>0.83961325723385061</v>
      </c>
      <c r="L495" s="50"/>
      <c r="M495" s="49">
        <f t="shared" ref="M495:N495" si="845">M473-M11</f>
        <v>83858560.045000002</v>
      </c>
      <c r="N495" s="49">
        <f t="shared" si="845"/>
        <v>4520341.0634936001</v>
      </c>
      <c r="O495" s="49">
        <f t="shared" si="827"/>
        <v>3548008.2721496001</v>
      </c>
      <c r="P495" s="50">
        <f t="shared" si="828"/>
        <v>0.7848983566314085</v>
      </c>
      <c r="Q495" s="50">
        <f t="shared" si="829"/>
        <v>0.2151016433685915</v>
      </c>
      <c r="R495" s="50">
        <f t="shared" si="830"/>
        <v>0</v>
      </c>
      <c r="S495" s="50">
        <f t="shared" ref="S495:T495" si="846">Q495-R495</f>
        <v>0.2151016433685915</v>
      </c>
      <c r="T495" s="50">
        <f t="shared" si="846"/>
        <v>-0.2151016433685915</v>
      </c>
      <c r="U495" s="298"/>
      <c r="V495" s="113"/>
      <c r="W495" s="113"/>
      <c r="X495" s="113"/>
      <c r="Y495" s="113"/>
      <c r="Z495" s="113"/>
      <c r="AA495" s="113"/>
      <c r="AB495" s="113"/>
      <c r="AC495" s="113"/>
      <c r="AD495" s="113"/>
      <c r="AE495" s="113"/>
      <c r="AF495" s="113"/>
      <c r="AG495" s="113"/>
      <c r="AH495" s="113"/>
      <c r="AI495" s="113"/>
      <c r="AJ495" s="113"/>
      <c r="AK495" s="113"/>
      <c r="AL495" s="113"/>
      <c r="AM495" s="113"/>
      <c r="AN495" s="113"/>
      <c r="AO495" s="113"/>
      <c r="AP495" s="113"/>
      <c r="AQ495" s="113"/>
      <c r="AR495" s="113"/>
      <c r="AS495" s="113"/>
      <c r="AT495" s="113"/>
      <c r="AU495" s="113"/>
      <c r="AV495" s="113"/>
      <c r="AW495" s="113"/>
      <c r="AX495" s="113"/>
      <c r="AY495" s="113"/>
      <c r="AZ495" s="113"/>
      <c r="BA495" s="113"/>
    </row>
    <row r="496" spans="1:53" s="114" customFormat="1" x14ac:dyDescent="0.25">
      <c r="A496" s="113"/>
      <c r="B496" s="47">
        <f t="shared" si="757"/>
        <v>1</v>
      </c>
      <c r="C496" s="47">
        <f t="shared" si="807"/>
        <v>22</v>
      </c>
      <c r="D496" s="47" t="str">
        <f t="shared" si="822"/>
        <v>Peer Industry less OPG</v>
      </c>
      <c r="E496" s="48">
        <v>2009</v>
      </c>
      <c r="F496" s="49">
        <f t="shared" si="823"/>
        <v>36948.559999999998</v>
      </c>
      <c r="G496" s="50">
        <f t="shared" si="824"/>
        <v>0.29245114598814875</v>
      </c>
      <c r="H496" s="49"/>
      <c r="I496" s="49"/>
      <c r="J496" s="49">
        <f t="shared" ref="J496:K496" si="847">SUMIF($E$5:$E$466,$E496,J$5:J$466)-J12</f>
        <v>994888.34770799999</v>
      </c>
      <c r="K496" s="50">
        <f t="shared" si="847"/>
        <v>0.8431363107123655</v>
      </c>
      <c r="L496" s="50"/>
      <c r="M496" s="49">
        <f t="shared" ref="M496:N496" si="848">M474-M12</f>
        <v>94657482.74000001</v>
      </c>
      <c r="N496" s="49">
        <f t="shared" si="848"/>
        <v>3328214.1670009466</v>
      </c>
      <c r="O496" s="49">
        <f t="shared" si="827"/>
        <v>2333325.8192929467</v>
      </c>
      <c r="P496" s="50">
        <f t="shared" si="828"/>
        <v>0.70107442075925852</v>
      </c>
      <c r="Q496" s="50">
        <f t="shared" si="829"/>
        <v>0.29892557924074148</v>
      </c>
      <c r="R496" s="50">
        <f t="shared" si="830"/>
        <v>0</v>
      </c>
      <c r="S496" s="50">
        <f t="shared" ref="S496:T496" si="849">Q496-R496</f>
        <v>0.29892557924074148</v>
      </c>
      <c r="T496" s="50">
        <f t="shared" si="849"/>
        <v>-0.29892557924074148</v>
      </c>
      <c r="U496" s="298"/>
      <c r="V496" s="113"/>
      <c r="W496" s="113"/>
      <c r="X496" s="113"/>
      <c r="Y496" s="113"/>
      <c r="Z496" s="113"/>
      <c r="AA496" s="113"/>
      <c r="AB496" s="113"/>
      <c r="AC496" s="113"/>
      <c r="AD496" s="113"/>
      <c r="AE496" s="113"/>
      <c r="AF496" s="113"/>
      <c r="AG496" s="113"/>
      <c r="AH496" s="113"/>
      <c r="AI496" s="113"/>
      <c r="AJ496" s="113"/>
      <c r="AK496" s="113"/>
      <c r="AL496" s="113"/>
      <c r="AM496" s="113"/>
      <c r="AN496" s="113"/>
      <c r="AO496" s="113"/>
      <c r="AP496" s="113"/>
      <c r="AQ496" s="113"/>
      <c r="AR496" s="113"/>
      <c r="AS496" s="113"/>
      <c r="AT496" s="113"/>
      <c r="AU496" s="113"/>
      <c r="AV496" s="113"/>
      <c r="AW496" s="113"/>
      <c r="AX496" s="113"/>
      <c r="AY496" s="113"/>
      <c r="AZ496" s="113"/>
      <c r="BA496" s="113"/>
    </row>
    <row r="497" spans="1:53" s="114" customFormat="1" x14ac:dyDescent="0.25">
      <c r="A497" s="113"/>
      <c r="B497" s="47">
        <f t="shared" si="757"/>
        <v>1</v>
      </c>
      <c r="C497" s="47">
        <f t="shared" si="807"/>
        <v>22</v>
      </c>
      <c r="D497" s="47" t="str">
        <f t="shared" si="822"/>
        <v>Peer Industry less OPG</v>
      </c>
      <c r="E497" s="48">
        <v>2010</v>
      </c>
      <c r="F497" s="49">
        <f t="shared" si="823"/>
        <v>36952.759999999995</v>
      </c>
      <c r="G497" s="50">
        <f t="shared" si="824"/>
        <v>0.29867612220694306</v>
      </c>
      <c r="H497" s="49"/>
      <c r="I497" s="49"/>
      <c r="J497" s="49">
        <f t="shared" ref="J497:K497" si="850">SUMIF($E$5:$E$466,$E497,J$5:J$466)-J13</f>
        <v>1038994.0401719997</v>
      </c>
      <c r="K497" s="50">
        <f t="shared" si="850"/>
        <v>0.84906835631524746</v>
      </c>
      <c r="L497" s="50"/>
      <c r="M497" s="49">
        <f t="shared" ref="M497:N497" si="851">M475-M13</f>
        <v>96683305.859999999</v>
      </c>
      <c r="N497" s="49">
        <f t="shared" si="851"/>
        <v>3508410.2006830964</v>
      </c>
      <c r="O497" s="49">
        <f t="shared" si="827"/>
        <v>2469416.1605110969</v>
      </c>
      <c r="P497" s="50">
        <f t="shared" si="828"/>
        <v>0.70385616825258779</v>
      </c>
      <c r="Q497" s="50">
        <f t="shared" si="829"/>
        <v>0.29614383174741221</v>
      </c>
      <c r="R497" s="50">
        <f t="shared" si="830"/>
        <v>0</v>
      </c>
      <c r="S497" s="50">
        <f t="shared" ref="S497:T497" si="852">Q497-R497</f>
        <v>0.29614383174741221</v>
      </c>
      <c r="T497" s="50">
        <f t="shared" si="852"/>
        <v>-0.29614383174741221</v>
      </c>
      <c r="U497" s="298"/>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row>
    <row r="498" spans="1:53" s="114" customFormat="1" x14ac:dyDescent="0.25">
      <c r="A498" s="113"/>
      <c r="B498" s="47">
        <f t="shared" si="757"/>
        <v>1</v>
      </c>
      <c r="C498" s="47">
        <f>IF(D498=D497,C497,C497+1)</f>
        <v>22</v>
      </c>
      <c r="D498" s="47" t="str">
        <f>D497</f>
        <v>Peer Industry less OPG</v>
      </c>
      <c r="E498" s="48">
        <v>2011</v>
      </c>
      <c r="F498" s="49">
        <f t="shared" si="823"/>
        <v>37066.269999999997</v>
      </c>
      <c r="G498" s="50">
        <f t="shared" si="824"/>
        <v>0.35263169562621949</v>
      </c>
      <c r="H498" s="49"/>
      <c r="I498" s="49"/>
      <c r="J498" s="49">
        <f t="shared" ref="J498:K498" si="853">SUMIF($E$5:$E$466,$E498,J$5:J$466)-J14</f>
        <v>1032360.987024</v>
      </c>
      <c r="K498" s="50">
        <f t="shared" si="853"/>
        <v>0.85533161264392088</v>
      </c>
      <c r="L498" s="50"/>
      <c r="M498" s="49">
        <f t="shared" ref="M498:N498" si="854">M476-M14</f>
        <v>114499696.77200001</v>
      </c>
      <c r="N498" s="49">
        <f t="shared" si="854"/>
        <v>3545613.8220533468</v>
      </c>
      <c r="O498" s="49">
        <f t="shared" si="827"/>
        <v>2513252.8350293469</v>
      </c>
      <c r="P498" s="50">
        <f t="shared" si="828"/>
        <v>0.70883434044541949</v>
      </c>
      <c r="Q498" s="50">
        <f t="shared" si="829"/>
        <v>0.29116565955458051</v>
      </c>
      <c r="R498" s="50">
        <f t="shared" si="830"/>
        <v>0</v>
      </c>
      <c r="S498" s="50">
        <f t="shared" ref="S498:T498" si="855">Q498-R498</f>
        <v>0.29116565955458051</v>
      </c>
      <c r="T498" s="50">
        <f t="shared" si="855"/>
        <v>-0.29116565955458051</v>
      </c>
      <c r="U498" s="298"/>
      <c r="V498" s="113"/>
      <c r="W498" s="113"/>
      <c r="X498" s="113"/>
      <c r="Y498" s="113"/>
      <c r="Z498" s="113"/>
      <c r="AA498" s="113"/>
      <c r="AB498" s="113"/>
      <c r="AC498" s="113"/>
      <c r="AD498" s="113"/>
      <c r="AE498" s="113"/>
      <c r="AF498" s="113"/>
      <c r="AG498" s="113"/>
      <c r="AH498" s="113"/>
      <c r="AI498" s="113"/>
      <c r="AJ498" s="113"/>
      <c r="AK498" s="113"/>
      <c r="AL498" s="113"/>
      <c r="AM498" s="113"/>
      <c r="AN498" s="113"/>
      <c r="AO498" s="113"/>
      <c r="AP498" s="113"/>
      <c r="AQ498" s="113"/>
      <c r="AR498" s="113"/>
      <c r="AS498" s="113"/>
      <c r="AT498" s="113"/>
      <c r="AU498" s="113"/>
      <c r="AV498" s="113"/>
      <c r="AW498" s="113"/>
      <c r="AX498" s="113"/>
      <c r="AY498" s="113"/>
      <c r="AZ498" s="113"/>
      <c r="BA498" s="113"/>
    </row>
    <row r="499" spans="1:53" s="114" customFormat="1" x14ac:dyDescent="0.25">
      <c r="A499" s="113"/>
      <c r="B499" s="47">
        <f t="shared" si="757"/>
        <v>1</v>
      </c>
      <c r="C499" s="47">
        <f t="shared" si="807"/>
        <v>22</v>
      </c>
      <c r="D499" s="47" t="str">
        <f>D498</f>
        <v>Peer Industry less OPG</v>
      </c>
      <c r="E499" s="48">
        <v>2012</v>
      </c>
      <c r="F499" s="49">
        <f t="shared" si="823"/>
        <v>37165.25</v>
      </c>
      <c r="G499" s="50">
        <f t="shared" si="824"/>
        <v>0.30500871733884816</v>
      </c>
      <c r="H499" s="49"/>
      <c r="I499" s="49"/>
      <c r="J499" s="49">
        <f t="shared" ref="J499:K499" si="856">SUMIF($E$5:$E$466,$E499,J$5:J$466)-J15</f>
        <v>1066953.1557480001</v>
      </c>
      <c r="K499" s="50">
        <f t="shared" si="856"/>
        <v>0.85693036216572716</v>
      </c>
      <c r="L499" s="50"/>
      <c r="M499" s="49">
        <f t="shared" ref="M499:N499" si="857">M477-M15</f>
        <v>99300953.033000007</v>
      </c>
      <c r="N499" s="49">
        <f t="shared" si="857"/>
        <v>2788053.7835380957</v>
      </c>
      <c r="O499" s="49">
        <f t="shared" si="827"/>
        <v>1721100.6277900955</v>
      </c>
      <c r="P499" s="50">
        <f t="shared" si="828"/>
        <v>0.61731256332006068</v>
      </c>
      <c r="Q499" s="50">
        <f t="shared" si="829"/>
        <v>0.38268743667993932</v>
      </c>
      <c r="R499" s="50">
        <f t="shared" si="830"/>
        <v>0</v>
      </c>
      <c r="S499" s="50">
        <f t="shared" ref="S499:T499" si="858">Q499-R499</f>
        <v>0.38268743667993932</v>
      </c>
      <c r="T499" s="50">
        <f t="shared" si="858"/>
        <v>-0.38268743667993932</v>
      </c>
      <c r="U499" s="298"/>
      <c r="V499" s="113"/>
      <c r="W499" s="113"/>
      <c r="X499" s="113"/>
      <c r="Y499" s="113"/>
      <c r="Z499" s="113"/>
      <c r="AA499" s="113"/>
      <c r="AB499" s="113"/>
      <c r="AC499" s="113"/>
      <c r="AD499" s="113"/>
      <c r="AE499" s="113"/>
      <c r="AF499" s="113"/>
      <c r="AG499" s="113"/>
      <c r="AH499" s="113"/>
      <c r="AI499" s="113"/>
      <c r="AJ499" s="113"/>
      <c r="AK499" s="113"/>
      <c r="AL499" s="113"/>
      <c r="AM499" s="113"/>
      <c r="AN499" s="113"/>
      <c r="AO499" s="113"/>
      <c r="AP499" s="113"/>
      <c r="AQ499" s="113"/>
      <c r="AR499" s="113"/>
      <c r="AS499" s="113"/>
      <c r="AT499" s="113"/>
      <c r="AU499" s="113"/>
      <c r="AV499" s="113"/>
      <c r="AW499" s="113"/>
      <c r="AX499" s="113"/>
      <c r="AY499" s="113"/>
      <c r="AZ499" s="113"/>
      <c r="BA499" s="113"/>
    </row>
    <row r="500" spans="1:53" s="114" customFormat="1" x14ac:dyDescent="0.25">
      <c r="A500" s="113"/>
      <c r="B500" s="47">
        <f t="shared" si="757"/>
        <v>1</v>
      </c>
      <c r="C500" s="47">
        <f t="shared" si="807"/>
        <v>22</v>
      </c>
      <c r="D500" s="47" t="str">
        <f>D499</f>
        <v>Peer Industry less OPG</v>
      </c>
      <c r="E500" s="48">
        <v>2013</v>
      </c>
      <c r="F500" s="49">
        <f t="shared" si="823"/>
        <v>37313.040000000001</v>
      </c>
      <c r="G500" s="50">
        <f t="shared" si="824"/>
        <v>0.28948139390778632</v>
      </c>
      <c r="H500" s="49"/>
      <c r="I500" s="49"/>
      <c r="J500" s="49">
        <f t="shared" ref="J500:K500" si="859">SUMIF($E$5:$E$466,$E500,J$5:J$466)-J16</f>
        <v>1060538.5463999999</v>
      </c>
      <c r="K500" s="50">
        <f t="shared" si="859"/>
        <v>0.85312491024904635</v>
      </c>
      <c r="L500" s="50"/>
      <c r="M500" s="49">
        <f t="shared" ref="M500:N500" si="860">M478-M16</f>
        <v>94620534.072000012</v>
      </c>
      <c r="N500" s="49">
        <f t="shared" si="860"/>
        <v>3496211.8403197997</v>
      </c>
      <c r="O500" s="49">
        <f t="shared" si="827"/>
        <v>2435673.2939197998</v>
      </c>
      <c r="P500" s="50">
        <f t="shared" si="828"/>
        <v>0.6966606730835303</v>
      </c>
      <c r="Q500" s="50">
        <f t="shared" si="829"/>
        <v>0.3033393269164697</v>
      </c>
      <c r="R500" s="50">
        <f t="shared" si="830"/>
        <v>0</v>
      </c>
      <c r="S500" s="50">
        <f t="shared" ref="S500:T500" si="861">Q500-R500</f>
        <v>0.3033393269164697</v>
      </c>
      <c r="T500" s="50">
        <f t="shared" si="861"/>
        <v>-0.3033393269164697</v>
      </c>
      <c r="U500" s="298"/>
      <c r="V500" s="113"/>
      <c r="W500" s="113"/>
      <c r="X500" s="113"/>
      <c r="Y500" s="113"/>
      <c r="Z500" s="113"/>
      <c r="AA500" s="113"/>
      <c r="AB500" s="113"/>
      <c r="AC500" s="113"/>
      <c r="AD500" s="113"/>
      <c r="AE500" s="113"/>
      <c r="AF500" s="113"/>
      <c r="AG500" s="113"/>
      <c r="AH500" s="113"/>
      <c r="AI500" s="113"/>
      <c r="AJ500" s="113"/>
      <c r="AK500" s="113"/>
      <c r="AL500" s="113"/>
      <c r="AM500" s="113"/>
      <c r="AN500" s="113"/>
      <c r="AO500" s="113"/>
      <c r="AP500" s="113"/>
      <c r="AQ500" s="113"/>
      <c r="AR500" s="113"/>
      <c r="AS500" s="113"/>
      <c r="AT500" s="113"/>
      <c r="AU500" s="113"/>
      <c r="AV500" s="113"/>
      <c r="AW500" s="113"/>
      <c r="AX500" s="113"/>
      <c r="AY500" s="113"/>
      <c r="AZ500" s="113"/>
      <c r="BA500" s="113"/>
    </row>
    <row r="501" spans="1:53" s="114" customFormat="1" x14ac:dyDescent="0.25">
      <c r="A501" s="113"/>
      <c r="B501" s="47">
        <f t="shared" ref="B501:B510" si="862">B500</f>
        <v>1</v>
      </c>
      <c r="C501" s="47">
        <f t="shared" si="807"/>
        <v>22</v>
      </c>
      <c r="D501" s="47" t="str">
        <f>D498</f>
        <v>Peer Industry less OPG</v>
      </c>
      <c r="E501" s="48">
        <v>2014</v>
      </c>
      <c r="F501" s="49">
        <f t="shared" si="823"/>
        <v>37519.869999999995</v>
      </c>
      <c r="G501" s="50">
        <f t="shared" si="824"/>
        <v>0.27465486448615434</v>
      </c>
      <c r="H501" s="49"/>
      <c r="I501" s="49"/>
      <c r="J501" s="49">
        <f t="shared" ref="J501:K501" si="863">SUMIF($E$5:$E$466,$E501,J$5:J$466)-J17</f>
        <v>1059663.4367999998</v>
      </c>
      <c r="K501" s="50">
        <f t="shared" si="863"/>
        <v>0.84930494799045908</v>
      </c>
      <c r="L501" s="50"/>
      <c r="M501" s="49">
        <f t="shared" ref="M501:N501" si="864">M479-M17</f>
        <v>90271929.738999993</v>
      </c>
      <c r="N501" s="49">
        <f t="shared" si="864"/>
        <v>3614324.8469630918</v>
      </c>
      <c r="O501" s="49">
        <f t="shared" si="827"/>
        <v>2554661.410163092</v>
      </c>
      <c r="P501" s="50">
        <f t="shared" si="828"/>
        <v>0.70681566221409964</v>
      </c>
      <c r="Q501" s="50">
        <f t="shared" si="829"/>
        <v>0.29318433778590036</v>
      </c>
      <c r="R501" s="50">
        <f t="shared" si="830"/>
        <v>0</v>
      </c>
      <c r="S501" s="50">
        <f t="shared" ref="S501:T501" si="865">Q501-R501</f>
        <v>0.29318433778590036</v>
      </c>
      <c r="T501" s="50">
        <f t="shared" si="865"/>
        <v>-0.29318433778590036</v>
      </c>
      <c r="U501" s="298"/>
      <c r="V501" s="113"/>
      <c r="W501" s="113"/>
      <c r="X501" s="113"/>
      <c r="Y501" s="113"/>
      <c r="Z501" s="113"/>
      <c r="AA501" s="113"/>
      <c r="AB501" s="113"/>
      <c r="AC501" s="113"/>
      <c r="AD501" s="113"/>
      <c r="AE501" s="113"/>
      <c r="AF501" s="113"/>
      <c r="AG501" s="113"/>
      <c r="AH501" s="113"/>
      <c r="AI501" s="113"/>
      <c r="AJ501" s="113"/>
      <c r="AK501" s="113"/>
      <c r="AL501" s="113"/>
      <c r="AM501" s="113"/>
      <c r="AN501" s="113"/>
      <c r="AO501" s="113"/>
      <c r="AP501" s="113"/>
      <c r="AQ501" s="113"/>
      <c r="AR501" s="113"/>
      <c r="AS501" s="113"/>
      <c r="AT501" s="113"/>
      <c r="AU501" s="113"/>
      <c r="AV501" s="113"/>
      <c r="AW501" s="113"/>
      <c r="AX501" s="113"/>
      <c r="AY501" s="113"/>
      <c r="AZ501" s="113"/>
      <c r="BA501" s="113"/>
    </row>
    <row r="502" spans="1:53" s="114" customFormat="1" x14ac:dyDescent="0.25">
      <c r="A502" s="113"/>
      <c r="B502" s="47">
        <f t="shared" si="862"/>
        <v>1</v>
      </c>
      <c r="C502" s="47">
        <f t="shared" si="807"/>
        <v>22</v>
      </c>
      <c r="D502" s="47" t="str">
        <f>D499</f>
        <v>Peer Industry less OPG</v>
      </c>
      <c r="E502" s="48">
        <v>2015</v>
      </c>
      <c r="F502" s="49">
        <f t="shared" si="823"/>
        <v>37450.31</v>
      </c>
      <c r="G502" s="50">
        <f t="shared" si="824"/>
        <v>0.25845787555033245</v>
      </c>
      <c r="H502" s="49"/>
      <c r="I502" s="49"/>
      <c r="J502" s="49">
        <f t="shared" ref="J502:K502" si="866">SUMIF($E$5:$E$466,$E502,J$5:J$466)-J18</f>
        <v>1100597.6244000001</v>
      </c>
      <c r="K502" s="50">
        <f t="shared" si="866"/>
        <v>0.83507864053957914</v>
      </c>
      <c r="L502" s="50"/>
      <c r="M502" s="49">
        <f t="shared" ref="M502:N502" si="867">M480-M18</f>
        <v>84790909.436999992</v>
      </c>
      <c r="N502" s="49">
        <f t="shared" si="867"/>
        <v>2813914.5210698694</v>
      </c>
      <c r="O502" s="49">
        <f t="shared" si="827"/>
        <v>1713316.8966698693</v>
      </c>
      <c r="P502" s="50">
        <f t="shared" si="828"/>
        <v>0.60887311389205045</v>
      </c>
      <c r="Q502" s="50">
        <f t="shared" si="829"/>
        <v>0.39112688610794955</v>
      </c>
      <c r="R502" s="50">
        <f t="shared" si="830"/>
        <v>0</v>
      </c>
      <c r="S502" s="50">
        <f t="shared" ref="S502:T502" si="868">Q502-R502</f>
        <v>0.39112688610794955</v>
      </c>
      <c r="T502" s="50">
        <f t="shared" si="868"/>
        <v>-0.39112688610794955</v>
      </c>
      <c r="U502" s="298"/>
      <c r="V502" s="113"/>
      <c r="W502" s="113"/>
      <c r="X502" s="113"/>
      <c r="Y502" s="113"/>
      <c r="Z502" s="113"/>
      <c r="AA502" s="113"/>
      <c r="AB502" s="113"/>
      <c r="AC502" s="113"/>
      <c r="AD502" s="113"/>
      <c r="AE502" s="113"/>
      <c r="AF502" s="113"/>
      <c r="AG502" s="113"/>
      <c r="AH502" s="113"/>
      <c r="AI502" s="113"/>
      <c r="AJ502" s="113"/>
      <c r="AK502" s="113"/>
      <c r="AL502" s="113"/>
      <c r="AM502" s="113"/>
      <c r="AN502" s="113"/>
      <c r="AO502" s="113"/>
      <c r="AP502" s="113"/>
      <c r="AQ502" s="113"/>
      <c r="AR502" s="113"/>
      <c r="AS502" s="113"/>
      <c r="AT502" s="113"/>
      <c r="AU502" s="113"/>
      <c r="AV502" s="113"/>
      <c r="AW502" s="113"/>
      <c r="AX502" s="113"/>
      <c r="AY502" s="113"/>
      <c r="AZ502" s="113"/>
      <c r="BA502" s="113"/>
    </row>
    <row r="503" spans="1:53" s="114" customFormat="1" x14ac:dyDescent="0.25">
      <c r="A503" s="113"/>
      <c r="B503" s="47">
        <f t="shared" si="862"/>
        <v>1</v>
      </c>
      <c r="C503" s="47">
        <f t="shared" si="807"/>
        <v>22</v>
      </c>
      <c r="D503" s="47" t="str">
        <f>D500</f>
        <v>Peer Industry less OPG</v>
      </c>
      <c r="E503" s="48">
        <v>2016</v>
      </c>
      <c r="F503" s="49">
        <f t="shared" si="823"/>
        <v>37498.119999999995</v>
      </c>
      <c r="G503" s="50">
        <f t="shared" si="824"/>
        <v>0.28412195797473822</v>
      </c>
      <c r="H503" s="49"/>
      <c r="I503" s="49"/>
      <c r="J503" s="49">
        <f t="shared" ref="J503:K503" si="869">SUMIF($E$5:$E$466,$E503,J$5:J$466)-J19</f>
        <v>1135758.6455999999</v>
      </c>
      <c r="K503" s="50">
        <f t="shared" si="869"/>
        <v>0.85338516773492934</v>
      </c>
      <c r="L503" s="50"/>
      <c r="M503" s="49">
        <f t="shared" ref="M503:N503" si="870">M481-M19</f>
        <v>93329384.047000006</v>
      </c>
      <c r="N503" s="49">
        <f t="shared" si="870"/>
        <v>2821000.9646859728</v>
      </c>
      <c r="O503" s="49">
        <f t="shared" si="827"/>
        <v>1685242.3190859728</v>
      </c>
      <c r="P503" s="50">
        <f t="shared" si="828"/>
        <v>0.59739161389247175</v>
      </c>
      <c r="Q503" s="50">
        <f t="shared" si="829"/>
        <v>0.40260838610752825</v>
      </c>
      <c r="R503" s="50">
        <f t="shared" si="830"/>
        <v>0</v>
      </c>
      <c r="S503" s="50">
        <f t="shared" ref="S503:T503" si="871">Q503-R503</f>
        <v>0.40260838610752825</v>
      </c>
      <c r="T503" s="50">
        <f t="shared" si="871"/>
        <v>-0.40260838610752825</v>
      </c>
      <c r="U503" s="298"/>
      <c r="V503" s="113"/>
      <c r="W503" s="113"/>
      <c r="X503" s="113"/>
      <c r="Y503" s="113"/>
      <c r="Z503" s="113"/>
      <c r="AA503" s="113"/>
      <c r="AB503" s="113"/>
      <c r="AC503" s="113"/>
      <c r="AD503" s="113"/>
      <c r="AE503" s="113"/>
      <c r="AF503" s="113"/>
      <c r="AG503" s="113"/>
      <c r="AH503" s="113"/>
      <c r="AI503" s="113"/>
      <c r="AJ503" s="113"/>
      <c r="AK503" s="113"/>
      <c r="AL503" s="113"/>
      <c r="AM503" s="113"/>
      <c r="AN503" s="113"/>
      <c r="AO503" s="113"/>
      <c r="AP503" s="113"/>
      <c r="AQ503" s="113"/>
      <c r="AR503" s="113"/>
      <c r="AS503" s="113"/>
      <c r="AT503" s="113"/>
      <c r="AU503" s="113"/>
      <c r="AV503" s="113"/>
      <c r="AW503" s="113"/>
      <c r="AX503" s="113"/>
      <c r="AY503" s="113"/>
      <c r="AZ503" s="113"/>
      <c r="BA503" s="113"/>
    </row>
    <row r="504" spans="1:53" s="114" customFormat="1" x14ac:dyDescent="0.25">
      <c r="A504" s="113"/>
      <c r="B504" s="47">
        <f t="shared" si="862"/>
        <v>1</v>
      </c>
      <c r="C504" s="47">
        <f t="shared" si="807"/>
        <v>22</v>
      </c>
      <c r="D504" s="47" t="str">
        <f>D501</f>
        <v>Peer Industry less OPG</v>
      </c>
      <c r="E504" s="48">
        <v>2017</v>
      </c>
      <c r="F504" s="49">
        <f t="shared" si="823"/>
        <v>37561.72</v>
      </c>
      <c r="G504" s="50">
        <f t="shared" si="824"/>
        <v>0.32118112299706653</v>
      </c>
      <c r="H504" s="49"/>
      <c r="I504" s="49"/>
      <c r="J504" s="49">
        <f t="shared" ref="J504:K504" si="872">SUMIF($E$5:$E$466,$E504,J$5:J$466)-J20</f>
        <v>1103791.8515999999</v>
      </c>
      <c r="K504" s="50">
        <f t="shared" si="872"/>
        <v>0.84778190486613081</v>
      </c>
      <c r="L504" s="50"/>
      <c r="M504" s="49">
        <f t="shared" ref="M504:N504" si="873">M482-M20</f>
        <v>105681651.00300002</v>
      </c>
      <c r="N504" s="49">
        <f t="shared" si="873"/>
        <v>3265614.7990248306</v>
      </c>
      <c r="O504" s="49">
        <f t="shared" si="827"/>
        <v>2161822.9474248309</v>
      </c>
      <c r="P504" s="50">
        <f t="shared" si="828"/>
        <v>0.66199569773826017</v>
      </c>
      <c r="Q504" s="50">
        <f t="shared" si="829"/>
        <v>0.33800430226173983</v>
      </c>
      <c r="R504" s="50">
        <f t="shared" si="830"/>
        <v>0</v>
      </c>
      <c r="S504" s="50">
        <f t="shared" ref="S504:T504" si="874">Q504-R504</f>
        <v>0.33800430226173983</v>
      </c>
      <c r="T504" s="50">
        <f t="shared" si="874"/>
        <v>-0.33800430226173983</v>
      </c>
      <c r="U504" s="298"/>
      <c r="V504" s="113"/>
      <c r="W504" s="113"/>
      <c r="X504" s="113"/>
      <c r="Y504" s="113"/>
      <c r="Z504" s="113"/>
      <c r="AA504" s="113"/>
      <c r="AB504" s="113"/>
      <c r="AC504" s="113"/>
      <c r="AD504" s="113"/>
      <c r="AE504" s="113"/>
      <c r="AF504" s="113"/>
      <c r="AG504" s="113"/>
      <c r="AH504" s="113"/>
      <c r="AI504" s="113"/>
      <c r="AJ504" s="113"/>
      <c r="AK504" s="113"/>
      <c r="AL504" s="113"/>
      <c r="AM504" s="113"/>
      <c r="AN504" s="113"/>
      <c r="AO504" s="113"/>
      <c r="AP504" s="113"/>
      <c r="AQ504" s="113"/>
      <c r="AR504" s="113"/>
      <c r="AS504" s="113"/>
      <c r="AT504" s="113"/>
      <c r="AU504" s="113"/>
      <c r="AV504" s="113"/>
      <c r="AW504" s="113"/>
      <c r="AX504" s="113"/>
      <c r="AY504" s="113"/>
      <c r="AZ504" s="113"/>
      <c r="BA504" s="113"/>
    </row>
    <row r="505" spans="1:53" s="114" customFormat="1" x14ac:dyDescent="0.25">
      <c r="A505" s="113"/>
      <c r="B505" s="47">
        <f t="shared" si="862"/>
        <v>1</v>
      </c>
      <c r="C505" s="47">
        <f t="shared" si="807"/>
        <v>22</v>
      </c>
      <c r="D505" s="47" t="str">
        <f t="shared" ref="D505" si="875">D502</f>
        <v>Peer Industry less OPG</v>
      </c>
      <c r="E505" s="48">
        <v>2018</v>
      </c>
      <c r="F505" s="49">
        <f t="shared" si="823"/>
        <v>37629.799999999996</v>
      </c>
      <c r="G505" s="50">
        <f t="shared" si="824"/>
        <v>0.31481534843741232</v>
      </c>
      <c r="H505" s="49"/>
      <c r="I505" s="49"/>
      <c r="J505" s="49">
        <f t="shared" ref="J505:K505" si="876">SUMIF($E$5:$E$466,$E505,J$5:J$466)-J21</f>
        <v>1198310.2740000002</v>
      </c>
      <c r="K505" s="50">
        <f t="shared" si="876"/>
        <v>0.8540427025305497</v>
      </c>
      <c r="L505" s="50"/>
      <c r="M505" s="49">
        <f t="shared" ref="M505:N505" si="877">M483-M21</f>
        <v>103774802.124</v>
      </c>
      <c r="N505" s="49">
        <f t="shared" si="877"/>
        <v>3425395.5574299395</v>
      </c>
      <c r="O505" s="49">
        <f t="shared" si="827"/>
        <v>2227085.2834299393</v>
      </c>
      <c r="P505" s="50">
        <f t="shared" si="828"/>
        <v>0.65016878958671631</v>
      </c>
      <c r="Q505" s="50">
        <f t="shared" si="829"/>
        <v>0.34983121041328369</v>
      </c>
      <c r="R505" s="50">
        <f t="shared" si="830"/>
        <v>0</v>
      </c>
      <c r="S505" s="50">
        <f t="shared" ref="S505:T505" si="878">Q505-R505</f>
        <v>0.34983121041328369</v>
      </c>
      <c r="T505" s="50">
        <f t="shared" si="878"/>
        <v>-0.34983121041328369</v>
      </c>
      <c r="U505" s="298"/>
      <c r="V505" s="113"/>
      <c r="W505" s="113"/>
      <c r="X505" s="113"/>
      <c r="Y505" s="113"/>
      <c r="Z505" s="113"/>
      <c r="AA505" s="113"/>
      <c r="AB505" s="113"/>
      <c r="AC505" s="113"/>
      <c r="AD505" s="113"/>
      <c r="AE505" s="113"/>
      <c r="AF505" s="113"/>
      <c r="AG505" s="113"/>
      <c r="AH505" s="113"/>
      <c r="AI505" s="113"/>
      <c r="AJ505" s="113"/>
      <c r="AK505" s="113"/>
      <c r="AL505" s="113"/>
      <c r="AM505" s="113"/>
      <c r="AN505" s="113"/>
      <c r="AO505" s="113"/>
      <c r="AP505" s="113"/>
      <c r="AQ505" s="113"/>
      <c r="AR505" s="113"/>
      <c r="AS505" s="113"/>
      <c r="AT505" s="113"/>
      <c r="AU505" s="113"/>
      <c r="AV505" s="113"/>
      <c r="AW505" s="113"/>
      <c r="AX505" s="113"/>
      <c r="AY505" s="113"/>
      <c r="AZ505" s="113"/>
      <c r="BA505" s="113"/>
    </row>
    <row r="506" spans="1:53" s="114" customFormat="1" x14ac:dyDescent="0.25">
      <c r="A506" s="113"/>
      <c r="B506" s="47">
        <f t="shared" si="862"/>
        <v>1</v>
      </c>
      <c r="C506" s="47">
        <f t="shared" si="807"/>
        <v>22</v>
      </c>
      <c r="D506" s="47" t="str">
        <f>D503</f>
        <v>Peer Industry less OPG</v>
      </c>
      <c r="E506" s="48">
        <v>2019</v>
      </c>
      <c r="F506" s="49">
        <f t="shared" si="823"/>
        <v>37613.89</v>
      </c>
      <c r="G506" s="50">
        <f t="shared" si="824"/>
        <v>0.31560905929047089</v>
      </c>
      <c r="H506" s="49"/>
      <c r="I506" s="49"/>
      <c r="J506" s="49">
        <f t="shared" ref="J506:K506" si="879">SUMIF($E$5:$E$466,$E506,J$5:J$466)-J22</f>
        <v>1173816.3744000001</v>
      </c>
      <c r="K506" s="50">
        <f t="shared" si="879"/>
        <v>0.85245651297605951</v>
      </c>
      <c r="L506" s="50"/>
      <c r="M506" s="49">
        <f t="shared" ref="M506:N506" si="880">M484-M22</f>
        <v>103992451.68699999</v>
      </c>
      <c r="N506" s="49">
        <f t="shared" si="880"/>
        <v>3410891.5656856671</v>
      </c>
      <c r="O506" s="49">
        <f t="shared" si="827"/>
        <v>2237075.191285667</v>
      </c>
      <c r="P506" s="50">
        <f t="shared" si="828"/>
        <v>0.6558623011622956</v>
      </c>
      <c r="Q506" s="50">
        <f t="shared" si="829"/>
        <v>0.3441376988377044</v>
      </c>
      <c r="R506" s="50">
        <f t="shared" si="830"/>
        <v>0</v>
      </c>
      <c r="S506" s="50">
        <f t="shared" ref="S506:T506" si="881">Q506-R506</f>
        <v>0.3441376988377044</v>
      </c>
      <c r="T506" s="50">
        <f t="shared" si="881"/>
        <v>-0.3441376988377044</v>
      </c>
      <c r="U506" s="298"/>
      <c r="V506" s="113"/>
      <c r="W506" s="113"/>
      <c r="X506" s="113"/>
      <c r="Y506" s="113"/>
      <c r="Z506" s="113"/>
      <c r="AA506" s="113"/>
      <c r="AB506" s="113"/>
      <c r="AC506" s="113"/>
      <c r="AD506" s="113"/>
      <c r="AE506" s="113"/>
      <c r="AF506" s="113"/>
      <c r="AG506" s="113"/>
      <c r="AH506" s="113"/>
      <c r="AI506" s="113"/>
      <c r="AJ506" s="113"/>
      <c r="AK506" s="113"/>
      <c r="AL506" s="113"/>
      <c r="AM506" s="113"/>
      <c r="AN506" s="113"/>
      <c r="AO506" s="113"/>
      <c r="AP506" s="113"/>
      <c r="AQ506" s="113"/>
      <c r="AR506" s="113"/>
      <c r="AS506" s="113"/>
      <c r="AT506" s="113"/>
      <c r="AU506" s="113"/>
      <c r="AV506" s="113"/>
      <c r="AW506" s="113"/>
      <c r="AX506" s="113"/>
      <c r="AY506" s="113"/>
      <c r="AZ506" s="113"/>
      <c r="BA506" s="113"/>
    </row>
    <row r="507" spans="1:53" s="114" customFormat="1" x14ac:dyDescent="0.25">
      <c r="A507" s="113"/>
      <c r="B507" s="47">
        <f t="shared" si="862"/>
        <v>1</v>
      </c>
      <c r="C507" s="47">
        <f t="shared" si="807"/>
        <v>22</v>
      </c>
      <c r="D507" s="47" t="str">
        <f t="shared" ref="D507" si="882">D504</f>
        <v>Peer Industry less OPG</v>
      </c>
      <c r="E507" s="48">
        <v>2020</v>
      </c>
      <c r="F507" s="49">
        <f t="shared" si="823"/>
        <v>38116.49</v>
      </c>
      <c r="G507" s="50">
        <f t="shared" si="824"/>
        <v>0.30270682346640626</v>
      </c>
      <c r="H507" s="49"/>
      <c r="I507" s="49"/>
      <c r="J507" s="49">
        <f t="shared" ref="J507:K507" si="883">SUMIF($E$5:$E$466,$E507,J$5:J$466)-J23</f>
        <v>1182956.5440000002</v>
      </c>
      <c r="K507" s="50">
        <f t="shared" si="883"/>
        <v>0.8541424902705661</v>
      </c>
      <c r="L507" s="50"/>
      <c r="M507" s="49">
        <f t="shared" ref="M507:N507" si="884">M485-M23</f>
        <v>101073945.29999998</v>
      </c>
      <c r="N507" s="49">
        <f t="shared" si="884"/>
        <v>2752478.322565631</v>
      </c>
      <c r="O507" s="49">
        <f t="shared" si="827"/>
        <v>1569521.7785656308</v>
      </c>
      <c r="P507" s="50">
        <f t="shared" si="828"/>
        <v>0.57022130408738458</v>
      </c>
      <c r="Q507" s="50">
        <f t="shared" si="829"/>
        <v>0.42977869591261542</v>
      </c>
      <c r="R507" s="50">
        <f t="shared" si="830"/>
        <v>0</v>
      </c>
      <c r="S507" s="50">
        <f t="shared" ref="S507:T507" si="885">Q507-R507</f>
        <v>0.42977869591261542</v>
      </c>
      <c r="T507" s="50">
        <f t="shared" si="885"/>
        <v>-0.42977869591261542</v>
      </c>
      <c r="U507" s="298"/>
      <c r="V507" s="113"/>
      <c r="W507" s="113"/>
      <c r="X507" s="113"/>
      <c r="Y507" s="113"/>
      <c r="Z507" s="113"/>
      <c r="AA507" s="113"/>
      <c r="AB507" s="113"/>
      <c r="AC507" s="113"/>
      <c r="AD507" s="113"/>
      <c r="AE507" s="113"/>
      <c r="AF507" s="113"/>
      <c r="AG507" s="113"/>
      <c r="AH507" s="113"/>
      <c r="AI507" s="113"/>
      <c r="AJ507" s="113"/>
      <c r="AK507" s="113"/>
      <c r="AL507" s="113"/>
      <c r="AM507" s="113"/>
      <c r="AN507" s="113"/>
      <c r="AO507" s="113"/>
      <c r="AP507" s="113"/>
      <c r="AQ507" s="113"/>
      <c r="AR507" s="113"/>
      <c r="AS507" s="113"/>
      <c r="AT507" s="113"/>
      <c r="AU507" s="113"/>
      <c r="AV507" s="113"/>
      <c r="AW507" s="113"/>
      <c r="AX507" s="113"/>
      <c r="AY507" s="113"/>
      <c r="AZ507" s="113"/>
      <c r="BA507" s="113"/>
    </row>
    <row r="508" spans="1:53" s="114" customFormat="1" x14ac:dyDescent="0.25">
      <c r="A508" s="113"/>
      <c r="B508" s="47">
        <f t="shared" si="862"/>
        <v>1</v>
      </c>
      <c r="C508" s="47">
        <f t="shared" si="807"/>
        <v>22</v>
      </c>
      <c r="D508" s="47" t="str">
        <f>D505</f>
        <v>Peer Industry less OPG</v>
      </c>
      <c r="E508" s="48">
        <v>2021</v>
      </c>
      <c r="F508" s="49">
        <f t="shared" si="823"/>
        <v>38150.049999999996</v>
      </c>
      <c r="G508" s="50">
        <f t="shared" si="824"/>
        <v>0.25426617155130521</v>
      </c>
      <c r="H508" s="49"/>
      <c r="I508" s="49"/>
      <c r="J508" s="49">
        <f t="shared" ref="J508:K508" si="886">SUMIF($E$5:$E$466,$E508,J$5:J$466)-J24</f>
        <v>1215767.40228</v>
      </c>
      <c r="K508" s="50">
        <f t="shared" si="886"/>
        <v>0.83904793044895654</v>
      </c>
      <c r="L508" s="50"/>
      <c r="M508" s="49">
        <f t="shared" ref="M508:N508" si="887">M486-M24</f>
        <v>84974340.30400002</v>
      </c>
      <c r="N508" s="49">
        <f t="shared" si="887"/>
        <v>3687169.5916074789</v>
      </c>
      <c r="O508" s="49">
        <f t="shared" si="827"/>
        <v>2471402.1893274789</v>
      </c>
      <c r="P508" s="50">
        <f t="shared" si="828"/>
        <v>0.6702708209985081</v>
      </c>
      <c r="Q508" s="50">
        <f t="shared" si="829"/>
        <v>0.3297291790014919</v>
      </c>
      <c r="R508" s="50">
        <f t="shared" si="830"/>
        <v>0</v>
      </c>
      <c r="S508" s="50">
        <f t="shared" ref="S508:T508" si="888">Q508-R508</f>
        <v>0.3297291790014919</v>
      </c>
      <c r="T508" s="50">
        <f t="shared" si="888"/>
        <v>-0.3297291790014919</v>
      </c>
      <c r="U508" s="298"/>
      <c r="V508" s="113"/>
      <c r="W508" s="113"/>
      <c r="X508" s="113"/>
      <c r="Y508" s="113"/>
      <c r="Z508" s="113"/>
      <c r="AA508" s="113"/>
      <c r="AB508" s="113"/>
      <c r="AC508" s="113"/>
      <c r="AD508" s="113"/>
      <c r="AE508" s="113"/>
      <c r="AF508" s="113"/>
      <c r="AG508" s="113"/>
      <c r="AH508" s="113"/>
      <c r="AI508" s="113"/>
      <c r="AJ508" s="113"/>
      <c r="AK508" s="113"/>
      <c r="AL508" s="113"/>
      <c r="AM508" s="113"/>
      <c r="AN508" s="113"/>
      <c r="AO508" s="113"/>
      <c r="AP508" s="113"/>
      <c r="AQ508" s="113"/>
      <c r="AR508" s="113"/>
      <c r="AS508" s="113"/>
      <c r="AT508" s="113"/>
      <c r="AU508" s="113"/>
      <c r="AV508" s="113"/>
      <c r="AW508" s="113"/>
      <c r="AX508" s="113"/>
      <c r="AY508" s="113"/>
      <c r="AZ508" s="113"/>
      <c r="BA508" s="113"/>
    </row>
    <row r="509" spans="1:53" s="114" customFormat="1" x14ac:dyDescent="0.25">
      <c r="A509" s="113"/>
      <c r="B509" s="47">
        <f t="shared" si="862"/>
        <v>1</v>
      </c>
      <c r="C509" s="47">
        <f t="shared" si="807"/>
        <v>22</v>
      </c>
      <c r="D509" s="47" t="str">
        <f t="shared" ref="D509" si="889">D506</f>
        <v>Peer Industry less OPG</v>
      </c>
      <c r="E509" s="48">
        <v>2022</v>
      </c>
      <c r="F509" s="49">
        <f t="shared" si="823"/>
        <v>37674.800000000003</v>
      </c>
      <c r="G509" s="50">
        <f t="shared" si="824"/>
        <v>0.25136585706575276</v>
      </c>
      <c r="H509" s="49"/>
      <c r="I509" s="49"/>
      <c r="J509" s="49">
        <f t="shared" ref="J509:K509" si="890">SUMIF($E$5:$E$466,$E509,J$5:J$466)-J25</f>
        <v>1235531.8739999998</v>
      </c>
      <c r="K509" s="50">
        <f t="shared" si="890"/>
        <v>0.84041506997954463</v>
      </c>
      <c r="L509" s="50"/>
      <c r="M509" s="49">
        <f t="shared" ref="M509:N509" si="891">M487-M25</f>
        <v>82958587.511999995</v>
      </c>
      <c r="N509" s="49">
        <f t="shared" si="891"/>
        <v>5360444.3519855235</v>
      </c>
      <c r="O509" s="49">
        <f t="shared" si="827"/>
        <v>4124912.4779855236</v>
      </c>
      <c r="P509" s="50">
        <f t="shared" si="828"/>
        <v>0.76950943002656946</v>
      </c>
      <c r="Q509" s="50">
        <f t="shared" si="829"/>
        <v>0.23049056997343054</v>
      </c>
      <c r="R509" s="50">
        <f t="shared" si="830"/>
        <v>0</v>
      </c>
      <c r="S509" s="50">
        <f t="shared" ref="S509:T509" si="892">Q509-R509</f>
        <v>0.23049056997343054</v>
      </c>
      <c r="T509" s="50">
        <f t="shared" si="892"/>
        <v>-0.23049056997343054</v>
      </c>
      <c r="U509" s="298"/>
      <c r="V509" s="113"/>
      <c r="W509" s="113"/>
      <c r="X509" s="113"/>
      <c r="Y509" s="113"/>
      <c r="Z509" s="113"/>
      <c r="AA509" s="113"/>
      <c r="AB509" s="113"/>
      <c r="AC509" s="113"/>
      <c r="AD509" s="113"/>
      <c r="AE509" s="113"/>
      <c r="AF509" s="113"/>
      <c r="AG509" s="113"/>
      <c r="AH509" s="113"/>
      <c r="AI509" s="113"/>
      <c r="AJ509" s="113"/>
      <c r="AK509" s="113"/>
      <c r="AL509" s="113"/>
      <c r="AM509" s="113"/>
      <c r="AN509" s="113"/>
      <c r="AO509" s="113"/>
      <c r="AP509" s="113"/>
      <c r="AQ509" s="113"/>
      <c r="AR509" s="113"/>
      <c r="AS509" s="113"/>
      <c r="AT509" s="113"/>
      <c r="AU509" s="113"/>
      <c r="AV509" s="113"/>
      <c r="AW509" s="113"/>
      <c r="AX509" s="113"/>
      <c r="AY509" s="113"/>
      <c r="AZ509" s="113"/>
      <c r="BA509" s="113"/>
    </row>
    <row r="510" spans="1:53" s="114" customFormat="1" x14ac:dyDescent="0.25">
      <c r="A510" s="113"/>
      <c r="B510" s="47">
        <f t="shared" si="862"/>
        <v>1</v>
      </c>
      <c r="C510" s="47">
        <f t="shared" si="807"/>
        <v>22</v>
      </c>
      <c r="D510" s="47" t="str">
        <f>D507</f>
        <v>Peer Industry less OPG</v>
      </c>
      <c r="E510" s="48">
        <v>2023</v>
      </c>
      <c r="F510" s="49">
        <f t="shared" si="823"/>
        <v>37845.21</v>
      </c>
      <c r="G510" s="50">
        <f t="shared" si="824"/>
        <v>0.24828327963882596</v>
      </c>
      <c r="H510" s="49"/>
      <c r="I510" s="49"/>
      <c r="J510" s="49">
        <f t="shared" ref="J510:K510" si="893">SUMIF($E$5:$E$466,$E510,J$5:J$466)-J26</f>
        <v>1353692.6099999999</v>
      </c>
      <c r="K510" s="50">
        <f t="shared" si="893"/>
        <v>0.84747460579853839</v>
      </c>
      <c r="L510" s="50"/>
      <c r="M510" s="49">
        <f t="shared" ref="M510:N510" si="894">M488-M26</f>
        <v>82311875.831</v>
      </c>
      <c r="N510" s="49">
        <f t="shared" si="894"/>
        <v>4463714.4365083594</v>
      </c>
      <c r="O510" s="49">
        <f t="shared" si="827"/>
        <v>3110021.8265083595</v>
      </c>
      <c r="P510" s="50">
        <f t="shared" si="828"/>
        <v>0.6967340475617666</v>
      </c>
      <c r="Q510" s="50">
        <f t="shared" si="829"/>
        <v>0.3032659524382334</v>
      </c>
      <c r="R510" s="50">
        <f t="shared" si="830"/>
        <v>0</v>
      </c>
      <c r="S510" s="50">
        <f t="shared" ref="S510" si="895">Q510-R510</f>
        <v>0.3032659524382334</v>
      </c>
      <c r="T510" s="50">
        <f>R510-S510</f>
        <v>-0.3032659524382334</v>
      </c>
      <c r="U510" s="298"/>
      <c r="V510" s="113"/>
      <c r="W510" s="113"/>
      <c r="X510" s="113"/>
      <c r="Y510" s="113"/>
      <c r="Z510" s="113"/>
      <c r="AA510" s="113"/>
      <c r="AB510" s="113"/>
      <c r="AC510" s="113"/>
      <c r="AD510" s="113"/>
      <c r="AE510" s="113"/>
      <c r="AF510" s="113"/>
      <c r="AG510" s="113"/>
      <c r="AH510" s="113"/>
      <c r="AI510" s="113"/>
      <c r="AJ510" s="113"/>
      <c r="AK510" s="113"/>
      <c r="AL510" s="113"/>
      <c r="AM510" s="113"/>
      <c r="AN510" s="113"/>
      <c r="AO510" s="113"/>
      <c r="AP510" s="113"/>
      <c r="AQ510" s="113"/>
      <c r="AR510" s="113"/>
      <c r="AS510" s="113"/>
      <c r="AT510" s="113"/>
      <c r="AU510" s="113"/>
      <c r="AV510" s="113"/>
      <c r="AW510" s="113"/>
      <c r="AX510" s="113"/>
      <c r="AY510" s="113"/>
      <c r="AZ510" s="113"/>
      <c r="BA510" s="113"/>
    </row>
    <row r="511" spans="1:53" x14ac:dyDescent="0.25">
      <c r="A511" s="113"/>
      <c r="B511" s="44">
        <f>B488</f>
        <v>1</v>
      </c>
      <c r="C511" s="44">
        <f>IF(D511=D510,C510,C510+1)</f>
        <v>23</v>
      </c>
      <c r="D511" s="44" t="str">
        <f>'OPG hydro peers'!D27</f>
        <v>FERC Peers + OPG</v>
      </c>
      <c r="E511" s="45">
        <v>2002</v>
      </c>
      <c r="F511" s="46">
        <f>SUMIF($E$5:$E$378,E511,$F$5:$F$378)</f>
        <v>25535.899999999994</v>
      </c>
      <c r="G511" s="51">
        <f>M511/(F511*8760)</f>
        <v>0.3642587252754968</v>
      </c>
      <c r="H511" s="46"/>
      <c r="I511" s="46"/>
      <c r="J511" s="46">
        <f>SUMIF($E$5:$E$378,$E511,J$5:J$378)</f>
        <v>422835.11799999996</v>
      </c>
      <c r="K511" s="51">
        <f>SUMIF($E$27:$E$378,$E511,K$27:K$378)</f>
        <v>0.3973983692524688</v>
      </c>
      <c r="L511" s="51"/>
      <c r="M511" s="46">
        <f>SUMIF($E$5:$E$378,$E511,M$5:M$378)</f>
        <v>81482667.592999995</v>
      </c>
      <c r="N511" s="46">
        <f>SUMIF($E$5:$E$378,$E511,N$5:N$378)</f>
        <v>3226061.1845463207</v>
      </c>
      <c r="O511" s="46">
        <f>N511-J511</f>
        <v>2803226.0665463209</v>
      </c>
      <c r="P511" s="51">
        <f>O511/N511</f>
        <v>0.86893146353655937</v>
      </c>
      <c r="Q511" s="51">
        <f>1-P511</f>
        <v>0.13106853646344063</v>
      </c>
      <c r="R511" s="51">
        <f>Q511*L511</f>
        <v>0</v>
      </c>
      <c r="S511" s="51">
        <f>Q511-R511</f>
        <v>0.13106853646344063</v>
      </c>
      <c r="T511" s="51">
        <f>R511-S511</f>
        <v>-0.13106853646344063</v>
      </c>
      <c r="U511" s="298"/>
    </row>
    <row r="512" spans="1:53" x14ac:dyDescent="0.25">
      <c r="A512" s="113"/>
      <c r="B512" s="44">
        <f t="shared" ref="B512:B532" si="896">B511</f>
        <v>1</v>
      </c>
      <c r="C512" s="44">
        <f t="shared" ref="C512:C532" si="897">IF(D512=D511,C511,C511+1)</f>
        <v>23</v>
      </c>
      <c r="D512" s="44" t="str">
        <f t="shared" ref="D512:D522" si="898">D511</f>
        <v>FERC Peers + OPG</v>
      </c>
      <c r="E512" s="45">
        <v>2003</v>
      </c>
      <c r="F512" s="46">
        <f t="shared" ref="F512:F532" si="899">SUMIF($E$5:$E$378,E512,$F$5:$F$378)</f>
        <v>26223.399999999994</v>
      </c>
      <c r="G512" s="51">
        <f t="shared" ref="G512:G532" si="900">M512/(F512*8760)</f>
        <v>0.38511578060331841</v>
      </c>
      <c r="H512" s="46"/>
      <c r="I512" s="46"/>
      <c r="J512" s="46">
        <f t="shared" ref="J512:J532" si="901">SUMIF($E$5:$E$378,$E512,J$5:J$378)</f>
        <v>453016.23678999994</v>
      </c>
      <c r="K512" s="51">
        <f t="shared" ref="K512:K532" si="902">SUMIF($E$27:$E$378,$E512,K$27:K$378)</f>
        <v>0.38004644050029673</v>
      </c>
      <c r="L512" s="51"/>
      <c r="M512" s="46">
        <f t="shared" ref="M512:N532" si="903">SUMIF($E$5:$E$378,$E512,M$5:M$378)</f>
        <v>88467635.610999987</v>
      </c>
      <c r="N512" s="46">
        <f t="shared" si="903"/>
        <v>4006869.2763873879</v>
      </c>
      <c r="O512" s="46">
        <f t="shared" ref="O512:O532" si="904">N512-J512</f>
        <v>3553853.0395973879</v>
      </c>
      <c r="P512" s="51">
        <f t="shared" ref="P512:P532" si="905">O512/N512</f>
        <v>0.88694010072660978</v>
      </c>
      <c r="Q512" s="51">
        <f t="shared" ref="Q512:Q532" si="906">1-P512</f>
        <v>0.11305989927339022</v>
      </c>
      <c r="R512" s="51">
        <f t="shared" ref="R512:R532" si="907">Q512*L512</f>
        <v>0</v>
      </c>
      <c r="S512" s="51">
        <f t="shared" ref="S512:S532" si="908">Q512-R512</f>
        <v>0.11305989927339022</v>
      </c>
      <c r="T512" s="51">
        <f t="shared" ref="T512:T532" si="909">R512-S512</f>
        <v>-0.11305989927339022</v>
      </c>
      <c r="U512" s="298"/>
    </row>
    <row r="513" spans="1:21" x14ac:dyDescent="0.25">
      <c r="A513" s="113"/>
      <c r="B513" s="44">
        <f t="shared" si="896"/>
        <v>1</v>
      </c>
      <c r="C513" s="44">
        <f t="shared" si="897"/>
        <v>23</v>
      </c>
      <c r="D513" s="44" t="str">
        <f t="shared" si="898"/>
        <v>FERC Peers + OPG</v>
      </c>
      <c r="E513" s="45">
        <v>2004</v>
      </c>
      <c r="F513" s="46">
        <f t="shared" si="899"/>
        <v>26270.019999999993</v>
      </c>
      <c r="G513" s="51">
        <f t="shared" si="900"/>
        <v>0.37218962411495082</v>
      </c>
      <c r="H513" s="46"/>
      <c r="I513" s="46"/>
      <c r="J513" s="46">
        <f t="shared" si="901"/>
        <v>489429.70374999999</v>
      </c>
      <c r="K513" s="51">
        <f t="shared" si="902"/>
        <v>0.40426854876607904</v>
      </c>
      <c r="L513" s="51"/>
      <c r="M513" s="46">
        <f t="shared" si="903"/>
        <v>85650276.894999996</v>
      </c>
      <c r="N513" s="46">
        <f t="shared" si="903"/>
        <v>3812264.9562194524</v>
      </c>
      <c r="O513" s="46">
        <f t="shared" si="904"/>
        <v>3322835.2524694526</v>
      </c>
      <c r="P513" s="51">
        <f t="shared" si="905"/>
        <v>0.8716170808244772</v>
      </c>
      <c r="Q513" s="51">
        <f t="shared" si="906"/>
        <v>0.1283829191755228</v>
      </c>
      <c r="R513" s="51">
        <f t="shared" si="907"/>
        <v>0</v>
      </c>
      <c r="S513" s="51">
        <f t="shared" si="908"/>
        <v>0.1283829191755228</v>
      </c>
      <c r="T513" s="51">
        <f t="shared" si="909"/>
        <v>-0.1283829191755228</v>
      </c>
      <c r="U513" s="298"/>
    </row>
    <row r="514" spans="1:21" x14ac:dyDescent="0.25">
      <c r="A514" s="113"/>
      <c r="B514" s="44">
        <f t="shared" si="896"/>
        <v>1</v>
      </c>
      <c r="C514" s="44">
        <f t="shared" si="897"/>
        <v>23</v>
      </c>
      <c r="D514" s="44" t="str">
        <f t="shared" si="898"/>
        <v>FERC Peers + OPG</v>
      </c>
      <c r="E514" s="45">
        <v>2005</v>
      </c>
      <c r="F514" s="46">
        <f t="shared" si="899"/>
        <v>26268.519999999997</v>
      </c>
      <c r="G514" s="51">
        <f t="shared" si="900"/>
        <v>0.37718932339934969</v>
      </c>
      <c r="H514" s="46"/>
      <c r="I514" s="46"/>
      <c r="J514" s="46">
        <f t="shared" si="901"/>
        <v>515540.26834000007</v>
      </c>
      <c r="K514" s="51">
        <f t="shared" si="902"/>
        <v>0.40166602686277381</v>
      </c>
      <c r="L514" s="51"/>
      <c r="M514" s="46">
        <f t="shared" si="903"/>
        <v>86795878.300999999</v>
      </c>
      <c r="N514" s="46">
        <f t="shared" si="903"/>
        <v>4728416.2662814884</v>
      </c>
      <c r="O514" s="46">
        <f t="shared" si="904"/>
        <v>4212875.9979414884</v>
      </c>
      <c r="P514" s="51">
        <f t="shared" si="905"/>
        <v>0.89096977945526146</v>
      </c>
      <c r="Q514" s="51">
        <f t="shared" si="906"/>
        <v>0.10903022054473854</v>
      </c>
      <c r="R514" s="51">
        <f t="shared" si="907"/>
        <v>0</v>
      </c>
      <c r="S514" s="51">
        <f t="shared" si="908"/>
        <v>0.10903022054473854</v>
      </c>
      <c r="T514" s="51">
        <f t="shared" si="909"/>
        <v>-0.10903022054473854</v>
      </c>
      <c r="U514" s="298"/>
    </row>
    <row r="515" spans="1:21" x14ac:dyDescent="0.25">
      <c r="A515" s="113"/>
      <c r="B515" s="44">
        <f t="shared" si="896"/>
        <v>1</v>
      </c>
      <c r="C515" s="44">
        <f t="shared" si="897"/>
        <v>23</v>
      </c>
      <c r="D515" s="44" t="str">
        <f t="shared" si="898"/>
        <v>FERC Peers + OPG</v>
      </c>
      <c r="E515" s="45">
        <v>2006</v>
      </c>
      <c r="F515" s="46">
        <f t="shared" si="899"/>
        <v>26332.899999999994</v>
      </c>
      <c r="G515" s="51">
        <f t="shared" si="900"/>
        <v>0.39490625319116152</v>
      </c>
      <c r="H515" s="46"/>
      <c r="I515" s="46"/>
      <c r="J515" s="46">
        <f t="shared" si="901"/>
        <v>530782.82395999995</v>
      </c>
      <c r="K515" s="51">
        <f t="shared" si="902"/>
        <v>0.38011602816201212</v>
      </c>
      <c r="L515" s="51"/>
      <c r="M515" s="46">
        <f t="shared" si="903"/>
        <v>91095475.422000006</v>
      </c>
      <c r="N515" s="46">
        <f t="shared" si="903"/>
        <v>4004648.0430493094</v>
      </c>
      <c r="O515" s="46">
        <f t="shared" si="904"/>
        <v>3473865.2190893097</v>
      </c>
      <c r="P515" s="51">
        <f t="shared" si="905"/>
        <v>0.86745830888153674</v>
      </c>
      <c r="Q515" s="51">
        <f t="shared" si="906"/>
        <v>0.13254169111846326</v>
      </c>
      <c r="R515" s="51">
        <f t="shared" si="907"/>
        <v>0</v>
      </c>
      <c r="S515" s="51">
        <f t="shared" si="908"/>
        <v>0.13254169111846326</v>
      </c>
      <c r="T515" s="51">
        <f t="shared" si="909"/>
        <v>-0.13254169111846326</v>
      </c>
      <c r="U515" s="298"/>
    </row>
    <row r="516" spans="1:21" x14ac:dyDescent="0.25">
      <c r="A516" s="113"/>
      <c r="B516" s="44">
        <f t="shared" si="896"/>
        <v>1</v>
      </c>
      <c r="C516" s="44">
        <f t="shared" si="897"/>
        <v>23</v>
      </c>
      <c r="D516" s="44" t="str">
        <f t="shared" si="898"/>
        <v>FERC Peers + OPG</v>
      </c>
      <c r="E516" s="45">
        <v>2007</v>
      </c>
      <c r="F516" s="46">
        <f t="shared" si="899"/>
        <v>25660.499999999993</v>
      </c>
      <c r="G516" s="51">
        <f t="shared" si="900"/>
        <v>0.33103001490128531</v>
      </c>
      <c r="H516" s="46"/>
      <c r="I516" s="46"/>
      <c r="J516" s="46">
        <f t="shared" si="901"/>
        <v>592851.3396500001</v>
      </c>
      <c r="K516" s="51">
        <f t="shared" si="902"/>
        <v>0.4014319291009199</v>
      </c>
      <c r="L516" s="51"/>
      <c r="M516" s="46">
        <f t="shared" si="903"/>
        <v>74410906.309</v>
      </c>
      <c r="N516" s="46">
        <f t="shared" si="903"/>
        <v>3433919.4325811476</v>
      </c>
      <c r="O516" s="46">
        <f t="shared" si="904"/>
        <v>2841068.0929311477</v>
      </c>
      <c r="P516" s="51">
        <f t="shared" si="905"/>
        <v>0.82735432461664482</v>
      </c>
      <c r="Q516" s="51">
        <f t="shared" si="906"/>
        <v>0.17264567538335518</v>
      </c>
      <c r="R516" s="51">
        <f t="shared" si="907"/>
        <v>0</v>
      </c>
      <c r="S516" s="51">
        <f t="shared" si="908"/>
        <v>0.17264567538335518</v>
      </c>
      <c r="T516" s="51">
        <f t="shared" si="909"/>
        <v>-0.17264567538335518</v>
      </c>
      <c r="U516" s="298"/>
    </row>
    <row r="517" spans="1:21" x14ac:dyDescent="0.25">
      <c r="A517" s="113"/>
      <c r="B517" s="44">
        <f t="shared" si="896"/>
        <v>1</v>
      </c>
      <c r="C517" s="44">
        <f t="shared" si="897"/>
        <v>23</v>
      </c>
      <c r="D517" s="44" t="str">
        <f t="shared" si="898"/>
        <v>FERC Peers + OPG</v>
      </c>
      <c r="E517" s="45">
        <v>2008</v>
      </c>
      <c r="F517" s="46">
        <f t="shared" si="899"/>
        <v>25986.699999999993</v>
      </c>
      <c r="G517" s="51">
        <f t="shared" si="900"/>
        <v>0.35155077108463972</v>
      </c>
      <c r="H517" s="46"/>
      <c r="I517" s="46"/>
      <c r="J517" s="46">
        <f t="shared" si="901"/>
        <v>644663.04575000016</v>
      </c>
      <c r="K517" s="51">
        <f t="shared" si="902"/>
        <v>0.39628237759982043</v>
      </c>
      <c r="L517" s="51"/>
      <c r="M517" s="46">
        <f t="shared" si="903"/>
        <v>80028245.144999996</v>
      </c>
      <c r="N517" s="46">
        <f t="shared" si="903"/>
        <v>4304273.9569736002</v>
      </c>
      <c r="O517" s="46">
        <f t="shared" si="904"/>
        <v>3659610.9112236002</v>
      </c>
      <c r="P517" s="51">
        <f t="shared" si="905"/>
        <v>0.85022722712490351</v>
      </c>
      <c r="Q517" s="51">
        <f t="shared" si="906"/>
        <v>0.14977277287509649</v>
      </c>
      <c r="R517" s="51">
        <f t="shared" si="907"/>
        <v>0</v>
      </c>
      <c r="S517" s="51">
        <f t="shared" si="908"/>
        <v>0.14977277287509649</v>
      </c>
      <c r="T517" s="51">
        <f t="shared" si="909"/>
        <v>-0.14977277287509649</v>
      </c>
      <c r="U517" s="298"/>
    </row>
    <row r="518" spans="1:21" x14ac:dyDescent="0.25">
      <c r="A518" s="113"/>
      <c r="B518" s="44">
        <f t="shared" si="896"/>
        <v>1</v>
      </c>
      <c r="C518" s="44">
        <f t="shared" si="897"/>
        <v>23</v>
      </c>
      <c r="D518" s="44" t="str">
        <f t="shared" si="898"/>
        <v>FERC Peers + OPG</v>
      </c>
      <c r="E518" s="45">
        <v>2009</v>
      </c>
      <c r="F518" s="46">
        <f t="shared" si="899"/>
        <v>26041.182999999994</v>
      </c>
      <c r="G518" s="51">
        <f t="shared" si="900"/>
        <v>0.38517330537416339</v>
      </c>
      <c r="H518" s="46"/>
      <c r="I518" s="46"/>
      <c r="J518" s="46">
        <f t="shared" si="901"/>
        <v>633126.02116</v>
      </c>
      <c r="K518" s="51">
        <f t="shared" si="902"/>
        <v>0.37969052699866895</v>
      </c>
      <c r="L518" s="51"/>
      <c r="M518" s="46">
        <f t="shared" si="903"/>
        <v>87866028.340000004</v>
      </c>
      <c r="N518" s="46">
        <f t="shared" si="903"/>
        <v>3032696.6034009461</v>
      </c>
      <c r="O518" s="46">
        <f t="shared" si="904"/>
        <v>2399570.5822409461</v>
      </c>
      <c r="P518" s="51">
        <f t="shared" si="905"/>
        <v>0.79123331346432879</v>
      </c>
      <c r="Q518" s="51">
        <f t="shared" si="906"/>
        <v>0.20876668653567121</v>
      </c>
      <c r="R518" s="51">
        <f t="shared" si="907"/>
        <v>0</v>
      </c>
      <c r="S518" s="51">
        <f t="shared" si="908"/>
        <v>0.20876668653567121</v>
      </c>
      <c r="T518" s="51">
        <f t="shared" si="909"/>
        <v>-0.20876668653567121</v>
      </c>
      <c r="U518" s="298"/>
    </row>
    <row r="519" spans="1:21" x14ac:dyDescent="0.25">
      <c r="A519" s="113"/>
      <c r="B519" s="44">
        <f t="shared" si="896"/>
        <v>1</v>
      </c>
      <c r="C519" s="44">
        <f t="shared" si="897"/>
        <v>23</v>
      </c>
      <c r="D519" s="44" t="str">
        <f t="shared" si="898"/>
        <v>FERC Peers + OPG</v>
      </c>
      <c r="E519" s="45">
        <v>2010</v>
      </c>
      <c r="F519" s="46">
        <f t="shared" si="899"/>
        <v>26045.729999999996</v>
      </c>
      <c r="G519" s="51">
        <f t="shared" si="900"/>
        <v>0.35757211814561773</v>
      </c>
      <c r="H519" s="46"/>
      <c r="I519" s="46"/>
      <c r="J519" s="46">
        <f t="shared" si="901"/>
        <v>659475.37065245525</v>
      </c>
      <c r="K519" s="51">
        <f t="shared" si="902"/>
        <v>0.38799316949085888</v>
      </c>
      <c r="L519" s="51"/>
      <c r="M519" s="46">
        <f t="shared" si="903"/>
        <v>81583867.159999996</v>
      </c>
      <c r="N519" s="46">
        <f t="shared" si="903"/>
        <v>2930157.3092730967</v>
      </c>
      <c r="O519" s="46">
        <f t="shared" si="904"/>
        <v>2270681.9386206414</v>
      </c>
      <c r="P519" s="51">
        <f t="shared" si="905"/>
        <v>0.77493516523314043</v>
      </c>
      <c r="Q519" s="51">
        <f t="shared" si="906"/>
        <v>0.22506483476685957</v>
      </c>
      <c r="R519" s="51">
        <f t="shared" si="907"/>
        <v>0</v>
      </c>
      <c r="S519" s="51">
        <f t="shared" si="908"/>
        <v>0.22506483476685957</v>
      </c>
      <c r="T519" s="51">
        <f t="shared" si="909"/>
        <v>-0.22506483476685957</v>
      </c>
      <c r="U519" s="298"/>
    </row>
    <row r="520" spans="1:21" x14ac:dyDescent="0.25">
      <c r="B520" s="44">
        <f t="shared" si="896"/>
        <v>1</v>
      </c>
      <c r="C520" s="44">
        <f t="shared" si="897"/>
        <v>23</v>
      </c>
      <c r="D520" s="44" t="str">
        <f t="shared" si="898"/>
        <v>FERC Peers + OPG</v>
      </c>
      <c r="E520" s="45">
        <v>2011</v>
      </c>
      <c r="F520" s="46">
        <f t="shared" si="899"/>
        <v>25675.67</v>
      </c>
      <c r="G520" s="51">
        <f t="shared" si="900"/>
        <v>0.3858102909758005</v>
      </c>
      <c r="H520" s="46"/>
      <c r="I520" s="46"/>
      <c r="J520" s="46">
        <f t="shared" si="901"/>
        <v>646223.52187432128</v>
      </c>
      <c r="K520" s="51">
        <f t="shared" si="902"/>
        <v>0.39074065467540514</v>
      </c>
      <c r="L520" s="51"/>
      <c r="M520" s="46">
        <f t="shared" si="903"/>
        <v>86776014.372000009</v>
      </c>
      <c r="N520" s="46">
        <f t="shared" si="903"/>
        <v>2801957.595253347</v>
      </c>
      <c r="O520" s="46">
        <f t="shared" si="904"/>
        <v>2155734.0733790258</v>
      </c>
      <c r="P520" s="51">
        <f t="shared" si="905"/>
        <v>0.76936712997760726</v>
      </c>
      <c r="Q520" s="51">
        <f t="shared" si="906"/>
        <v>0.23063287002239274</v>
      </c>
      <c r="R520" s="51">
        <f t="shared" si="907"/>
        <v>0</v>
      </c>
      <c r="S520" s="51">
        <f t="shared" si="908"/>
        <v>0.23063287002239274</v>
      </c>
      <c r="T520" s="51">
        <f t="shared" si="909"/>
        <v>-0.23063287002239274</v>
      </c>
      <c r="U520" s="298"/>
    </row>
    <row r="521" spans="1:21" x14ac:dyDescent="0.25">
      <c r="B521" s="44">
        <f t="shared" si="896"/>
        <v>1</v>
      </c>
      <c r="C521" s="44">
        <f t="shared" si="897"/>
        <v>23</v>
      </c>
      <c r="D521" s="44" t="str">
        <f t="shared" si="898"/>
        <v>FERC Peers + OPG</v>
      </c>
      <c r="E521" s="45">
        <v>2012</v>
      </c>
      <c r="F521" s="46">
        <f t="shared" si="899"/>
        <v>25773.649999999998</v>
      </c>
      <c r="G521" s="51">
        <f t="shared" si="900"/>
        <v>0.33144452030832849</v>
      </c>
      <c r="H521" s="46"/>
      <c r="I521" s="46"/>
      <c r="J521" s="46">
        <f t="shared" si="901"/>
        <v>661497.48576786451</v>
      </c>
      <c r="K521" s="51">
        <f t="shared" si="902"/>
        <v>0.38821636755119504</v>
      </c>
      <c r="L521" s="51"/>
      <c r="M521" s="46">
        <f t="shared" si="903"/>
        <v>74832607.133000001</v>
      </c>
      <c r="N521" s="46">
        <f t="shared" si="903"/>
        <v>2025827.0015280957</v>
      </c>
      <c r="O521" s="46">
        <f t="shared" si="904"/>
        <v>1364329.5157602313</v>
      </c>
      <c r="P521" s="51">
        <f t="shared" si="905"/>
        <v>0.67346792926104149</v>
      </c>
      <c r="Q521" s="51">
        <f t="shared" si="906"/>
        <v>0.32653207073895851</v>
      </c>
      <c r="R521" s="51">
        <f t="shared" si="907"/>
        <v>0</v>
      </c>
      <c r="S521" s="51">
        <f t="shared" si="908"/>
        <v>0.32653207073895851</v>
      </c>
      <c r="T521" s="51">
        <f t="shared" si="909"/>
        <v>-0.32653207073895851</v>
      </c>
      <c r="U521" s="298"/>
    </row>
    <row r="522" spans="1:21" x14ac:dyDescent="0.25">
      <c r="B522" s="44">
        <f t="shared" si="896"/>
        <v>1</v>
      </c>
      <c r="C522" s="44">
        <f t="shared" si="897"/>
        <v>23</v>
      </c>
      <c r="D522" s="44" t="str">
        <f t="shared" si="898"/>
        <v>FERC Peers + OPG</v>
      </c>
      <c r="E522" s="45">
        <v>2013</v>
      </c>
      <c r="F522" s="46">
        <f t="shared" si="899"/>
        <v>25933.440000000002</v>
      </c>
      <c r="G522" s="51">
        <f t="shared" si="900"/>
        <v>0.33627020398775137</v>
      </c>
      <c r="H522" s="46"/>
      <c r="I522" s="46"/>
      <c r="J522" s="46">
        <f t="shared" si="901"/>
        <v>675950.16844999988</v>
      </c>
      <c r="K522" s="51">
        <f t="shared" si="902"/>
        <v>0.39687688300783108</v>
      </c>
      <c r="L522" s="51"/>
      <c r="M522" s="46">
        <f t="shared" si="903"/>
        <v>76392834.072000012</v>
      </c>
      <c r="N522" s="46">
        <f t="shared" si="903"/>
        <v>2755767.2842411953</v>
      </c>
      <c r="O522" s="46">
        <f t="shared" si="904"/>
        <v>2079817.1157911955</v>
      </c>
      <c r="P522" s="51">
        <f t="shared" si="905"/>
        <v>0.75471435040418389</v>
      </c>
      <c r="Q522" s="51">
        <f t="shared" si="906"/>
        <v>0.24528564959581611</v>
      </c>
      <c r="R522" s="51">
        <f t="shared" si="907"/>
        <v>0</v>
      </c>
      <c r="S522" s="51">
        <f t="shared" si="908"/>
        <v>0.24528564959581611</v>
      </c>
      <c r="T522" s="51">
        <f t="shared" si="909"/>
        <v>-0.24528564959581611</v>
      </c>
      <c r="U522" s="298"/>
    </row>
    <row r="523" spans="1:21" x14ac:dyDescent="0.25">
      <c r="B523" s="44">
        <f t="shared" si="896"/>
        <v>1</v>
      </c>
      <c r="C523" s="44">
        <f t="shared" si="897"/>
        <v>23</v>
      </c>
      <c r="D523" s="44" t="str">
        <f>D520</f>
        <v>FERC Peers + OPG</v>
      </c>
      <c r="E523" s="45">
        <v>2014</v>
      </c>
      <c r="F523" s="46">
        <f t="shared" si="899"/>
        <v>26140.269999999997</v>
      </c>
      <c r="G523" s="51">
        <f t="shared" si="900"/>
        <v>0.31752796114470688</v>
      </c>
      <c r="H523" s="46"/>
      <c r="I523" s="46"/>
      <c r="J523" s="46">
        <f t="shared" si="901"/>
        <v>696635.9075896478</v>
      </c>
      <c r="K523" s="51">
        <f t="shared" si="902"/>
        <v>0.40764857174557467</v>
      </c>
      <c r="L523" s="51"/>
      <c r="M523" s="46">
        <f t="shared" si="903"/>
        <v>72710335.738999993</v>
      </c>
      <c r="N523" s="46">
        <f t="shared" si="903"/>
        <v>2986172.8343096976</v>
      </c>
      <c r="O523" s="46">
        <f t="shared" si="904"/>
        <v>2289536.9267200497</v>
      </c>
      <c r="P523" s="51">
        <f t="shared" si="905"/>
        <v>0.76671279720127561</v>
      </c>
      <c r="Q523" s="51">
        <f t="shared" si="906"/>
        <v>0.23328720279872439</v>
      </c>
      <c r="R523" s="51">
        <f t="shared" si="907"/>
        <v>0</v>
      </c>
      <c r="S523" s="51">
        <f t="shared" si="908"/>
        <v>0.23328720279872439</v>
      </c>
      <c r="T523" s="51">
        <f t="shared" si="909"/>
        <v>-0.23328720279872439</v>
      </c>
      <c r="U523" s="298"/>
    </row>
    <row r="524" spans="1:21" x14ac:dyDescent="0.25">
      <c r="B524" s="44">
        <f t="shared" si="896"/>
        <v>1</v>
      </c>
      <c r="C524" s="44">
        <f t="shared" si="897"/>
        <v>23</v>
      </c>
      <c r="D524" s="44" t="str">
        <f>D521</f>
        <v>FERC Peers + OPG</v>
      </c>
      <c r="E524" s="45">
        <v>2015</v>
      </c>
      <c r="F524" s="46">
        <f t="shared" si="899"/>
        <v>26071.709999999995</v>
      </c>
      <c r="G524" s="51">
        <f t="shared" si="900"/>
        <v>0.30024729807426515</v>
      </c>
      <c r="H524" s="46"/>
      <c r="I524" s="46"/>
      <c r="J524" s="46">
        <f t="shared" si="901"/>
        <v>733116.46175000013</v>
      </c>
      <c r="K524" s="51">
        <f t="shared" si="902"/>
        <v>0.39133088446853337</v>
      </c>
      <c r="L524" s="51"/>
      <c r="M524" s="46">
        <f t="shared" si="903"/>
        <v>68572933.836999997</v>
      </c>
      <c r="N524" s="46">
        <f t="shared" si="903"/>
        <v>2467410.9954263768</v>
      </c>
      <c r="O524" s="46">
        <f t="shared" si="904"/>
        <v>1734294.5336763766</v>
      </c>
      <c r="P524" s="51">
        <f t="shared" si="905"/>
        <v>0.70288028094674382</v>
      </c>
      <c r="Q524" s="51">
        <f t="shared" si="906"/>
        <v>0.29711971905325618</v>
      </c>
      <c r="R524" s="51">
        <f t="shared" si="907"/>
        <v>0</v>
      </c>
      <c r="S524" s="51">
        <f t="shared" si="908"/>
        <v>0.29711971905325618</v>
      </c>
      <c r="T524" s="51">
        <f t="shared" si="909"/>
        <v>-0.29711971905325618</v>
      </c>
      <c r="U524" s="298"/>
    </row>
    <row r="525" spans="1:21" x14ac:dyDescent="0.25">
      <c r="B525" s="44">
        <f t="shared" si="896"/>
        <v>1</v>
      </c>
      <c r="C525" s="44">
        <f t="shared" si="897"/>
        <v>23</v>
      </c>
      <c r="D525" s="44" t="str">
        <f>D522</f>
        <v>FERC Peers + OPG</v>
      </c>
      <c r="E525" s="45">
        <v>2016</v>
      </c>
      <c r="F525" s="46">
        <f t="shared" si="899"/>
        <v>26119.519999999997</v>
      </c>
      <c r="G525" s="51">
        <f t="shared" si="900"/>
        <v>0.3299886700623042</v>
      </c>
      <c r="H525" s="46"/>
      <c r="I525" s="46"/>
      <c r="J525" s="46">
        <f t="shared" si="901"/>
        <v>712840.72020000021</v>
      </c>
      <c r="K525" s="51">
        <f t="shared" si="902"/>
        <v>0.38899869789194336</v>
      </c>
      <c r="L525" s="51"/>
      <c r="M525" s="46">
        <f t="shared" si="903"/>
        <v>75503716.047000006</v>
      </c>
      <c r="N525" s="46">
        <f t="shared" si="903"/>
        <v>2464279.4782425468</v>
      </c>
      <c r="O525" s="46">
        <f t="shared" si="904"/>
        <v>1751438.7580425465</v>
      </c>
      <c r="P525" s="51">
        <f t="shared" si="905"/>
        <v>0.71073056993179284</v>
      </c>
      <c r="Q525" s="51">
        <f t="shared" si="906"/>
        <v>0.28926943006820716</v>
      </c>
      <c r="R525" s="51">
        <f t="shared" si="907"/>
        <v>0</v>
      </c>
      <c r="S525" s="51">
        <f t="shared" si="908"/>
        <v>0.28926943006820716</v>
      </c>
      <c r="T525" s="51">
        <f t="shared" si="909"/>
        <v>-0.28926943006820716</v>
      </c>
      <c r="U525" s="298"/>
    </row>
    <row r="526" spans="1:21" x14ac:dyDescent="0.25">
      <c r="B526" s="44">
        <f t="shared" si="896"/>
        <v>1</v>
      </c>
      <c r="C526" s="44">
        <f t="shared" si="897"/>
        <v>23</v>
      </c>
      <c r="D526" s="44" t="str">
        <f>D523</f>
        <v>FERC Peers + OPG</v>
      </c>
      <c r="E526" s="45">
        <v>2017</v>
      </c>
      <c r="F526" s="46">
        <f t="shared" si="899"/>
        <v>26128.12</v>
      </c>
      <c r="G526" s="51">
        <f t="shared" si="900"/>
        <v>0.37433199650580984</v>
      </c>
      <c r="H526" s="46"/>
      <c r="I526" s="46"/>
      <c r="J526" s="46">
        <f t="shared" si="901"/>
        <v>669222.18663999997</v>
      </c>
      <c r="K526" s="51">
        <f t="shared" si="902"/>
        <v>0.36178684098332381</v>
      </c>
      <c r="L526" s="51"/>
      <c r="M526" s="46">
        <f t="shared" si="903"/>
        <v>85677980.003000006</v>
      </c>
      <c r="N526" s="46">
        <f t="shared" si="903"/>
        <v>2828712.2234674613</v>
      </c>
      <c r="O526" s="46">
        <f t="shared" si="904"/>
        <v>2159490.0368274613</v>
      </c>
      <c r="P526" s="51">
        <f t="shared" si="905"/>
        <v>0.76341807374818027</v>
      </c>
      <c r="Q526" s="51">
        <f t="shared" si="906"/>
        <v>0.23658192625181973</v>
      </c>
      <c r="R526" s="51">
        <f t="shared" si="907"/>
        <v>0</v>
      </c>
      <c r="S526" s="51">
        <f t="shared" si="908"/>
        <v>0.23658192625181973</v>
      </c>
      <c r="T526" s="51">
        <f t="shared" si="909"/>
        <v>-0.23658192625181973</v>
      </c>
      <c r="U526" s="298"/>
    </row>
    <row r="527" spans="1:21" x14ac:dyDescent="0.25">
      <c r="B527" s="44">
        <f t="shared" si="896"/>
        <v>1</v>
      </c>
      <c r="C527" s="44">
        <f t="shared" si="897"/>
        <v>23</v>
      </c>
      <c r="D527" s="44" t="str">
        <f t="shared" ref="D527" si="910">D524</f>
        <v>FERC Peers + OPG</v>
      </c>
      <c r="E527" s="45">
        <v>2018</v>
      </c>
      <c r="F527" s="46">
        <f t="shared" si="899"/>
        <v>26191.499999999996</v>
      </c>
      <c r="G527" s="51">
        <f t="shared" si="900"/>
        <v>0.3526253381029103</v>
      </c>
      <c r="H527" s="46"/>
      <c r="I527" s="46"/>
      <c r="J527" s="46">
        <f t="shared" si="901"/>
        <v>704894.26362000033</v>
      </c>
      <c r="K527" s="51">
        <f t="shared" si="902"/>
        <v>0.35642494439415146</v>
      </c>
      <c r="L527" s="51"/>
      <c r="M527" s="46">
        <f t="shared" si="903"/>
        <v>80905490.115999997</v>
      </c>
      <c r="N527" s="46">
        <f t="shared" si="903"/>
        <v>2984971.3902988285</v>
      </c>
      <c r="O527" s="46">
        <f t="shared" si="904"/>
        <v>2280077.1266788282</v>
      </c>
      <c r="P527" s="51">
        <f t="shared" si="905"/>
        <v>0.76385225469466467</v>
      </c>
      <c r="Q527" s="51">
        <f t="shared" si="906"/>
        <v>0.23614774530533533</v>
      </c>
      <c r="R527" s="51">
        <f t="shared" si="907"/>
        <v>0</v>
      </c>
      <c r="S527" s="51">
        <f t="shared" si="908"/>
        <v>0.23614774530533533</v>
      </c>
      <c r="T527" s="51">
        <f t="shared" si="909"/>
        <v>-0.23614774530533533</v>
      </c>
      <c r="U527" s="298"/>
    </row>
    <row r="528" spans="1:21" x14ac:dyDescent="0.25">
      <c r="B528" s="44">
        <f t="shared" si="896"/>
        <v>1</v>
      </c>
      <c r="C528" s="44">
        <f t="shared" si="897"/>
        <v>23</v>
      </c>
      <c r="D528" s="44" t="str">
        <f>D525</f>
        <v>FERC Peers + OPG</v>
      </c>
      <c r="E528" s="45">
        <v>2019</v>
      </c>
      <c r="F528" s="46">
        <f t="shared" si="899"/>
        <v>26300.930000000004</v>
      </c>
      <c r="G528" s="51">
        <f t="shared" si="900"/>
        <v>0.36831220248888413</v>
      </c>
      <c r="H528" s="46"/>
      <c r="I528" s="46"/>
      <c r="J528" s="46">
        <f t="shared" si="901"/>
        <v>701589.74452000018</v>
      </c>
      <c r="K528" s="51">
        <f t="shared" si="902"/>
        <v>0.36196955112820778</v>
      </c>
      <c r="L528" s="51"/>
      <c r="M528" s="46">
        <f t="shared" si="903"/>
        <v>84857712.272860289</v>
      </c>
      <c r="N528" s="46">
        <f t="shared" si="903"/>
        <v>3107220.3878620118</v>
      </c>
      <c r="O528" s="46">
        <f t="shared" si="904"/>
        <v>2405630.6433420116</v>
      </c>
      <c r="P528" s="51">
        <f t="shared" si="905"/>
        <v>0.77420663585348581</v>
      </c>
      <c r="Q528" s="51">
        <f t="shared" si="906"/>
        <v>0.22579336414651419</v>
      </c>
      <c r="R528" s="51">
        <f t="shared" si="907"/>
        <v>0</v>
      </c>
      <c r="S528" s="51">
        <f t="shared" si="908"/>
        <v>0.22579336414651419</v>
      </c>
      <c r="T528" s="51">
        <f t="shared" si="909"/>
        <v>-0.22579336414651419</v>
      </c>
      <c r="U528" s="298"/>
    </row>
    <row r="529" spans="2:21" x14ac:dyDescent="0.25">
      <c r="B529" s="44">
        <f t="shared" si="896"/>
        <v>1</v>
      </c>
      <c r="C529" s="44">
        <f t="shared" si="897"/>
        <v>23</v>
      </c>
      <c r="D529" s="44" t="str">
        <f t="shared" ref="D529" si="911">D526</f>
        <v>FERC Peers + OPG</v>
      </c>
      <c r="E529" s="45">
        <v>2020</v>
      </c>
      <c r="F529" s="46">
        <f t="shared" si="899"/>
        <v>26678.83</v>
      </c>
      <c r="G529" s="51">
        <f t="shared" si="900"/>
        <v>0.3398715352933101</v>
      </c>
      <c r="H529" s="46"/>
      <c r="I529" s="46"/>
      <c r="J529" s="46">
        <f t="shared" si="901"/>
        <v>714130.33456000034</v>
      </c>
      <c r="K529" s="51">
        <f t="shared" si="902"/>
        <v>0.3697734873960456</v>
      </c>
      <c r="L529" s="51"/>
      <c r="M529" s="46">
        <f t="shared" si="903"/>
        <v>79430204.228499979</v>
      </c>
      <c r="N529" s="46">
        <f t="shared" si="903"/>
        <v>2527517.3192429561</v>
      </c>
      <c r="O529" s="46">
        <f t="shared" si="904"/>
        <v>1813386.9846829558</v>
      </c>
      <c r="P529" s="51">
        <f t="shared" si="905"/>
        <v>0.71745778787624803</v>
      </c>
      <c r="Q529" s="51">
        <f t="shared" si="906"/>
        <v>0.28254221212375197</v>
      </c>
      <c r="R529" s="51">
        <f t="shared" si="907"/>
        <v>0</v>
      </c>
      <c r="S529" s="51">
        <f t="shared" si="908"/>
        <v>0.28254221212375197</v>
      </c>
      <c r="T529" s="51">
        <f t="shared" si="909"/>
        <v>-0.28254221212375197</v>
      </c>
      <c r="U529" s="298"/>
    </row>
    <row r="530" spans="2:21" x14ac:dyDescent="0.25">
      <c r="B530" s="44">
        <f t="shared" si="896"/>
        <v>1</v>
      </c>
      <c r="C530" s="44">
        <f t="shared" si="897"/>
        <v>23</v>
      </c>
      <c r="D530" s="44" t="str">
        <f>D527</f>
        <v>FERC Peers + OPG</v>
      </c>
      <c r="E530" s="45">
        <v>2021</v>
      </c>
      <c r="F530" s="46">
        <f t="shared" si="899"/>
        <v>26712.39</v>
      </c>
      <c r="G530" s="51">
        <f t="shared" si="900"/>
        <v>0.30242146695779976</v>
      </c>
      <c r="H530" s="46"/>
      <c r="I530" s="46"/>
      <c r="J530" s="46">
        <f t="shared" si="901"/>
        <v>765538.8479200002</v>
      </c>
      <c r="K530" s="51">
        <f t="shared" si="902"/>
        <v>0.36737578725854614</v>
      </c>
      <c r="L530" s="51"/>
      <c r="M530" s="46">
        <f t="shared" si="903"/>
        <v>70766785.487000018</v>
      </c>
      <c r="N530" s="46">
        <f t="shared" si="903"/>
        <v>3160791.6370974518</v>
      </c>
      <c r="O530" s="46">
        <f t="shared" si="904"/>
        <v>2395252.7891774517</v>
      </c>
      <c r="P530" s="51">
        <f t="shared" si="905"/>
        <v>0.75780154600035809</v>
      </c>
      <c r="Q530" s="51">
        <f t="shared" si="906"/>
        <v>0.24219845399964191</v>
      </c>
      <c r="R530" s="51">
        <f t="shared" si="907"/>
        <v>0</v>
      </c>
      <c r="S530" s="51">
        <f t="shared" si="908"/>
        <v>0.24219845399964191</v>
      </c>
      <c r="T530" s="51">
        <f t="shared" si="909"/>
        <v>-0.24219845399964191</v>
      </c>
      <c r="U530" s="298"/>
    </row>
    <row r="531" spans="2:21" x14ac:dyDescent="0.25">
      <c r="B531" s="44">
        <f t="shared" si="896"/>
        <v>1</v>
      </c>
      <c r="C531" s="44">
        <f t="shared" si="897"/>
        <v>23</v>
      </c>
      <c r="D531" s="44" t="str">
        <f t="shared" ref="D531" si="912">D528</f>
        <v>FERC Peers + OPG</v>
      </c>
      <c r="E531" s="45">
        <v>2022</v>
      </c>
      <c r="F531" s="46">
        <f t="shared" si="899"/>
        <v>26643.740000000005</v>
      </c>
      <c r="G531" s="51">
        <f t="shared" si="900"/>
        <v>0.32214830425415425</v>
      </c>
      <c r="H531" s="46"/>
      <c r="I531" s="46"/>
      <c r="J531" s="46">
        <f t="shared" si="901"/>
        <v>759957.23453999974</v>
      </c>
      <c r="K531" s="51">
        <f t="shared" si="902"/>
        <v>0.35734184935892893</v>
      </c>
      <c r="L531" s="51"/>
      <c r="M531" s="46">
        <f t="shared" si="903"/>
        <v>75189144.381499976</v>
      </c>
      <c r="N531" s="46">
        <f t="shared" si="903"/>
        <v>4797747.3284871457</v>
      </c>
      <c r="O531" s="46">
        <f t="shared" si="904"/>
        <v>4037790.0939471461</v>
      </c>
      <c r="P531" s="51">
        <f t="shared" si="905"/>
        <v>0.84160123855883973</v>
      </c>
      <c r="Q531" s="51">
        <f t="shared" si="906"/>
        <v>0.15839876144116027</v>
      </c>
      <c r="R531" s="51">
        <f t="shared" si="907"/>
        <v>0</v>
      </c>
      <c r="S531" s="51">
        <f t="shared" si="908"/>
        <v>0.15839876144116027</v>
      </c>
      <c r="T531" s="51">
        <f t="shared" si="909"/>
        <v>-0.15839876144116027</v>
      </c>
      <c r="U531" s="298"/>
    </row>
    <row r="532" spans="2:21" x14ac:dyDescent="0.25">
      <c r="B532" s="44">
        <f t="shared" si="896"/>
        <v>1</v>
      </c>
      <c r="C532" s="44">
        <f t="shared" si="897"/>
        <v>23</v>
      </c>
      <c r="D532" s="44" t="str">
        <f>D529</f>
        <v>FERC Peers + OPG</v>
      </c>
      <c r="E532" s="45">
        <v>2023</v>
      </c>
      <c r="F532" s="46">
        <f t="shared" si="899"/>
        <v>26928.250000000004</v>
      </c>
      <c r="G532" s="51">
        <f t="shared" si="900"/>
        <v>0.33094830117002522</v>
      </c>
      <c r="H532" s="46"/>
      <c r="I532" s="46"/>
      <c r="J532" s="46">
        <f t="shared" si="901"/>
        <v>811068.47764000017</v>
      </c>
      <c r="K532" s="51">
        <f t="shared" si="902"/>
        <v>0.35524123855246892</v>
      </c>
      <c r="L532" s="51"/>
      <c r="M532" s="46">
        <f t="shared" si="903"/>
        <v>78067881.256999984</v>
      </c>
      <c r="N532" s="46">
        <f t="shared" si="903"/>
        <v>3806274.0031044846</v>
      </c>
      <c r="O532" s="46">
        <f t="shared" si="904"/>
        <v>2995205.5254644845</v>
      </c>
      <c r="P532" s="51">
        <f t="shared" si="905"/>
        <v>0.78691274538341849</v>
      </c>
      <c r="Q532" s="51">
        <f t="shared" si="906"/>
        <v>0.21308725461658151</v>
      </c>
      <c r="R532" s="51">
        <f t="shared" si="907"/>
        <v>0</v>
      </c>
      <c r="S532" s="51">
        <f t="shared" si="908"/>
        <v>0.21308725461658151</v>
      </c>
      <c r="T532" s="51">
        <f t="shared" si="909"/>
        <v>-0.21308725461658151</v>
      </c>
      <c r="U532" s="298"/>
    </row>
    <row r="533" spans="2:21" x14ac:dyDescent="0.25">
      <c r="U533" s="298"/>
    </row>
    <row r="534" spans="2:21" x14ac:dyDescent="0.25">
      <c r="U534" s="298"/>
    </row>
    <row r="535" spans="2:21" x14ac:dyDescent="0.25">
      <c r="U535" s="298"/>
    </row>
    <row r="536" spans="2:21" x14ac:dyDescent="0.25">
      <c r="U536" s="298"/>
    </row>
    <row r="537" spans="2:21" x14ac:dyDescent="0.25">
      <c r="U537" s="298"/>
    </row>
    <row r="538" spans="2:21" x14ac:dyDescent="0.25">
      <c r="U538" s="298"/>
    </row>
    <row r="539" spans="2:21" x14ac:dyDescent="0.25">
      <c r="U539" s="298"/>
    </row>
    <row r="540" spans="2:21" x14ac:dyDescent="0.25">
      <c r="U540" s="298"/>
    </row>
    <row r="541" spans="2:21" x14ac:dyDescent="0.25">
      <c r="U541" s="298"/>
    </row>
    <row r="542" spans="2:21" x14ac:dyDescent="0.25">
      <c r="U542" s="298"/>
    </row>
    <row r="543" spans="2:21" x14ac:dyDescent="0.25">
      <c r="U543" s="298"/>
    </row>
    <row r="544" spans="2:21" x14ac:dyDescent="0.25">
      <c r="U544" s="298"/>
    </row>
    <row r="545" spans="21:21" x14ac:dyDescent="0.25">
      <c r="U545" s="298"/>
    </row>
    <row r="546" spans="21:21" x14ac:dyDescent="0.25">
      <c r="U546" s="298"/>
    </row>
    <row r="547" spans="21:21" x14ac:dyDescent="0.25">
      <c r="U547" s="298"/>
    </row>
    <row r="548" spans="21:21" x14ac:dyDescent="0.25">
      <c r="U548" s="298"/>
    </row>
    <row r="549" spans="21:21" x14ac:dyDescent="0.25">
      <c r="U549" s="298"/>
    </row>
    <row r="550" spans="21:21" x14ac:dyDescent="0.25">
      <c r="U550" s="298"/>
    </row>
    <row r="551" spans="21:21" x14ac:dyDescent="0.25">
      <c r="U551" s="298"/>
    </row>
    <row r="552" spans="21:21" x14ac:dyDescent="0.25">
      <c r="U552" s="298"/>
    </row>
    <row r="553" spans="21:21" x14ac:dyDescent="0.25">
      <c r="U553" s="298"/>
    </row>
    <row r="554" spans="21:21" x14ac:dyDescent="0.25">
      <c r="U554" s="298"/>
    </row>
    <row r="555" spans="21:21" x14ac:dyDescent="0.25">
      <c r="U555" s="298"/>
    </row>
    <row r="556" spans="21:21" x14ac:dyDescent="0.25">
      <c r="U556" s="298"/>
    </row>
    <row r="557" spans="21:21" x14ac:dyDescent="0.25">
      <c r="U557" s="298"/>
    </row>
    <row r="558" spans="21:21" x14ac:dyDescent="0.25">
      <c r="U558" s="298"/>
    </row>
    <row r="559" spans="21:21" x14ac:dyDescent="0.25">
      <c r="U559" s="298"/>
    </row>
    <row r="560" spans="21:21" x14ac:dyDescent="0.25">
      <c r="U560" s="298"/>
    </row>
    <row r="561" spans="21:21" x14ac:dyDescent="0.25">
      <c r="U561" s="298"/>
    </row>
    <row r="562" spans="21:21" x14ac:dyDescent="0.25">
      <c r="U562" s="298"/>
    </row>
    <row r="563" spans="21:21" x14ac:dyDescent="0.25">
      <c r="U563" s="298"/>
    </row>
    <row r="564" spans="21:21" x14ac:dyDescent="0.25">
      <c r="U564" s="298"/>
    </row>
    <row r="565" spans="21:21" x14ac:dyDescent="0.25">
      <c r="U565" s="298"/>
    </row>
    <row r="566" spans="21:21" x14ac:dyDescent="0.25">
      <c r="U566" s="298"/>
    </row>
    <row r="567" spans="21:21" x14ac:dyDescent="0.25">
      <c r="U567" s="298"/>
    </row>
    <row r="568" spans="21:21" x14ac:dyDescent="0.25">
      <c r="U568" s="298"/>
    </row>
    <row r="569" spans="21:21" x14ac:dyDescent="0.25">
      <c r="U569" s="298"/>
    </row>
    <row r="570" spans="21:21" x14ac:dyDescent="0.25">
      <c r="U570" s="298"/>
    </row>
    <row r="571" spans="21:21" x14ac:dyDescent="0.25">
      <c r="U571" s="298"/>
    </row>
    <row r="572" spans="21:21" x14ac:dyDescent="0.25">
      <c r="U572" s="298"/>
    </row>
    <row r="573" spans="21:21" x14ac:dyDescent="0.25">
      <c r="U573" s="298"/>
    </row>
    <row r="574" spans="21:21" x14ac:dyDescent="0.25">
      <c r="U574" s="298"/>
    </row>
    <row r="575" spans="21:21" x14ac:dyDescent="0.25">
      <c r="U575" s="298"/>
    </row>
    <row r="576" spans="21:21" x14ac:dyDescent="0.25">
      <c r="U576" s="298"/>
    </row>
    <row r="577" spans="21:21" x14ac:dyDescent="0.25">
      <c r="U577" s="298"/>
    </row>
    <row r="578" spans="21:21" x14ac:dyDescent="0.25">
      <c r="U578" s="298"/>
    </row>
    <row r="579" spans="21:21" x14ac:dyDescent="0.25">
      <c r="U579" s="298"/>
    </row>
    <row r="580" spans="21:21" x14ac:dyDescent="0.25">
      <c r="U580" s="298"/>
    </row>
    <row r="581" spans="21:21" x14ac:dyDescent="0.25">
      <c r="U581" s="298"/>
    </row>
    <row r="582" spans="21:21" x14ac:dyDescent="0.25">
      <c r="U582" s="298"/>
    </row>
    <row r="583" spans="21:21" x14ac:dyDescent="0.25">
      <c r="U583" s="298"/>
    </row>
    <row r="584" spans="21:21" x14ac:dyDescent="0.25">
      <c r="U584" s="298"/>
    </row>
    <row r="585" spans="21:21" x14ac:dyDescent="0.25">
      <c r="U585" s="298"/>
    </row>
    <row r="586" spans="21:21" x14ac:dyDescent="0.25">
      <c r="U586" s="298"/>
    </row>
    <row r="587" spans="21:21" x14ac:dyDescent="0.25">
      <c r="U587" s="298"/>
    </row>
    <row r="588" spans="21:21" x14ac:dyDescent="0.25">
      <c r="U588" s="298"/>
    </row>
    <row r="589" spans="21:21" x14ac:dyDescent="0.25">
      <c r="U589" s="298"/>
    </row>
    <row r="590" spans="21:21" x14ac:dyDescent="0.25">
      <c r="U590" s="298"/>
    </row>
    <row r="591" spans="21:21" x14ac:dyDescent="0.25">
      <c r="U591" s="298"/>
    </row>
    <row r="592" spans="21:21" x14ac:dyDescent="0.25">
      <c r="U592" s="298"/>
    </row>
    <row r="593" spans="21:21" x14ac:dyDescent="0.25">
      <c r="U593" s="298"/>
    </row>
    <row r="594" spans="21:21" x14ac:dyDescent="0.25">
      <c r="U594" s="298"/>
    </row>
    <row r="595" spans="21:21" x14ac:dyDescent="0.25">
      <c r="U595" s="298"/>
    </row>
    <row r="596" spans="21:21" x14ac:dyDescent="0.25">
      <c r="U596" s="298"/>
    </row>
    <row r="597" spans="21:21" x14ac:dyDescent="0.25">
      <c r="U597" s="298"/>
    </row>
    <row r="598" spans="21:21" x14ac:dyDescent="0.25">
      <c r="U598" s="298"/>
    </row>
    <row r="599" spans="21:21" x14ac:dyDescent="0.25">
      <c r="U599" s="298"/>
    </row>
    <row r="600" spans="21:21" x14ac:dyDescent="0.25">
      <c r="U600" s="298"/>
    </row>
    <row r="601" spans="21:21" x14ac:dyDescent="0.25">
      <c r="U601" s="298"/>
    </row>
    <row r="602" spans="21:21" x14ac:dyDescent="0.25">
      <c r="U602" s="298"/>
    </row>
    <row r="603" spans="21:21" x14ac:dyDescent="0.25">
      <c r="U603" s="298"/>
    </row>
    <row r="604" spans="21:21" x14ac:dyDescent="0.25">
      <c r="U604" s="298"/>
    </row>
    <row r="605" spans="21:21" x14ac:dyDescent="0.25">
      <c r="U605" s="298"/>
    </row>
    <row r="606" spans="21:21" x14ac:dyDescent="0.25">
      <c r="U606" s="298"/>
    </row>
    <row r="607" spans="21:21" x14ac:dyDescent="0.25">
      <c r="U607" s="298"/>
    </row>
    <row r="608" spans="21:21" x14ac:dyDescent="0.25">
      <c r="U608" s="298"/>
    </row>
    <row r="609" spans="21:21" x14ac:dyDescent="0.25">
      <c r="U609" s="298"/>
    </row>
    <row r="610" spans="21:21" x14ac:dyDescent="0.25">
      <c r="U610" s="298"/>
    </row>
    <row r="611" spans="21:21" x14ac:dyDescent="0.25">
      <c r="U611" s="298"/>
    </row>
    <row r="612" spans="21:21" x14ac:dyDescent="0.25">
      <c r="U612" s="298"/>
    </row>
    <row r="613" spans="21:21" x14ac:dyDescent="0.25">
      <c r="U613" s="298"/>
    </row>
    <row r="614" spans="21:21" x14ac:dyDescent="0.25">
      <c r="U614" s="298"/>
    </row>
    <row r="615" spans="21:21" x14ac:dyDescent="0.25">
      <c r="U615" s="298"/>
    </row>
    <row r="616" spans="21:21" x14ac:dyDescent="0.25">
      <c r="U616" s="298"/>
    </row>
    <row r="617" spans="21:21" x14ac:dyDescent="0.25">
      <c r="U617" s="298"/>
    </row>
    <row r="618" spans="21:21" x14ac:dyDescent="0.25">
      <c r="U618" s="298"/>
    </row>
    <row r="619" spans="21:21" x14ac:dyDescent="0.25">
      <c r="U619" s="298"/>
    </row>
    <row r="620" spans="21:21" x14ac:dyDescent="0.25">
      <c r="U620" s="298"/>
    </row>
    <row r="621" spans="21:21" x14ac:dyDescent="0.25">
      <c r="U621" s="298"/>
    </row>
    <row r="622" spans="21:21" x14ac:dyDescent="0.25">
      <c r="U622" s="298"/>
    </row>
    <row r="623" spans="21:21" x14ac:dyDescent="0.25">
      <c r="U623" s="298"/>
    </row>
    <row r="624" spans="21:21" x14ac:dyDescent="0.25">
      <c r="U624" s="298"/>
    </row>
    <row r="625" spans="21:21" x14ac:dyDescent="0.25">
      <c r="U625" s="298"/>
    </row>
    <row r="626" spans="21:21" x14ac:dyDescent="0.25">
      <c r="U626" s="298"/>
    </row>
    <row r="627" spans="21:21" x14ac:dyDescent="0.25">
      <c r="U627" s="298"/>
    </row>
    <row r="628" spans="21:21" x14ac:dyDescent="0.25">
      <c r="U628" s="298"/>
    </row>
    <row r="629" spans="21:21" x14ac:dyDescent="0.25">
      <c r="U629" s="298"/>
    </row>
    <row r="630" spans="21:21" x14ac:dyDescent="0.25">
      <c r="U630" s="298"/>
    </row>
    <row r="631" spans="21:21" x14ac:dyDescent="0.25">
      <c r="U631" s="298"/>
    </row>
  </sheetData>
  <autoFilter ref="D4:F4" xr:uid="{00000000-0001-0000-0400-000000000000}"/>
  <pageMargins left="0.7" right="0.7" top="0.75" bottom="0.75" header="0.3" footer="0.3"/>
  <pageSetup scale="44" orientation="landscape" r:id="rId1"/>
  <ignoredErrors>
    <ignoredError sqref="D490:D500 D424:D434 D291:D302 D269:D280 D247:D258 D225:D236 D203:D214 D181:D192 D159:D170 D137:D148 D115:D126 D93:D104 D71:D82 D49:D60 D42 D27:D38 C422 D467 C400:C416 C424:C438 C379:C394 C28:C42 C49:C64 C70:C86 C92:C106 C115:C130 C136:C151 C159:C174 C181:C196 C203:C217 C225:C240 C247:C262 C269:C284 C290:C306 C313:C328 C335:C350 C357:C372 D468:D47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B2:F29"/>
  <sheetViews>
    <sheetView showGridLines="0" zoomScaleNormal="100" workbookViewId="0"/>
  </sheetViews>
  <sheetFormatPr defaultRowHeight="12.5" x14ac:dyDescent="0.25"/>
  <cols>
    <col min="1" max="1" width="2.81640625" customWidth="1"/>
    <col min="2" max="2" width="31.1796875" bestFit="1" customWidth="1"/>
    <col min="3" max="3" width="7.26953125" bestFit="1" customWidth="1"/>
    <col min="4" max="4" width="20.54296875" bestFit="1" customWidth="1"/>
    <col min="5" max="5" width="42.7265625" bestFit="1" customWidth="1"/>
  </cols>
  <sheetData>
    <row r="2" spans="2:6" ht="13" x14ac:dyDescent="0.25">
      <c r="B2" s="304" t="s">
        <v>101</v>
      </c>
      <c r="C2" s="305"/>
      <c r="D2" s="305"/>
      <c r="E2" s="306"/>
    </row>
    <row r="3" spans="2:6" ht="24" customHeight="1" x14ac:dyDescent="0.25">
      <c r="B3" s="307" t="s">
        <v>84</v>
      </c>
      <c r="C3" s="43" t="s">
        <v>85</v>
      </c>
      <c r="D3" s="43" t="s">
        <v>102</v>
      </c>
      <c r="E3" s="56" t="s">
        <v>103</v>
      </c>
    </row>
    <row r="4" spans="2:6" ht="13" x14ac:dyDescent="0.25">
      <c r="B4" s="308">
        <v>1</v>
      </c>
      <c r="C4" s="66">
        <v>0</v>
      </c>
      <c r="D4" s="301" t="s">
        <v>100</v>
      </c>
      <c r="E4" s="309" t="s">
        <v>104</v>
      </c>
      <c r="F4" s="14" t="s">
        <v>105</v>
      </c>
    </row>
    <row r="5" spans="2:6" ht="13" x14ac:dyDescent="0.25">
      <c r="B5" s="308">
        <v>1</v>
      </c>
      <c r="C5" s="66">
        <f>C4+1</f>
        <v>1</v>
      </c>
      <c r="D5" s="301" t="s">
        <v>106</v>
      </c>
      <c r="E5" s="309" t="s">
        <v>107</v>
      </c>
      <c r="F5" s="14" t="s">
        <v>108</v>
      </c>
    </row>
    <row r="6" spans="2:6" ht="13" x14ac:dyDescent="0.25">
      <c r="B6" s="308">
        <v>1</v>
      </c>
      <c r="C6" s="66">
        <f t="shared" ref="C6:C27" si="0">C5+1</f>
        <v>2</v>
      </c>
      <c r="D6" s="301" t="s">
        <v>109</v>
      </c>
      <c r="E6" s="309" t="s">
        <v>110</v>
      </c>
      <c r="F6" s="14" t="s">
        <v>108</v>
      </c>
    </row>
    <row r="7" spans="2:6" ht="13" x14ac:dyDescent="0.25">
      <c r="B7" s="308">
        <v>1</v>
      </c>
      <c r="C7" s="66">
        <f t="shared" si="0"/>
        <v>3</v>
      </c>
      <c r="D7" s="301" t="s">
        <v>111</v>
      </c>
      <c r="E7" s="309" t="s">
        <v>112</v>
      </c>
      <c r="F7" s="14" t="s">
        <v>108</v>
      </c>
    </row>
    <row r="8" spans="2:6" ht="13" x14ac:dyDescent="0.25">
      <c r="B8" s="308">
        <v>1</v>
      </c>
      <c r="C8" s="66">
        <f t="shared" si="0"/>
        <v>4</v>
      </c>
      <c r="D8" s="301" t="s">
        <v>113</v>
      </c>
      <c r="E8" s="309" t="s">
        <v>114</v>
      </c>
      <c r="F8" s="14" t="s">
        <v>108</v>
      </c>
    </row>
    <row r="9" spans="2:6" ht="13" x14ac:dyDescent="0.25">
      <c r="B9" s="308">
        <v>1</v>
      </c>
      <c r="C9" s="66">
        <f t="shared" si="0"/>
        <v>5</v>
      </c>
      <c r="D9" s="301" t="s">
        <v>115</v>
      </c>
      <c r="E9" s="309" t="s">
        <v>116</v>
      </c>
      <c r="F9" s="14" t="s">
        <v>108</v>
      </c>
    </row>
    <row r="10" spans="2:6" ht="13" x14ac:dyDescent="0.25">
      <c r="B10" s="308">
        <v>1</v>
      </c>
      <c r="C10" s="66">
        <f t="shared" si="0"/>
        <v>6</v>
      </c>
      <c r="D10" s="301" t="s">
        <v>117</v>
      </c>
      <c r="E10" s="309" t="s">
        <v>118</v>
      </c>
      <c r="F10" s="14" t="s">
        <v>108</v>
      </c>
    </row>
    <row r="11" spans="2:6" ht="13" x14ac:dyDescent="0.25">
      <c r="B11" s="308">
        <v>1</v>
      </c>
      <c r="C11" s="66">
        <f t="shared" si="0"/>
        <v>7</v>
      </c>
      <c r="D11" s="301" t="s">
        <v>119</v>
      </c>
      <c r="E11" s="309" t="s">
        <v>120</v>
      </c>
      <c r="F11" s="14" t="s">
        <v>108</v>
      </c>
    </row>
    <row r="12" spans="2:6" ht="13" x14ac:dyDescent="0.25">
      <c r="B12" s="308">
        <v>1</v>
      </c>
      <c r="C12" s="66">
        <f t="shared" si="0"/>
        <v>8</v>
      </c>
      <c r="D12" s="301" t="s">
        <v>121</v>
      </c>
      <c r="E12" s="309" t="s">
        <v>121</v>
      </c>
      <c r="F12" s="205" t="s">
        <v>108</v>
      </c>
    </row>
    <row r="13" spans="2:6" ht="13" x14ac:dyDescent="0.25">
      <c r="B13" s="308">
        <v>1</v>
      </c>
      <c r="C13" s="66">
        <f t="shared" si="0"/>
        <v>9</v>
      </c>
      <c r="D13" s="301" t="s">
        <v>122</v>
      </c>
      <c r="E13" s="309" t="s">
        <v>123</v>
      </c>
      <c r="F13" s="205" t="s">
        <v>108</v>
      </c>
    </row>
    <row r="14" spans="2:6" ht="13" x14ac:dyDescent="0.25">
      <c r="B14" s="308">
        <v>1</v>
      </c>
      <c r="C14" s="66">
        <f t="shared" si="0"/>
        <v>10</v>
      </c>
      <c r="D14" s="301" t="s">
        <v>124</v>
      </c>
      <c r="E14" s="309" t="s">
        <v>125</v>
      </c>
      <c r="F14" s="205" t="s">
        <v>108</v>
      </c>
    </row>
    <row r="15" spans="2:6" ht="13" x14ac:dyDescent="0.25">
      <c r="B15" s="308">
        <v>1</v>
      </c>
      <c r="C15" s="66">
        <f t="shared" si="0"/>
        <v>11</v>
      </c>
      <c r="D15" s="301" t="s">
        <v>126</v>
      </c>
      <c r="E15" s="309" t="s">
        <v>127</v>
      </c>
      <c r="F15" s="205" t="s">
        <v>108</v>
      </c>
    </row>
    <row r="16" spans="2:6" ht="13" x14ac:dyDescent="0.25">
      <c r="B16" s="308">
        <v>1</v>
      </c>
      <c r="C16" s="66">
        <f t="shared" si="0"/>
        <v>12</v>
      </c>
      <c r="D16" s="301" t="s">
        <v>128</v>
      </c>
      <c r="E16" s="309" t="s">
        <v>129</v>
      </c>
      <c r="F16" s="205" t="s">
        <v>108</v>
      </c>
    </row>
    <row r="17" spans="2:6" ht="13" x14ac:dyDescent="0.25">
      <c r="B17" s="308">
        <v>1</v>
      </c>
      <c r="C17" s="66">
        <f t="shared" si="0"/>
        <v>13</v>
      </c>
      <c r="D17" s="301" t="s">
        <v>130</v>
      </c>
      <c r="E17" s="309" t="s">
        <v>131</v>
      </c>
      <c r="F17" s="205" t="s">
        <v>108</v>
      </c>
    </row>
    <row r="18" spans="2:6" ht="13" x14ac:dyDescent="0.25">
      <c r="B18" s="308">
        <v>1</v>
      </c>
      <c r="C18" s="66">
        <f t="shared" si="0"/>
        <v>14</v>
      </c>
      <c r="D18" s="301" t="s">
        <v>132</v>
      </c>
      <c r="E18" s="309" t="s">
        <v>133</v>
      </c>
      <c r="F18" s="205" t="s">
        <v>108</v>
      </c>
    </row>
    <row r="19" spans="2:6" ht="13" x14ac:dyDescent="0.25">
      <c r="B19" s="308">
        <v>1</v>
      </c>
      <c r="C19" s="66">
        <f t="shared" si="0"/>
        <v>15</v>
      </c>
      <c r="D19" s="301" t="s">
        <v>134</v>
      </c>
      <c r="E19" s="309" t="s">
        <v>135</v>
      </c>
      <c r="F19" s="205" t="s">
        <v>108</v>
      </c>
    </row>
    <row r="20" spans="2:6" ht="13" x14ac:dyDescent="0.25">
      <c r="B20" s="308">
        <v>1</v>
      </c>
      <c r="C20" s="66">
        <f t="shared" si="0"/>
        <v>16</v>
      </c>
      <c r="D20" s="301" t="s">
        <v>136</v>
      </c>
      <c r="E20" s="309" t="s">
        <v>137</v>
      </c>
      <c r="F20" s="205" t="s">
        <v>108</v>
      </c>
    </row>
    <row r="21" spans="2:6" ht="13" x14ac:dyDescent="0.25">
      <c r="B21" s="308">
        <v>1</v>
      </c>
      <c r="C21" s="66">
        <f>C20+1</f>
        <v>17</v>
      </c>
      <c r="D21" s="301" t="s">
        <v>138</v>
      </c>
      <c r="E21" s="309" t="s">
        <v>139</v>
      </c>
      <c r="F21" s="205" t="s">
        <v>108</v>
      </c>
    </row>
    <row r="22" spans="2:6" ht="13" x14ac:dyDescent="0.25">
      <c r="B22" s="308">
        <v>1</v>
      </c>
      <c r="C22" s="66">
        <f t="shared" si="0"/>
        <v>18</v>
      </c>
      <c r="D22" s="301" t="s">
        <v>140</v>
      </c>
      <c r="E22" s="309" t="s">
        <v>141</v>
      </c>
      <c r="F22" s="205" t="s">
        <v>108</v>
      </c>
    </row>
    <row r="23" spans="2:6" ht="13" x14ac:dyDescent="0.25">
      <c r="B23" s="308">
        <v>1</v>
      </c>
      <c r="C23" s="66">
        <f t="shared" si="0"/>
        <v>19</v>
      </c>
      <c r="D23" s="301" t="s">
        <v>142</v>
      </c>
      <c r="E23" s="309" t="s">
        <v>143</v>
      </c>
      <c r="F23" s="205" t="s">
        <v>108</v>
      </c>
    </row>
    <row r="24" spans="2:6" ht="13" x14ac:dyDescent="0.25">
      <c r="B24" s="308">
        <v>1</v>
      </c>
      <c r="C24" s="66">
        <f t="shared" si="0"/>
        <v>20</v>
      </c>
      <c r="D24" s="301" t="s">
        <v>144</v>
      </c>
      <c r="E24" s="309" t="s">
        <v>145</v>
      </c>
      <c r="F24" s="205" t="s">
        <v>108</v>
      </c>
    </row>
    <row r="25" spans="2:6" ht="13" x14ac:dyDescent="0.25">
      <c r="B25" s="308">
        <v>1</v>
      </c>
      <c r="C25" s="66">
        <f t="shared" si="0"/>
        <v>21</v>
      </c>
      <c r="D25" s="301" t="s">
        <v>12</v>
      </c>
      <c r="E25" s="309" t="s">
        <v>146</v>
      </c>
      <c r="F25" s="14" t="s">
        <v>147</v>
      </c>
    </row>
    <row r="26" spans="2:6" ht="13" x14ac:dyDescent="0.25">
      <c r="B26" s="308">
        <v>1</v>
      </c>
      <c r="C26" s="66">
        <f t="shared" si="0"/>
        <v>22</v>
      </c>
      <c r="D26" s="301" t="s">
        <v>148</v>
      </c>
      <c r="E26" s="309" t="s">
        <v>149</v>
      </c>
      <c r="F26" s="205" t="s">
        <v>108</v>
      </c>
    </row>
    <row r="27" spans="2:6" ht="13" x14ac:dyDescent="0.25">
      <c r="B27" s="310">
        <v>1</v>
      </c>
      <c r="C27" s="302">
        <f t="shared" si="0"/>
        <v>23</v>
      </c>
      <c r="D27" s="303" t="s">
        <v>150</v>
      </c>
      <c r="E27" s="311" t="s">
        <v>151</v>
      </c>
      <c r="F27" s="14" t="s">
        <v>147</v>
      </c>
    </row>
    <row r="29" spans="2:6" ht="13" x14ac:dyDescent="0.25">
      <c r="B29" s="66"/>
      <c r="C29" s="66"/>
      <c r="D29" s="301"/>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B1:Y54"/>
  <sheetViews>
    <sheetView showGridLines="0" zoomScale="80" zoomScaleNormal="80" workbookViewId="0">
      <selection activeCell="E21" sqref="E21"/>
    </sheetView>
  </sheetViews>
  <sheetFormatPr defaultColWidth="9.1796875" defaultRowHeight="13" x14ac:dyDescent="0.3"/>
  <cols>
    <col min="1" max="1" width="2.81640625" style="1" customWidth="1"/>
    <col min="2" max="2" width="12.7265625" style="1" customWidth="1"/>
    <col min="3" max="5" width="9.1796875" style="1"/>
    <col min="6" max="6" width="5" style="1" customWidth="1"/>
    <col min="7" max="7" width="5.7265625" style="1" customWidth="1"/>
    <col min="8" max="10" width="9.1796875" style="1" customWidth="1"/>
    <col min="11" max="11" width="5" style="1" customWidth="1"/>
    <col min="12" max="12" width="5.7265625" style="1" customWidth="1"/>
    <col min="13" max="15" width="9.1796875" style="1" customWidth="1"/>
    <col min="16" max="16" width="5" style="1" customWidth="1"/>
    <col min="17" max="17" width="5.7265625" style="1" customWidth="1"/>
    <col min="18" max="20" width="9.1796875" style="1" customWidth="1"/>
    <col min="21" max="21" width="5" style="1" customWidth="1"/>
    <col min="22" max="22" width="5.7265625" style="1" customWidth="1"/>
    <col min="23" max="25" width="9.1796875" style="1" customWidth="1"/>
    <col min="26" max="16384" width="9.1796875" style="1"/>
  </cols>
  <sheetData>
    <row r="1" spans="2:25" x14ac:dyDescent="0.3">
      <c r="B1" s="1" t="s">
        <v>152</v>
      </c>
      <c r="J1" s="183" t="s">
        <v>153</v>
      </c>
      <c r="K1" s="173">
        <f>TFP_dataset!$K$1</f>
        <v>0.15246119507566927</v>
      </c>
    </row>
    <row r="2" spans="2:25" x14ac:dyDescent="0.3">
      <c r="J2" s="183" t="s">
        <v>154</v>
      </c>
      <c r="K2" s="174">
        <f>1-K1</f>
        <v>0.84753880492433076</v>
      </c>
    </row>
    <row r="3" spans="2:25" ht="13.5" thickBot="1" x14ac:dyDescent="0.35">
      <c r="M3" s="336" t="s">
        <v>155</v>
      </c>
      <c r="N3" s="336"/>
      <c r="O3" s="336"/>
      <c r="P3" s="336"/>
      <c r="Q3" s="336"/>
      <c r="R3" s="336"/>
      <c r="S3" s="336"/>
      <c r="T3" s="336"/>
      <c r="U3" s="336"/>
      <c r="V3" s="336"/>
      <c r="W3" s="336"/>
      <c r="X3" s="336"/>
      <c r="Y3" s="336"/>
    </row>
    <row r="4" spans="2:25" s="16" customFormat="1" x14ac:dyDescent="0.3">
      <c r="B4" s="254"/>
      <c r="C4" s="255" t="s">
        <v>147</v>
      </c>
      <c r="D4" s="255" t="s">
        <v>105</v>
      </c>
      <c r="E4" s="256" t="s">
        <v>108</v>
      </c>
      <c r="H4" s="257" t="s">
        <v>147</v>
      </c>
      <c r="I4" s="258" t="s">
        <v>147</v>
      </c>
      <c r="J4" s="259" t="s">
        <v>147</v>
      </c>
      <c r="M4" s="257" t="s">
        <v>147</v>
      </c>
      <c r="N4" s="258" t="s">
        <v>147</v>
      </c>
      <c r="O4" s="259" t="s">
        <v>147</v>
      </c>
      <c r="R4" s="253" t="s">
        <v>105</v>
      </c>
      <c r="S4" s="260" t="s">
        <v>105</v>
      </c>
      <c r="T4" s="261" t="s">
        <v>105</v>
      </c>
      <c r="W4" s="253" t="s">
        <v>108</v>
      </c>
      <c r="X4" s="260" t="s">
        <v>108</v>
      </c>
      <c r="Y4" s="261" t="s">
        <v>108</v>
      </c>
    </row>
    <row r="5" spans="2:25" ht="65" x14ac:dyDescent="0.3">
      <c r="B5" s="64" t="s">
        <v>3</v>
      </c>
      <c r="C5" s="52" t="s">
        <v>156</v>
      </c>
      <c r="D5" s="52" t="s">
        <v>156</v>
      </c>
      <c r="E5" s="88" t="s">
        <v>156</v>
      </c>
      <c r="H5" s="163" t="s">
        <v>157</v>
      </c>
      <c r="I5" s="164" t="s">
        <v>158</v>
      </c>
      <c r="J5" s="165" t="s">
        <v>159</v>
      </c>
      <c r="M5" s="163" t="s">
        <v>160</v>
      </c>
      <c r="N5" s="164" t="s">
        <v>161</v>
      </c>
      <c r="O5" s="165" t="s">
        <v>162</v>
      </c>
      <c r="R5" s="166" t="str">
        <f>'Can O&amp;M price indexes'!D4</f>
        <v>(Ontario)
Industrial Labour Index Growth</v>
      </c>
      <c r="S5" s="167" t="str">
        <f>'Can O&amp;M price indexes'!F4</f>
        <v>(Canada)
GDP-IPI FDD Growth</v>
      </c>
      <c r="T5" s="168" t="str">
        <f>'Can O&amp;M price indexes'!J4</f>
        <v>O&amp;M Price Index Growth</v>
      </c>
      <c r="W5" s="163" t="str">
        <f>'US O&amp;M price indexes'!D4</f>
        <v>(USA)
Labour Index Growth</v>
      </c>
      <c r="X5" s="164" t="str">
        <f>'US O&amp;M price indexes'!F4</f>
        <v>(USA)
GDP-PI Growth</v>
      </c>
      <c r="Y5" s="165" t="str">
        <f>'US O&amp;M price indexes'!J4</f>
        <v>O&amp;M Price Index Growth</v>
      </c>
    </row>
    <row r="6" spans="2:25" x14ac:dyDescent="0.3">
      <c r="B6" s="89">
        <v>2002</v>
      </c>
      <c r="C6" s="68">
        <f>J6</f>
        <v>1</v>
      </c>
      <c r="D6" s="90">
        <f>'Can O&amp;M price indexes'!K5</f>
        <v>1</v>
      </c>
      <c r="E6" s="91">
        <f>'US O&amp;M price indexes'!K5</f>
        <v>1</v>
      </c>
      <c r="G6" s="155">
        <f t="shared" ref="G6:G27" si="0">B6</f>
        <v>2002</v>
      </c>
      <c r="H6" s="150">
        <v>1</v>
      </c>
      <c r="I6" s="148">
        <v>1</v>
      </c>
      <c r="J6" s="151">
        <v>1</v>
      </c>
      <c r="K6" s="41"/>
      <c r="L6" s="155">
        <f t="shared" ref="L6:L27" si="1">B6</f>
        <v>2002</v>
      </c>
      <c r="M6" s="237">
        <f>$K$1*R6+$K$2*W6</f>
        <v>1</v>
      </c>
      <c r="N6" s="158">
        <f t="shared" ref="N6:N17" si="2">$K$1*S6+$K$2*X6</f>
        <v>1</v>
      </c>
      <c r="O6" s="159">
        <f t="shared" ref="O6:O17" si="3">$K$1*T6+$K$2*Y6</f>
        <v>1</v>
      </c>
      <c r="Q6" s="155">
        <f t="shared" ref="Q6:Q27" si="4">B6</f>
        <v>2002</v>
      </c>
      <c r="R6" s="169">
        <f>'Can O&amp;M price indexes'!D5</f>
        <v>1</v>
      </c>
      <c r="S6" s="90">
        <f>'Can O&amp;M price indexes'!F5</f>
        <v>1</v>
      </c>
      <c r="T6" s="149">
        <f>'Can O&amp;M price indexes'!J5</f>
        <v>1</v>
      </c>
      <c r="U6" s="41"/>
      <c r="V6" s="262">
        <f t="shared" ref="V6:V27" si="5">B6</f>
        <v>2002</v>
      </c>
      <c r="W6" s="169">
        <f>'US O&amp;M price indexes'!D5</f>
        <v>1</v>
      </c>
      <c r="X6" s="90">
        <f>'US O&amp;M price indexes'!F5</f>
        <v>1</v>
      </c>
      <c r="Y6" s="149">
        <f>'US O&amp;M price indexes'!J5</f>
        <v>1</v>
      </c>
    </row>
    <row r="7" spans="2:25" x14ac:dyDescent="0.3">
      <c r="B7" s="89">
        <v>2003</v>
      </c>
      <c r="C7" s="68">
        <f>J7</f>
        <v>1.0238416428664967</v>
      </c>
      <c r="D7" s="90">
        <f>'Can O&amp;M price indexes'!K6</f>
        <v>1.0211550101430107</v>
      </c>
      <c r="E7" s="91">
        <f>'US O&amp;M price indexes'!K6</f>
        <v>1.0243249331104032</v>
      </c>
      <c r="G7" s="156">
        <f t="shared" si="0"/>
        <v>2003</v>
      </c>
      <c r="H7" s="150">
        <f>H6*M7</f>
        <v>1.0267093330641244</v>
      </c>
      <c r="I7" s="148">
        <f>I6*N7</f>
        <v>1.0191225895515819</v>
      </c>
      <c r="J7" s="151">
        <f>J6*O7</f>
        <v>1.0238416428664967</v>
      </c>
      <c r="L7" s="156">
        <f t="shared" si="1"/>
        <v>2003</v>
      </c>
      <c r="M7" s="68">
        <f t="shared" ref="M7:M17" si="6">$K$1*R7+$K$2*W7</f>
        <v>1.0267093330641244</v>
      </c>
      <c r="N7" s="68">
        <f t="shared" si="2"/>
        <v>1.0191225895515819</v>
      </c>
      <c r="O7" s="160">
        <f t="shared" si="3"/>
        <v>1.0238416428664967</v>
      </c>
      <c r="Q7" s="156">
        <f t="shared" si="4"/>
        <v>2003</v>
      </c>
      <c r="R7" s="169">
        <f>'Can O&amp;M price indexes'!D6</f>
        <v>1.0244907140547457</v>
      </c>
      <c r="S7" s="90">
        <f>'Can O&amp;M price indexes'!F6</f>
        <v>1.0156657963446476</v>
      </c>
      <c r="T7" s="149">
        <f>'Can O&amp;M price indexes'!J6</f>
        <v>1.0211550101430107</v>
      </c>
      <c r="V7" s="263">
        <f t="shared" si="5"/>
        <v>2003</v>
      </c>
      <c r="W7" s="169">
        <f>'US O&amp;M price indexes'!D6</f>
        <v>1.0271084337349399</v>
      </c>
      <c r="X7" s="90">
        <f>'US O&amp;M price indexes'!F6</f>
        <v>1.0197444216380851</v>
      </c>
      <c r="Y7" s="149">
        <f>'US O&amp;M price indexes'!J6</f>
        <v>1.0243249331104032</v>
      </c>
    </row>
    <row r="8" spans="2:25" x14ac:dyDescent="0.3">
      <c r="B8" s="89">
        <v>2004</v>
      </c>
      <c r="C8" s="68">
        <f t="shared" ref="C8:C15" si="7">J8</f>
        <v>1.0528306384899577</v>
      </c>
      <c r="D8" s="90">
        <f>'Can O&amp;M price indexes'!K7</f>
        <v>1.0457775544658492</v>
      </c>
      <c r="E8" s="91">
        <f>'US O&amp;M price indexes'!K7</f>
        <v>1.0541017922786453</v>
      </c>
      <c r="G8" s="156">
        <f t="shared" si="0"/>
        <v>2004</v>
      </c>
      <c r="H8" s="150">
        <f t="shared" ref="H8:H15" si="8">H7*M8</f>
        <v>1.0575119539304634</v>
      </c>
      <c r="I8" s="148">
        <f t="shared" ref="I8:J15" si="9">I7*N8</f>
        <v>1.045148160850379</v>
      </c>
      <c r="J8" s="151">
        <f t="shared" si="9"/>
        <v>1.0528306384899577</v>
      </c>
      <c r="L8" s="156">
        <f t="shared" si="1"/>
        <v>2004</v>
      </c>
      <c r="M8" s="68">
        <f t="shared" si="6"/>
        <v>1.0300013059922337</v>
      </c>
      <c r="N8" s="68">
        <f t="shared" si="2"/>
        <v>1.0255372332687165</v>
      </c>
      <c r="O8" s="160">
        <f t="shared" si="3"/>
        <v>1.0283139446665788</v>
      </c>
      <c r="Q8" s="156">
        <f t="shared" si="4"/>
        <v>2004</v>
      </c>
      <c r="R8" s="169">
        <f>'Can O&amp;M price indexes'!D7</f>
        <v>1.0278300009606016</v>
      </c>
      <c r="S8" s="90">
        <f>'Can O&amp;M price indexes'!F7</f>
        <v>1.0179948586118253</v>
      </c>
      <c r="T8" s="149">
        <f>'Can O&amp;M price indexes'!J7</f>
        <v>1.0241124452979868</v>
      </c>
      <c r="V8" s="263">
        <f t="shared" si="5"/>
        <v>2004</v>
      </c>
      <c r="W8" s="169">
        <f>'US O&amp;M price indexes'!D7</f>
        <v>1.0303918954945348</v>
      </c>
      <c r="X8" s="90">
        <f>'US O&amp;M price indexes'!F7</f>
        <v>1.0268940082590967</v>
      </c>
      <c r="Y8" s="149">
        <f>'US O&amp;M price indexes'!J7</f>
        <v>1.0290697396946333</v>
      </c>
    </row>
    <row r="9" spans="2:25" x14ac:dyDescent="0.3">
      <c r="B9" s="89">
        <v>2005</v>
      </c>
      <c r="C9" s="68">
        <f t="shared" si="7"/>
        <v>1.0834965084575219</v>
      </c>
      <c r="D9" s="90">
        <f>'Can O&amp;M price indexes'!K8</f>
        <v>1.0775076217723061</v>
      </c>
      <c r="E9" s="91">
        <f>'US O&amp;M price indexes'!K8</f>
        <v>1.0845744788301495</v>
      </c>
      <c r="G9" s="156">
        <f t="shared" si="0"/>
        <v>2005</v>
      </c>
      <c r="H9" s="150">
        <f t="shared" si="8"/>
        <v>1.0879783295293994</v>
      </c>
      <c r="I9" s="148">
        <f t="shared" si="9"/>
        <v>1.0761364696523639</v>
      </c>
      <c r="J9" s="151">
        <f t="shared" si="9"/>
        <v>1.0834965084575219</v>
      </c>
      <c r="L9" s="156">
        <f t="shared" si="1"/>
        <v>2005</v>
      </c>
      <c r="M9" s="68">
        <f t="shared" si="6"/>
        <v>1.0288094857799965</v>
      </c>
      <c r="N9" s="68">
        <f t="shared" si="2"/>
        <v>1.0296496802680792</v>
      </c>
      <c r="O9" s="160">
        <f t="shared" si="3"/>
        <v>1.0291270683493285</v>
      </c>
      <c r="Q9" s="156">
        <f t="shared" si="4"/>
        <v>2005</v>
      </c>
      <c r="R9" s="169">
        <f>'Can O&amp;M price indexes'!D8</f>
        <v>1.0365024900198936</v>
      </c>
      <c r="S9" s="90">
        <f>'Can O&amp;M price indexes'!F8</f>
        <v>1.0202020202020201</v>
      </c>
      <c r="T9" s="149">
        <f>'Can O&amp;M price indexes'!J8</f>
        <v>1.0303411248127845</v>
      </c>
      <c r="V9" s="263">
        <f t="shared" si="5"/>
        <v>2005</v>
      </c>
      <c r="W9" s="169">
        <f>'US O&amp;M price indexes'!D8</f>
        <v>1.0274256144890039</v>
      </c>
      <c r="X9" s="90">
        <f>'US O&amp;M price indexes'!F8</f>
        <v>1.0313491912945609</v>
      </c>
      <c r="Y9" s="149">
        <f>'US O&amp;M price indexes'!J8</f>
        <v>1.0289086753999646</v>
      </c>
    </row>
    <row r="10" spans="2:25" x14ac:dyDescent="0.3">
      <c r="B10" s="89">
        <v>2006</v>
      </c>
      <c r="C10" s="68">
        <f t="shared" si="7"/>
        <v>1.1150118477998616</v>
      </c>
      <c r="D10" s="90">
        <f>'Can O&amp;M price indexes'!K9</f>
        <v>1.0978504824157034</v>
      </c>
      <c r="E10" s="91">
        <f>'US O&amp;M price indexes'!K9</f>
        <v>1.1181125961415146</v>
      </c>
      <c r="G10" s="156">
        <f t="shared" si="0"/>
        <v>2006</v>
      </c>
      <c r="H10" s="150">
        <f t="shared" si="8"/>
        <v>1.1192044971962887</v>
      </c>
      <c r="I10" s="148">
        <f t="shared" si="9"/>
        <v>1.1081205964727006</v>
      </c>
      <c r="J10" s="151">
        <f t="shared" si="9"/>
        <v>1.1150118477998616</v>
      </c>
      <c r="L10" s="156">
        <f t="shared" si="1"/>
        <v>2006</v>
      </c>
      <c r="M10" s="68">
        <f t="shared" si="6"/>
        <v>1.0287010934127667</v>
      </c>
      <c r="N10" s="68">
        <f t="shared" si="2"/>
        <v>1.0297212553633359</v>
      </c>
      <c r="O10" s="160">
        <f t="shared" si="3"/>
        <v>1.0290867013380647</v>
      </c>
      <c r="Q10" s="156">
        <f t="shared" si="4"/>
        <v>2006</v>
      </c>
      <c r="R10" s="169">
        <f>'Can O&amp;M price indexes'!D9</f>
        <v>1.0160627568173328</v>
      </c>
      <c r="S10" s="90">
        <f>'Can O&amp;M price indexes'!F9</f>
        <v>1.0235148514851486</v>
      </c>
      <c r="T10" s="149">
        <f>'Can O&amp;M price indexes'!J9</f>
        <v>1.0188795515060367</v>
      </c>
      <c r="V10" s="263">
        <f t="shared" si="5"/>
        <v>2006</v>
      </c>
      <c r="W10" s="169">
        <f>'US O&amp;M price indexes'!D9</f>
        <v>1.0309745656006042</v>
      </c>
      <c r="X10" s="90">
        <f>'US O&amp;M price indexes'!F9</f>
        <v>1.0308377066065035</v>
      </c>
      <c r="Y10" s="149">
        <f>'US O&amp;M price indexes'!J9</f>
        <v>1.0309228346840138</v>
      </c>
    </row>
    <row r="11" spans="2:25" x14ac:dyDescent="0.3">
      <c r="B11" s="89">
        <v>2007</v>
      </c>
      <c r="C11" s="68">
        <f t="shared" si="7"/>
        <v>1.149414471239955</v>
      </c>
      <c r="D11" s="90">
        <f>'Can O&amp;M price indexes'!K10</f>
        <v>1.1341952388649277</v>
      </c>
      <c r="E11" s="91">
        <f>'US O&amp;M price indexes'!K10</f>
        <v>1.1521580701844729</v>
      </c>
      <c r="G11" s="156">
        <f t="shared" si="0"/>
        <v>2007</v>
      </c>
      <c r="H11" s="150">
        <f t="shared" si="8"/>
        <v>1.1565942975668722</v>
      </c>
      <c r="I11" s="148">
        <f t="shared" si="9"/>
        <v>1.1376543649676614</v>
      </c>
      <c r="J11" s="151">
        <f t="shared" si="9"/>
        <v>1.149414471239955</v>
      </c>
      <c r="L11" s="156">
        <f t="shared" si="1"/>
        <v>2007</v>
      </c>
      <c r="M11" s="68">
        <f t="shared" si="6"/>
        <v>1.0334074786727969</v>
      </c>
      <c r="N11" s="68">
        <f t="shared" si="2"/>
        <v>1.0266521248580442</v>
      </c>
      <c r="O11" s="160">
        <f t="shared" si="3"/>
        <v>1.0308540429484911</v>
      </c>
      <c r="Q11" s="156">
        <f t="shared" si="4"/>
        <v>2007</v>
      </c>
      <c r="R11" s="169">
        <f>'Can O&amp;M price indexes'!D10</f>
        <v>1.0385268762677486</v>
      </c>
      <c r="S11" s="90">
        <f>'Can O&amp;M price indexes'!F10</f>
        <v>1.0241837968561065</v>
      </c>
      <c r="T11" s="149">
        <f>'Can O&amp;M price indexes'!J10</f>
        <v>1.0331053791307279</v>
      </c>
      <c r="V11" s="263">
        <f t="shared" si="5"/>
        <v>2007</v>
      </c>
      <c r="W11" s="169">
        <f>'US O&amp;M price indexes'!D10</f>
        <v>1.032486565705911</v>
      </c>
      <c r="X11" s="90">
        <f>'US O&amp;M price indexes'!F10</f>
        <v>1.0270961449251228</v>
      </c>
      <c r="Y11" s="149">
        <f>'US O&amp;M price indexes'!J10</f>
        <v>1.0304490568842937</v>
      </c>
    </row>
    <row r="12" spans="2:25" x14ac:dyDescent="0.3">
      <c r="B12" s="89">
        <v>2008</v>
      </c>
      <c r="C12" s="68">
        <f t="shared" si="7"/>
        <v>1.1800533094406391</v>
      </c>
      <c r="D12" s="90">
        <f>'Can O&amp;M price indexes'!K11</f>
        <v>1.1613163660690422</v>
      </c>
      <c r="E12" s="91">
        <f>'US O&amp;M price indexes'!K11</f>
        <v>1.1834387209650832</v>
      </c>
      <c r="G12" s="156">
        <f t="shared" si="0"/>
        <v>2008</v>
      </c>
      <c r="H12" s="150">
        <f t="shared" si="8"/>
        <v>1.1920235052017334</v>
      </c>
      <c r="I12" s="148">
        <f t="shared" si="9"/>
        <v>1.1605355976356178</v>
      </c>
      <c r="J12" s="151">
        <f t="shared" si="9"/>
        <v>1.1800533094406391</v>
      </c>
      <c r="L12" s="156">
        <f t="shared" si="1"/>
        <v>2008</v>
      </c>
      <c r="M12" s="68">
        <f t="shared" si="6"/>
        <v>1.0306323554503023</v>
      </c>
      <c r="N12" s="68">
        <f t="shared" si="2"/>
        <v>1.0201126399832403</v>
      </c>
      <c r="O12" s="160">
        <f t="shared" si="3"/>
        <v>1.0266560400684983</v>
      </c>
      <c r="Q12" s="156">
        <f t="shared" si="4"/>
        <v>2008</v>
      </c>
      <c r="R12" s="169">
        <f>'Can O&amp;M price indexes'!D11</f>
        <v>1.0233767502044702</v>
      </c>
      <c r="S12" s="90">
        <f>'Can O&amp;M price indexes'!F11</f>
        <v>1.024793388429752</v>
      </c>
      <c r="T12" s="149">
        <f>'Can O&amp;M price indexes'!J11</f>
        <v>1.0239122209957932</v>
      </c>
      <c r="V12" s="263">
        <f t="shared" si="5"/>
        <v>2008</v>
      </c>
      <c r="W12" s="169">
        <f>'US O&amp;M price indexes'!D11</f>
        <v>1.0319375443577006</v>
      </c>
      <c r="X12" s="90">
        <f>'US O&amp;M price indexes'!F11</f>
        <v>1.0192706342864422</v>
      </c>
      <c r="Y12" s="149">
        <f>'US O&amp;M price indexes'!J11</f>
        <v>1.0271496173919972</v>
      </c>
    </row>
    <row r="13" spans="2:25" x14ac:dyDescent="0.3">
      <c r="B13" s="89">
        <v>2009</v>
      </c>
      <c r="C13" s="68">
        <f t="shared" si="7"/>
        <v>1.202103422973186</v>
      </c>
      <c r="D13" s="90">
        <f>'Can O&amp;M price indexes'!K12</f>
        <v>1.1753605249380674</v>
      </c>
      <c r="E13" s="91">
        <f>'US O&amp;M price indexes'!K12</f>
        <v>1.2069555140689083</v>
      </c>
      <c r="G13" s="156">
        <f t="shared" si="0"/>
        <v>2009</v>
      </c>
      <c r="H13" s="150">
        <f t="shared" si="8"/>
        <v>1.2227726699343311</v>
      </c>
      <c r="I13" s="148">
        <f t="shared" si="9"/>
        <v>1.168642394408121</v>
      </c>
      <c r="J13" s="151">
        <f t="shared" si="9"/>
        <v>1.202103422973186</v>
      </c>
      <c r="L13" s="156">
        <f t="shared" si="1"/>
        <v>2009</v>
      </c>
      <c r="M13" s="68">
        <f t="shared" si="6"/>
        <v>1.0257957704679606</v>
      </c>
      <c r="N13" s="68">
        <f t="shared" si="2"/>
        <v>1.0069853925971934</v>
      </c>
      <c r="O13" s="160">
        <f t="shared" si="3"/>
        <v>1.0186856927192542</v>
      </c>
      <c r="Q13" s="156">
        <f t="shared" si="4"/>
        <v>2009</v>
      </c>
      <c r="R13" s="169">
        <f>'Can O&amp;M price indexes'!D12</f>
        <v>1.0124412529522628</v>
      </c>
      <c r="S13" s="90">
        <f>'Can O&amp;M price indexes'!F12</f>
        <v>1.0115207373271888</v>
      </c>
      <c r="T13" s="149">
        <f>'Can O&amp;M price indexes'!J12</f>
        <v>1.0120933100396781</v>
      </c>
      <c r="V13" s="263">
        <f t="shared" si="5"/>
        <v>2009</v>
      </c>
      <c r="W13" s="169">
        <f>'US O&amp;M price indexes'!D12</f>
        <v>1.028198074277854</v>
      </c>
      <c r="X13" s="90">
        <f>'US O&amp;M price indexes'!F12</f>
        <v>1.006169543135673</v>
      </c>
      <c r="Y13" s="149">
        <f>'US O&amp;M price indexes'!J12</f>
        <v>1.0198715765229038</v>
      </c>
    </row>
    <row r="14" spans="2:25" x14ac:dyDescent="0.3">
      <c r="B14" s="89">
        <v>2010</v>
      </c>
      <c r="C14" s="68">
        <f t="shared" si="7"/>
        <v>1.2275540955731761</v>
      </c>
      <c r="D14" s="90">
        <f>'Can O&amp;M price indexes'!K13</f>
        <v>1.2079860102312048</v>
      </c>
      <c r="E14" s="91">
        <f>'US O&amp;M price indexes'!K13</f>
        <v>1.2310789755197427</v>
      </c>
      <c r="G14" s="156">
        <f t="shared" si="0"/>
        <v>2010</v>
      </c>
      <c r="H14" s="150">
        <f t="shared" si="8"/>
        <v>1.2555795255075539</v>
      </c>
      <c r="I14" s="148">
        <f>I13*N14</f>
        <v>1.1825034718310483</v>
      </c>
      <c r="J14" s="151">
        <f t="shared" si="9"/>
        <v>1.2275540955731761</v>
      </c>
      <c r="L14" s="156">
        <f t="shared" si="1"/>
        <v>2010</v>
      </c>
      <c r="M14" s="68">
        <f t="shared" si="6"/>
        <v>1.0268298894634149</v>
      </c>
      <c r="N14" s="68">
        <f t="shared" si="2"/>
        <v>1.0118608374035134</v>
      </c>
      <c r="O14" s="160">
        <f t="shared" si="3"/>
        <v>1.0211717828213502</v>
      </c>
      <c r="Q14" s="156">
        <f t="shared" si="4"/>
        <v>2010</v>
      </c>
      <c r="R14" s="169">
        <f>'Can O&amp;M price indexes'!D13</f>
        <v>1.0383967388102784</v>
      </c>
      <c r="S14" s="90">
        <f>'Can O&amp;M price indexes'!F13</f>
        <v>1.0102505694760822</v>
      </c>
      <c r="T14" s="149">
        <f>'Can O&amp;M price indexes'!J13</f>
        <v>1.0277578535274157</v>
      </c>
      <c r="V14" s="263">
        <f t="shared" si="5"/>
        <v>2010</v>
      </c>
      <c r="W14" s="169">
        <f>'US O&amp;M price indexes'!D13</f>
        <v>1.0247491638795987</v>
      </c>
      <c r="X14" s="90">
        <f>'US O&amp;M price indexes'!F13</f>
        <v>1.0121505036361174</v>
      </c>
      <c r="Y14" s="149">
        <f>'US O&amp;M price indexes'!J13</f>
        <v>1.0199870344595461</v>
      </c>
    </row>
    <row r="15" spans="2:25" x14ac:dyDescent="0.3">
      <c r="B15" s="89">
        <v>2011</v>
      </c>
      <c r="C15" s="68">
        <f t="shared" si="7"/>
        <v>1.2568139386826445</v>
      </c>
      <c r="D15" s="90">
        <f>'Can O&amp;M price indexes'!K14</f>
        <v>1.2290606500769137</v>
      </c>
      <c r="E15" s="91">
        <f>'US O&amp;M price indexes'!K14</f>
        <v>1.2618378893814672</v>
      </c>
      <c r="G15" s="156">
        <f t="shared" si="0"/>
        <v>2011</v>
      </c>
      <c r="H15" s="150">
        <f t="shared" si="8"/>
        <v>1.2875999844905655</v>
      </c>
      <c r="I15" s="148">
        <f>I14*N15</f>
        <v>1.2074463355044307</v>
      </c>
      <c r="J15" s="151">
        <f t="shared" si="9"/>
        <v>1.2568139386826445</v>
      </c>
      <c r="L15" s="156">
        <f t="shared" si="1"/>
        <v>2011</v>
      </c>
      <c r="M15" s="68">
        <f t="shared" si="6"/>
        <v>1.0255025335572174</v>
      </c>
      <c r="N15" s="68">
        <f t="shared" si="2"/>
        <v>1.0210932688719803</v>
      </c>
      <c r="O15" s="160">
        <f t="shared" si="3"/>
        <v>1.0238358889559211</v>
      </c>
      <c r="Q15" s="156">
        <f t="shared" si="4"/>
        <v>2011</v>
      </c>
      <c r="R15" s="169">
        <f>'Can O&amp;M price indexes'!D14</f>
        <v>1.0136607061813561</v>
      </c>
      <c r="S15" s="90">
        <f>'Can O&amp;M price indexes'!F14</f>
        <v>1.0236753100338218</v>
      </c>
      <c r="T15" s="149">
        <f>'Can O&amp;M price indexes'!J14</f>
        <v>1.0174460959541041</v>
      </c>
      <c r="V15" s="263">
        <f t="shared" si="5"/>
        <v>2011</v>
      </c>
      <c r="W15" s="169">
        <f>'US O&amp;M price indexes'!D14</f>
        <v>1.0276327241079199</v>
      </c>
      <c r="X15" s="90">
        <f>'US O&amp;M price indexes'!F14</f>
        <v>1.0206287932881113</v>
      </c>
      <c r="Y15" s="149">
        <f>'US O&amp;M price indexes'!J14</f>
        <v>1.0249853295144924</v>
      </c>
    </row>
    <row r="16" spans="2:25" x14ac:dyDescent="0.3">
      <c r="B16" s="89">
        <v>2012</v>
      </c>
      <c r="C16" s="68">
        <f t="shared" ref="C16:C20" si="10">J16</f>
        <v>1.2834735563541508</v>
      </c>
      <c r="D16" s="90">
        <f>'Can O&amp;M price indexes'!K15</f>
        <v>1.2475770983547301</v>
      </c>
      <c r="E16" s="91">
        <f>'US O&amp;M price indexes'!K15</f>
        <v>1.2899992664705944</v>
      </c>
      <c r="G16" s="156">
        <f t="shared" si="0"/>
        <v>2012</v>
      </c>
      <c r="H16" s="150">
        <f t="shared" ref="H16:H20" si="11">H15*M16</f>
        <v>1.317186822192042</v>
      </c>
      <c r="I16" s="148">
        <f>I15*N16</f>
        <v>1.2295493454911639</v>
      </c>
      <c r="J16" s="151">
        <f>J15*O16</f>
        <v>1.2834735563541508</v>
      </c>
      <c r="L16" s="156">
        <f t="shared" si="1"/>
        <v>2012</v>
      </c>
      <c r="M16" s="68">
        <f t="shared" si="6"/>
        <v>1.0229782836733898</v>
      </c>
      <c r="N16" s="68">
        <f t="shared" si="2"/>
        <v>1.0183055837239336</v>
      </c>
      <c r="O16" s="160">
        <f t="shared" si="3"/>
        <v>1.021212063974601</v>
      </c>
      <c r="Q16" s="156">
        <f t="shared" si="4"/>
        <v>2012</v>
      </c>
      <c r="R16" s="169">
        <f>'Can O&amp;M price indexes'!D15</f>
        <v>1.0141817774792927</v>
      </c>
      <c r="S16" s="90">
        <f>'Can O&amp;M price indexes'!F15</f>
        <v>1.0165198237885462</v>
      </c>
      <c r="T16" s="149">
        <f>'Can O&amp;M price indexes'!J15</f>
        <v>1.0150655285210357</v>
      </c>
      <c r="V16" s="263">
        <f t="shared" si="5"/>
        <v>2012</v>
      </c>
      <c r="W16" s="169">
        <f>'US O&amp;M price indexes'!D15</f>
        <v>1.0245606605970781</v>
      </c>
      <c r="X16" s="90">
        <f>'US O&amp;M price indexes'!F15</f>
        <v>1.0186268186836611</v>
      </c>
      <c r="Y16" s="149">
        <f>'US O&amp;M price indexes'!J15</f>
        <v>1.022317745667735</v>
      </c>
    </row>
    <row r="17" spans="2:25" x14ac:dyDescent="0.3">
      <c r="B17" s="89">
        <v>2013</v>
      </c>
      <c r="C17" s="68">
        <f t="shared" si="10"/>
        <v>1.3123497833664799</v>
      </c>
      <c r="D17" s="90">
        <f>'Can O&amp;M price indexes'!K16</f>
        <v>1.2676049758674726</v>
      </c>
      <c r="E17" s="91">
        <f>'US O&amp;M price indexes'!K16</f>
        <v>1.3205179190058658</v>
      </c>
      <c r="G17" s="156">
        <f t="shared" si="0"/>
        <v>2013</v>
      </c>
      <c r="H17" s="150">
        <f t="shared" si="11"/>
        <v>1.3511683643098851</v>
      </c>
      <c r="I17" s="148">
        <f>I16*N17</f>
        <v>1.2505351858713827</v>
      </c>
      <c r="J17" s="151">
        <f>J16*O17</f>
        <v>1.3123497833664799</v>
      </c>
      <c r="L17" s="156">
        <f t="shared" si="1"/>
        <v>2013</v>
      </c>
      <c r="M17" s="68">
        <f t="shared" si="6"/>
        <v>1.0257985743140761</v>
      </c>
      <c r="N17" s="68">
        <f t="shared" si="2"/>
        <v>1.0170679122860544</v>
      </c>
      <c r="O17" s="160">
        <f t="shared" si="3"/>
        <v>1.0224984978220784</v>
      </c>
      <c r="Q17" s="156">
        <f t="shared" si="4"/>
        <v>2013</v>
      </c>
      <c r="R17" s="169">
        <f>'Can O&amp;M price indexes'!D16</f>
        <v>1.0152747580209034</v>
      </c>
      <c r="S17" s="90">
        <f>'Can O&amp;M price indexes'!F16</f>
        <v>1.0173347778981583</v>
      </c>
      <c r="T17" s="149">
        <f>'Can O&amp;M price indexes'!J16</f>
        <v>1.0160534186938464</v>
      </c>
      <c r="V17" s="263">
        <f t="shared" si="5"/>
        <v>2013</v>
      </c>
      <c r="W17" s="169">
        <f>'US O&amp;M price indexes'!D16</f>
        <v>1.0276916718330233</v>
      </c>
      <c r="X17" s="90">
        <f>'US O&amp;M price indexes'!F16</f>
        <v>1.0170199066373342</v>
      </c>
      <c r="Y17" s="149">
        <f>'US O&amp;M price indexes'!J16</f>
        <v>1.0236578836349028</v>
      </c>
    </row>
    <row r="18" spans="2:25" x14ac:dyDescent="0.3">
      <c r="B18" s="89">
        <v>2014</v>
      </c>
      <c r="C18" s="68">
        <f t="shared" si="10"/>
        <v>1.3426916744549025</v>
      </c>
      <c r="D18" s="90">
        <f>'Can O&amp;M price indexes'!K17</f>
        <v>1.2944731022415634</v>
      </c>
      <c r="E18" s="91">
        <f>'US O&amp;M price indexes'!K17</f>
        <v>1.3515057655531344</v>
      </c>
      <c r="G18" s="156">
        <f t="shared" si="0"/>
        <v>2014</v>
      </c>
      <c r="H18" s="150">
        <f t="shared" si="11"/>
        <v>1.3863425896094701</v>
      </c>
      <c r="I18" s="148">
        <f t="shared" ref="I18:J20" si="12">I17*N18</f>
        <v>1.2734550213705229</v>
      </c>
      <c r="J18" s="151">
        <f t="shared" si="12"/>
        <v>1.3426916744549025</v>
      </c>
      <c r="L18" s="156">
        <f t="shared" si="1"/>
        <v>2014</v>
      </c>
      <c r="M18" s="68">
        <f t="shared" ref="M18:O20" si="13">$K$1*R18+$K$2*W18</f>
        <v>1.0260324517866806</v>
      </c>
      <c r="N18" s="68">
        <f t="shared" si="13"/>
        <v>1.0183280212808803</v>
      </c>
      <c r="O18" s="160">
        <f t="shared" si="13"/>
        <v>1.0231202774389832</v>
      </c>
      <c r="Q18" s="156">
        <f t="shared" si="4"/>
        <v>2014</v>
      </c>
      <c r="R18" s="169">
        <f>'Can O&amp;M price indexes'!D17</f>
        <v>1.0198388972834298</v>
      </c>
      <c r="S18" s="90">
        <f>'Can O&amp;M price indexes'!F17</f>
        <v>1.0234291799787005</v>
      </c>
      <c r="T18" s="149">
        <f>'Can O&amp;M price indexes'!J17</f>
        <v>1.0211959773632979</v>
      </c>
      <c r="V18" s="263">
        <f t="shared" si="5"/>
        <v>2014</v>
      </c>
      <c r="W18" s="169">
        <f>'US O&amp;M price indexes'!D17</f>
        <v>1.027146591594611</v>
      </c>
      <c r="X18" s="90">
        <f>'US O&amp;M price indexes'!F17</f>
        <v>1.0174103892540969</v>
      </c>
      <c r="Y18" s="149">
        <f>'US O&amp;M price indexes'!J17</f>
        <v>1.0234664339659982</v>
      </c>
    </row>
    <row r="19" spans="2:25" x14ac:dyDescent="0.3">
      <c r="B19" s="89">
        <v>2015</v>
      </c>
      <c r="C19" s="68">
        <f t="shared" si="10"/>
        <v>1.3688285835281169</v>
      </c>
      <c r="D19" s="90">
        <f>'Can O&amp;M price indexes'!K18</f>
        <v>1.3232148193941595</v>
      </c>
      <c r="E19" s="91">
        <f>'US O&amp;M price indexes'!K18</f>
        <v>1.3771487489492493</v>
      </c>
      <c r="G19" s="156">
        <f t="shared" si="0"/>
        <v>2015</v>
      </c>
      <c r="H19" s="150">
        <f t="shared" si="11"/>
        <v>1.4210960712382206</v>
      </c>
      <c r="I19" s="148">
        <f t="shared" si="12"/>
        <v>1.286503810263482</v>
      </c>
      <c r="J19" s="151">
        <f>J18*O19</f>
        <v>1.3688285835281169</v>
      </c>
      <c r="L19" s="156">
        <f t="shared" si="1"/>
        <v>2015</v>
      </c>
      <c r="M19" s="68">
        <f t="shared" si="13"/>
        <v>1.0250684656802909</v>
      </c>
      <c r="N19" s="68">
        <f t="shared" si="13"/>
        <v>1.0102467607210153</v>
      </c>
      <c r="O19" s="160">
        <f t="shared" si="13"/>
        <v>1.0194660543224305</v>
      </c>
      <c r="Q19" s="156">
        <f t="shared" si="4"/>
        <v>2015</v>
      </c>
      <c r="R19" s="169">
        <f>'Can O&amp;M price indexes'!D18</f>
        <v>1.0262108808731987</v>
      </c>
      <c r="S19" s="90">
        <f>'Can O&amp;M price indexes'!F18</f>
        <v>1.0156087408949011</v>
      </c>
      <c r="T19" s="149">
        <f>'Can O&amp;M price indexes'!J18</f>
        <v>1.022203410100083</v>
      </c>
      <c r="V19" s="263">
        <f t="shared" si="5"/>
        <v>2015</v>
      </c>
      <c r="W19" s="169">
        <f>'US O&amp;M price indexes'!D18</f>
        <v>1.0248629600626469</v>
      </c>
      <c r="X19" s="90">
        <f>'US O&amp;M price indexes'!F18</f>
        <v>1.0092822103068833</v>
      </c>
      <c r="Y19" s="149">
        <f>'US O&amp;M price indexes'!J18</f>
        <v>1.0189736396615519</v>
      </c>
    </row>
    <row r="20" spans="2:25" x14ac:dyDescent="0.3">
      <c r="B20" s="89">
        <v>2016</v>
      </c>
      <c r="C20" s="68">
        <f t="shared" si="10"/>
        <v>1.3922309345163424</v>
      </c>
      <c r="D20" s="90">
        <f>'Can O&amp;M price indexes'!K19</f>
        <v>1.3376663690093986</v>
      </c>
      <c r="E20" s="91">
        <f>'US O&amp;M price indexes'!K19</f>
        <v>1.4022231067025266</v>
      </c>
      <c r="G20" s="156">
        <f t="shared" si="0"/>
        <v>2016</v>
      </c>
      <c r="H20" s="150">
        <f t="shared" si="11"/>
        <v>1.4518503353109056</v>
      </c>
      <c r="I20" s="148">
        <f t="shared" si="12"/>
        <v>1.2988774787951047</v>
      </c>
      <c r="J20" s="151">
        <f>J19*O20</f>
        <v>1.3922309345163424</v>
      </c>
      <c r="L20" s="156">
        <f t="shared" si="1"/>
        <v>2016</v>
      </c>
      <c r="M20" s="68">
        <f t="shared" si="13"/>
        <v>1.0216412279895253</v>
      </c>
      <c r="N20" s="68">
        <f t="shared" si="13"/>
        <v>1.0096180582077627</v>
      </c>
      <c r="O20" s="160">
        <f t="shared" si="13"/>
        <v>1.0170966264657526</v>
      </c>
      <c r="Q20" s="156">
        <f t="shared" si="4"/>
        <v>2016</v>
      </c>
      <c r="R20" s="169">
        <f>'Can O&amp;M price indexes'!D19</f>
        <v>1.011332121526876</v>
      </c>
      <c r="S20" s="90">
        <f>'Can O&amp;M price indexes'!F19</f>
        <v>1.0102459016393444</v>
      </c>
      <c r="T20" s="149">
        <f>'Can O&amp;M price indexes'!J19</f>
        <v>1.010921544562096</v>
      </c>
      <c r="V20" s="263">
        <f t="shared" si="5"/>
        <v>2016</v>
      </c>
      <c r="W20" s="169">
        <f>'US O&amp;M price indexes'!D19</f>
        <v>1.0234957020057305</v>
      </c>
      <c r="X20" s="90">
        <f>'US O&amp;M price indexes'!F19</f>
        <v>1.009505117349665</v>
      </c>
      <c r="Y20" s="149">
        <f>'US O&amp;M price indexes'!J19</f>
        <v>1.0182074432935504</v>
      </c>
    </row>
    <row r="21" spans="2:25" x14ac:dyDescent="0.3">
      <c r="B21" s="89">
        <v>2017</v>
      </c>
      <c r="C21" s="68">
        <f>J21</f>
        <v>1.4238994103641045</v>
      </c>
      <c r="D21" s="90">
        <f>'Can O&amp;M price indexes'!K20</f>
        <v>1.3608770138253408</v>
      </c>
      <c r="E21" s="91">
        <f>'US O&amp;M price indexes'!K20</f>
        <v>1.4354797073105297</v>
      </c>
      <c r="G21" s="156">
        <f t="shared" si="0"/>
        <v>2017</v>
      </c>
      <c r="H21" s="150">
        <f>H20*M21</f>
        <v>1.4896450621321846</v>
      </c>
      <c r="I21" s="148">
        <f>I20*N21</f>
        <v>1.3213998865711907</v>
      </c>
      <c r="J21" s="151">
        <f>J20*O21</f>
        <v>1.4238994103641045</v>
      </c>
      <c r="L21" s="156">
        <f t="shared" si="1"/>
        <v>2017</v>
      </c>
      <c r="M21" s="68">
        <f t="shared" ref="M21:O21" si="14">$K$1*R21+$K$2*W21</f>
        <v>1.0260321094413534</v>
      </c>
      <c r="N21" s="68">
        <f t="shared" si="14"/>
        <v>1.0173399016795477</v>
      </c>
      <c r="O21" s="160">
        <f t="shared" si="14"/>
        <v>1.0227465681609522</v>
      </c>
      <c r="Q21" s="156">
        <f t="shared" si="4"/>
        <v>2017</v>
      </c>
      <c r="R21" s="68">
        <f>'Can O&amp;M price indexes'!D20</f>
        <v>1.0192675061109628</v>
      </c>
      <c r="S21" s="68">
        <f>'Can O&amp;M price indexes'!F20</f>
        <v>1.0141987829614605</v>
      </c>
      <c r="T21" s="160">
        <f>'Can O&amp;M price indexes'!J20</f>
        <v>1.0173515948024698</v>
      </c>
      <c r="V21" s="156">
        <f t="shared" si="5"/>
        <v>2017</v>
      </c>
      <c r="W21" s="68">
        <f>'US O&amp;M price indexes'!D20</f>
        <v>1.0272489734975736</v>
      </c>
      <c r="X21" s="68">
        <f>'US O&amp;M price indexes'!F20</f>
        <v>1.0179049480359523</v>
      </c>
      <c r="Y21" s="160">
        <f>'US O&amp;M price indexes'!J20</f>
        <v>1.023717053619384</v>
      </c>
    </row>
    <row r="22" spans="2:25" x14ac:dyDescent="0.3">
      <c r="B22" s="89">
        <v>2018</v>
      </c>
      <c r="C22" s="68">
        <f t="shared" ref="C22:C26" si="15">J22</f>
        <v>1.4578813512867395</v>
      </c>
      <c r="D22" s="90">
        <f>'Can O&amp;M price indexes'!K21</f>
        <v>1.3938257642733642</v>
      </c>
      <c r="E22" s="91">
        <f>'US O&amp;M price indexes'!K21</f>
        <v>1.4696486709592738</v>
      </c>
      <c r="G22" s="156">
        <f t="shared" si="0"/>
        <v>2018</v>
      </c>
      <c r="H22" s="150">
        <f t="shared" ref="H22:H26" si="16">H21*M22</f>
        <v>1.5270145852961579</v>
      </c>
      <c r="I22" s="148">
        <f t="shared" ref="I22:I26" si="17">I21*N22</f>
        <v>1.3502810541299093</v>
      </c>
      <c r="J22" s="151">
        <f t="shared" ref="J22:J26" si="18">J21*O22</f>
        <v>1.4578813512867395</v>
      </c>
      <c r="L22" s="156">
        <f t="shared" si="1"/>
        <v>2018</v>
      </c>
      <c r="M22" s="68">
        <f t="shared" ref="M22:M26" si="19">$K$1*R22+$K$2*W22</f>
        <v>1.0250861927541886</v>
      </c>
      <c r="N22" s="68">
        <f t="shared" ref="N22:N26" si="20">$K$1*S22+$K$2*X22</f>
        <v>1.0218564931420271</v>
      </c>
      <c r="O22" s="160">
        <f t="shared" ref="O22:O26" si="21">$K$1*T22+$K$2*Y22</f>
        <v>1.0238654083815832</v>
      </c>
      <c r="Q22" s="156">
        <f t="shared" si="4"/>
        <v>2018</v>
      </c>
      <c r="R22" s="68">
        <f>'Can O&amp;M price indexes'!D21</f>
        <v>1.029201346204228</v>
      </c>
      <c r="S22" s="68">
        <f>'Can O&amp;M price indexes'!F21</f>
        <v>1.016</v>
      </c>
      <c r="T22" s="160">
        <f>'Can O&amp;M price indexes'!J21</f>
        <v>1.0242114093436017</v>
      </c>
      <c r="V22" s="263">
        <f t="shared" si="5"/>
        <v>2018</v>
      </c>
      <c r="W22" s="68">
        <f>'US O&amp;M price indexes'!D21</f>
        <v>1.0243459302325584</v>
      </c>
      <c r="X22" s="68">
        <f>'US O&amp;M price indexes'!F21</f>
        <v>1.02291</v>
      </c>
      <c r="Y22" s="160">
        <f>'US O&amp;M price indexes'!J21</f>
        <v>1.0238031673138466</v>
      </c>
    </row>
    <row r="23" spans="2:25" x14ac:dyDescent="0.3">
      <c r="B23" s="89">
        <v>2019</v>
      </c>
      <c r="C23" s="68">
        <f t="shared" si="15"/>
        <v>1.492312503219785</v>
      </c>
      <c r="D23" s="90">
        <f>'Can O&amp;M price indexes'!K22</f>
        <v>1.4271988496327488</v>
      </c>
      <c r="E23" s="91">
        <f>'US O&amp;M price indexes'!K22</f>
        <v>1.5042714809282662</v>
      </c>
      <c r="G23" s="156">
        <f t="shared" si="0"/>
        <v>2019</v>
      </c>
      <c r="H23" s="150">
        <f t="shared" si="16"/>
        <v>1.5693699845334985</v>
      </c>
      <c r="I23" s="148">
        <f t="shared" si="17"/>
        <v>1.3730159784276084</v>
      </c>
      <c r="J23" s="151">
        <f t="shared" si="18"/>
        <v>1.492312503219785</v>
      </c>
      <c r="L23" s="156">
        <f t="shared" si="1"/>
        <v>2019</v>
      </c>
      <c r="M23" s="68">
        <f t="shared" si="19"/>
        <v>1.0277373900977678</v>
      </c>
      <c r="N23" s="68">
        <f t="shared" si="20"/>
        <v>1.0168371793621507</v>
      </c>
      <c r="O23" s="160">
        <f t="shared" si="21"/>
        <v>1.0236172524620446</v>
      </c>
      <c r="Q23" s="156">
        <f t="shared" si="4"/>
        <v>2019</v>
      </c>
      <c r="R23" s="68">
        <f>'Can O&amp;M price indexes'!D22</f>
        <v>1.0271294301938516</v>
      </c>
      <c r="S23" s="68">
        <f>'Can O&amp;M price indexes'!F22</f>
        <v>1.0187007874015748</v>
      </c>
      <c r="T23" s="160">
        <f>'Can O&amp;M price indexes'!J22</f>
        <v>1.02394351303786</v>
      </c>
      <c r="V23" s="156">
        <f t="shared" si="5"/>
        <v>2019</v>
      </c>
      <c r="W23" s="68">
        <f>'US O&amp;M price indexes'!D22</f>
        <v>1.0278467541681449</v>
      </c>
      <c r="X23" s="68">
        <f>'US O&amp;M price indexes'!F22</f>
        <v>1.0165019405421787</v>
      </c>
      <c r="Y23" s="160">
        <f>'US O&amp;M price indexes'!J22</f>
        <v>1.0235585624327435</v>
      </c>
    </row>
    <row r="24" spans="2:25" x14ac:dyDescent="0.3">
      <c r="B24" s="89">
        <v>2020</v>
      </c>
      <c r="C24" s="68">
        <f t="shared" si="15"/>
        <v>1.5281127666504286</v>
      </c>
      <c r="D24" s="90">
        <f>'Can O&amp;M price indexes'!K23</f>
        <v>1.5020548318522224</v>
      </c>
      <c r="E24" s="91">
        <f>'US O&amp;M price indexes'!K23</f>
        <v>1.5326574508173785</v>
      </c>
      <c r="G24" s="156">
        <f t="shared" si="0"/>
        <v>2020</v>
      </c>
      <c r="H24" s="150">
        <f t="shared" si="16"/>
        <v>1.6164852823213991</v>
      </c>
      <c r="I24" s="148">
        <f t="shared" si="17"/>
        <v>1.3923254792238031</v>
      </c>
      <c r="J24" s="151">
        <f t="shared" si="18"/>
        <v>1.5281127666504286</v>
      </c>
      <c r="L24" s="156">
        <f t="shared" si="1"/>
        <v>2020</v>
      </c>
      <c r="M24" s="68">
        <f t="shared" si="19"/>
        <v>1.0300217910704503</v>
      </c>
      <c r="N24" s="68">
        <f t="shared" si="20"/>
        <v>1.0140635659741617</v>
      </c>
      <c r="O24" s="160">
        <f t="shared" si="21"/>
        <v>1.0239897899088841</v>
      </c>
      <c r="Q24" s="156">
        <f t="shared" si="4"/>
        <v>2020</v>
      </c>
      <c r="R24" s="68">
        <f>'Can O&amp;M price indexes'!D23</f>
        <v>1.0731667794606856</v>
      </c>
      <c r="S24" s="68">
        <f>'Can O&amp;M price indexes'!F23</f>
        <v>1.0183574879227053</v>
      </c>
      <c r="T24" s="160">
        <f>'Can O&amp;M price indexes'!J23</f>
        <v>1.0524495813871597</v>
      </c>
      <c r="V24" s="263">
        <f t="shared" si="5"/>
        <v>2020</v>
      </c>
      <c r="W24" s="68">
        <f>'US O&amp;M price indexes'!D23</f>
        <v>1.0222605694564282</v>
      </c>
      <c r="X24" s="68">
        <f>'US O&amp;M price indexes'!F23</f>
        <v>1.013291145327422</v>
      </c>
      <c r="Y24" s="160">
        <f>'US O&amp;M price indexes'!J23</f>
        <v>1.0188702440011663</v>
      </c>
    </row>
    <row r="25" spans="2:25" x14ac:dyDescent="0.3">
      <c r="B25" s="89">
        <v>2021</v>
      </c>
      <c r="C25" s="68">
        <f t="shared" si="15"/>
        <v>1.5802748346527611</v>
      </c>
      <c r="D25" s="90">
        <f>'Can O&amp;M price indexes'!K24</f>
        <v>1.5565879347657179</v>
      </c>
      <c r="E25" s="91">
        <f>'US O&amp;M price indexes'!K24</f>
        <v>1.5843761763032018</v>
      </c>
      <c r="G25" s="156">
        <f t="shared" si="0"/>
        <v>2021</v>
      </c>
      <c r="H25" s="150">
        <f t="shared" si="16"/>
        <v>1.661495637408674</v>
      </c>
      <c r="I25" s="148">
        <f t="shared" si="17"/>
        <v>1.4542649841608026</v>
      </c>
      <c r="J25" s="151">
        <f t="shared" si="18"/>
        <v>1.5802748346527611</v>
      </c>
      <c r="L25" s="156">
        <f t="shared" si="1"/>
        <v>2021</v>
      </c>
      <c r="M25" s="68">
        <f t="shared" si="19"/>
        <v>1.0278445808195893</v>
      </c>
      <c r="N25" s="68">
        <f t="shared" si="20"/>
        <v>1.0444863689282837</v>
      </c>
      <c r="O25" s="160">
        <f t="shared" si="21"/>
        <v>1.0341349598934835</v>
      </c>
      <c r="Q25" s="156">
        <f t="shared" si="4"/>
        <v>2021</v>
      </c>
      <c r="R25" s="68">
        <f>'Can O&amp;M price indexes'!D24</f>
        <v>1.035306030003464</v>
      </c>
      <c r="S25" s="68">
        <f>'Can O&amp;M price indexes'!F24</f>
        <v>1.0379506641366223</v>
      </c>
      <c r="T25" s="160">
        <f>'Can O&amp;M price indexes'!J24</f>
        <v>1.036305667248012</v>
      </c>
      <c r="V25" s="156">
        <f t="shared" si="5"/>
        <v>2021</v>
      </c>
      <c r="W25" s="68">
        <f>'US O&amp;M price indexes'!D24</f>
        <v>1.0265023632680621</v>
      </c>
      <c r="X25" s="68">
        <f>'US O&amp;M price indexes'!F24</f>
        <v>1.0456620571179089</v>
      </c>
      <c r="Y25" s="160">
        <f>'US O&amp;M price indexes'!J24</f>
        <v>1.0337444779055107</v>
      </c>
    </row>
    <row r="26" spans="2:25" x14ac:dyDescent="0.3">
      <c r="B26" s="89">
        <v>2022</v>
      </c>
      <c r="C26" s="68">
        <f t="shared" si="15"/>
        <v>1.6536101857557743</v>
      </c>
      <c r="D26" s="90">
        <f>'Can O&amp;M price indexes'!K25</f>
        <v>1.6166562563157507</v>
      </c>
      <c r="E26" s="91">
        <f>'US O&amp;M price indexes'!K25</f>
        <v>1.6601297606974663</v>
      </c>
      <c r="G26" s="156">
        <f t="shared" si="0"/>
        <v>2022</v>
      </c>
      <c r="H26" s="150">
        <f t="shared" si="16"/>
        <v>1.7147428305664063</v>
      </c>
      <c r="I26" s="148">
        <f t="shared" si="17"/>
        <v>1.5561154816481204</v>
      </c>
      <c r="J26" s="151">
        <f t="shared" si="18"/>
        <v>1.6536101857557743</v>
      </c>
      <c r="L26" s="156">
        <f t="shared" si="1"/>
        <v>2022</v>
      </c>
      <c r="M26" s="68">
        <f t="shared" si="19"/>
        <v>1.032047747799554</v>
      </c>
      <c r="N26" s="68">
        <f t="shared" si="20"/>
        <v>1.0700357215477423</v>
      </c>
      <c r="O26" s="160">
        <f t="shared" si="21"/>
        <v>1.0464067069188807</v>
      </c>
      <c r="Q26" s="156">
        <f t="shared" si="4"/>
        <v>2022</v>
      </c>
      <c r="R26" s="68">
        <f>'Can O&amp;M price indexes'!D25</f>
        <v>1.0237127022528785</v>
      </c>
      <c r="S26" s="68">
        <f>'Can O&amp;M price indexes'!F25</f>
        <v>1.0630712979890311</v>
      </c>
      <c r="T26" s="160">
        <f>'Can O&amp;M price indexes'!J25</f>
        <v>1.0385897386253824</v>
      </c>
      <c r="V26" s="263">
        <f t="shared" si="5"/>
        <v>2022</v>
      </c>
      <c r="W26" s="68">
        <f>'US O&amp;M price indexes'!D25</f>
        <v>1.0335471139615195</v>
      </c>
      <c r="X26" s="68">
        <f>'US O&amp;M price indexes'!F25</f>
        <v>1.0712885306611479</v>
      </c>
      <c r="Y26" s="160">
        <f>'US O&amp;M price indexes'!J25</f>
        <v>1.0478128777289615</v>
      </c>
    </row>
    <row r="27" spans="2:25" ht="13.5" thickBot="1" x14ac:dyDescent="0.35">
      <c r="B27" s="89">
        <v>2023</v>
      </c>
      <c r="C27" s="68">
        <f>J27</f>
        <v>1.7190076980423719</v>
      </c>
      <c r="D27" s="90">
        <f>'Can O&amp;M price indexes'!K26</f>
        <v>1.671854488653</v>
      </c>
      <c r="E27" s="91">
        <f>'US O&amp;M price indexes'!K26</f>
        <v>1.727399197988265</v>
      </c>
      <c r="G27" s="157">
        <f t="shared" si="0"/>
        <v>2023</v>
      </c>
      <c r="H27" s="152">
        <f>H26*M27</f>
        <v>1.7861153175607356</v>
      </c>
      <c r="I27" s="153">
        <f>I26*N27</f>
        <v>1.6123449287265688</v>
      </c>
      <c r="J27" s="154">
        <f>J26*O27</f>
        <v>1.7190076980423719</v>
      </c>
      <c r="L27" s="157">
        <f t="shared" si="1"/>
        <v>2023</v>
      </c>
      <c r="M27" s="161">
        <f>$K$1*R27+$K$2*W27</f>
        <v>1.0416228519647777</v>
      </c>
      <c r="N27" s="161">
        <f>$K$1*S27+$K$2*X27</f>
        <v>1.0361344949919105</v>
      </c>
      <c r="O27" s="162">
        <f>$K$1*T27+$K$2*Y27</f>
        <v>1.0395483245385961</v>
      </c>
      <c r="Q27" s="157">
        <f t="shared" si="4"/>
        <v>2023</v>
      </c>
      <c r="R27" s="161">
        <f>'Can O&amp;M price indexes'!D26</f>
        <v>1.0324237802323049</v>
      </c>
      <c r="S27" s="161">
        <f>'Can O&amp;M price indexes'!F26</f>
        <v>1.0369733447979363</v>
      </c>
      <c r="T27" s="162">
        <f>'Can O&amp;M price indexes'!J26</f>
        <v>1.0341434563603782</v>
      </c>
      <c r="V27" s="157">
        <f t="shared" si="5"/>
        <v>2023</v>
      </c>
      <c r="W27" s="161">
        <f>'US O&amp;M price indexes'!D26</f>
        <v>1.0432776451869532</v>
      </c>
      <c r="X27" s="161">
        <f>'US O&amp;M price indexes'!F26</f>
        <v>1.0359835968345958</v>
      </c>
      <c r="Y27" s="162">
        <f>'US O&amp;M price indexes'!J26</f>
        <v>1.0405205899462564</v>
      </c>
    </row>
    <row r="28" spans="2:25" ht="13.5" thickBot="1" x14ac:dyDescent="0.35">
      <c r="B28" s="252" t="s">
        <v>163</v>
      </c>
      <c r="C28" s="101">
        <f>C54</f>
        <v>2.5797485933348841E-2</v>
      </c>
      <c r="D28" s="101">
        <f>D54</f>
        <v>2.447302297894011E-2</v>
      </c>
      <c r="E28" s="102">
        <f>E54</f>
        <v>2.6029377313122271E-2</v>
      </c>
    </row>
    <row r="29" spans="2:25" x14ac:dyDescent="0.3">
      <c r="H29" s="9"/>
      <c r="I29" s="9"/>
      <c r="J29" s="9"/>
    </row>
    <row r="30" spans="2:25" s="16" customFormat="1" x14ac:dyDescent="0.3">
      <c r="C30" s="253" t="s">
        <v>147</v>
      </c>
      <c r="D30" s="260" t="s">
        <v>105</v>
      </c>
      <c r="E30" s="261" t="s">
        <v>108</v>
      </c>
    </row>
    <row r="31" spans="2:25" ht="65" x14ac:dyDescent="0.3">
      <c r="B31" s="175" t="s">
        <v>3</v>
      </c>
      <c r="C31" s="167" t="s">
        <v>164</v>
      </c>
      <c r="D31" s="167" t="s">
        <v>164</v>
      </c>
      <c r="E31" s="168" t="s">
        <v>164</v>
      </c>
    </row>
    <row r="32" spans="2:25" x14ac:dyDescent="0.3">
      <c r="B32" s="106">
        <v>2002</v>
      </c>
      <c r="C32" s="68"/>
      <c r="D32" s="90"/>
      <c r="E32" s="172"/>
    </row>
    <row r="33" spans="2:5" x14ac:dyDescent="0.3">
      <c r="B33" s="106">
        <v>2003</v>
      </c>
      <c r="C33" s="80">
        <f>LN(C7/C6)</f>
        <v>2.3561869020259585E-2</v>
      </c>
      <c r="D33" s="80">
        <f t="shared" ref="D33:E33" si="22">LN(D7/D6)</f>
        <v>2.0934349542210785E-2</v>
      </c>
      <c r="E33" s="176">
        <f t="shared" si="22"/>
        <v>2.4033793773396959E-2</v>
      </c>
    </row>
    <row r="34" spans="2:5" x14ac:dyDescent="0.3">
      <c r="B34" s="106">
        <v>2004</v>
      </c>
      <c r="C34" s="80">
        <f t="shared" ref="C34:E34" si="23">LN(C8/C7)</f>
        <v>2.7920514054358216E-2</v>
      </c>
      <c r="D34" s="80">
        <f t="shared" si="23"/>
        <v>2.3826330449969828E-2</v>
      </c>
      <c r="E34" s="176">
        <f t="shared" si="23"/>
        <v>2.8655228796968579E-2</v>
      </c>
    </row>
    <row r="35" spans="2:5" x14ac:dyDescent="0.3">
      <c r="B35" s="106">
        <v>2005</v>
      </c>
      <c r="C35" s="80">
        <f t="shared" ref="C35:E35" si="24">LN(C9/C8)</f>
        <v>2.8710936447943435E-2</v>
      </c>
      <c r="D35" s="80">
        <f t="shared" si="24"/>
        <v>2.9889936549153319E-2</v>
      </c>
      <c r="E35" s="176">
        <f t="shared" si="24"/>
        <v>2.8498702087245805E-2</v>
      </c>
    </row>
    <row r="36" spans="2:5" x14ac:dyDescent="0.3">
      <c r="B36" s="106">
        <v>2006</v>
      </c>
      <c r="C36" s="80">
        <f t="shared" ref="C36:E36" si="25">LN(C10/C9)</f>
        <v>2.8671711162539606E-2</v>
      </c>
      <c r="D36" s="80">
        <f t="shared" si="25"/>
        <v>1.8703544610372339E-2</v>
      </c>
      <c r="E36" s="176">
        <f t="shared" si="25"/>
        <v>3.0454357116438915E-2</v>
      </c>
    </row>
    <row r="37" spans="2:5" x14ac:dyDescent="0.3">
      <c r="B37" s="106">
        <v>2007</v>
      </c>
      <c r="C37" s="80">
        <f t="shared" ref="C37:E37" si="26">LN(C11/C10)</f>
        <v>3.0387626582893332E-2</v>
      </c>
      <c r="D37" s="80">
        <f t="shared" si="26"/>
        <v>3.2569197645815111E-2</v>
      </c>
      <c r="E37" s="176">
        <f t="shared" si="26"/>
        <v>2.999468478850971E-2</v>
      </c>
    </row>
    <row r="38" spans="2:5" x14ac:dyDescent="0.3">
      <c r="B38" s="106">
        <v>2008</v>
      </c>
      <c r="C38" s="80">
        <f t="shared" ref="C38:E38" si="27">LN(C12/C11)</f>
        <v>2.6306957681174241E-2</v>
      </c>
      <c r="D38" s="80">
        <f t="shared" si="27"/>
        <v>2.3630801259206777E-2</v>
      </c>
      <c r="E38" s="176">
        <f t="shared" si="27"/>
        <v>2.6787604261543873E-2</v>
      </c>
    </row>
    <row r="39" spans="2:5" x14ac:dyDescent="0.3">
      <c r="B39" s="106">
        <v>2009</v>
      </c>
      <c r="C39" s="80">
        <f t="shared" ref="C39:E39" si="28">LN(C13/C12)</f>
        <v>1.8513259869388635E-2</v>
      </c>
      <c r="D39" s="80">
        <f t="shared" si="28"/>
        <v>1.2020770211303293E-2</v>
      </c>
      <c r="E39" s="176">
        <f t="shared" si="28"/>
        <v>1.9676713999731175E-2</v>
      </c>
    </row>
    <row r="40" spans="2:5" x14ac:dyDescent="0.3">
      <c r="B40" s="106">
        <v>2010</v>
      </c>
      <c r="C40" s="80">
        <f t="shared" ref="C40:E40" si="29">LN(C14/C13)</f>
        <v>2.0950774610322024E-2</v>
      </c>
      <c r="D40" s="80">
        <f t="shared" si="29"/>
        <v>2.7379588243099141E-2</v>
      </c>
      <c r="E40" s="176">
        <f t="shared" si="29"/>
        <v>1.9789915901219767E-2</v>
      </c>
    </row>
    <row r="41" spans="2:5" x14ac:dyDescent="0.3">
      <c r="B41" s="106">
        <v>2011</v>
      </c>
      <c r="C41" s="80">
        <f t="shared" ref="C41:E41" si="30">LN(C15/C14)</f>
        <v>2.3556249082074834E-2</v>
      </c>
      <c r="D41" s="80">
        <f t="shared" si="30"/>
        <v>1.7295659982001391E-2</v>
      </c>
      <c r="E41" s="176">
        <f t="shared" si="30"/>
        <v>2.4678299819156372E-2</v>
      </c>
    </row>
    <row r="42" spans="2:5" x14ac:dyDescent="0.3">
      <c r="B42" s="106">
        <v>2012</v>
      </c>
      <c r="C42" s="80">
        <f t="shared" ref="C42:E42" si="31">LN(C16/C15)</f>
        <v>2.0990219843223898E-2</v>
      </c>
      <c r="D42" s="80">
        <f t="shared" si="31"/>
        <v>1.4953170529082852E-2</v>
      </c>
      <c r="E42" s="176">
        <f t="shared" si="31"/>
        <v>2.2072349201761671E-2</v>
      </c>
    </row>
    <row r="43" spans="2:5" x14ac:dyDescent="0.3">
      <c r="B43" s="106">
        <v>2013</v>
      </c>
      <c r="C43" s="80">
        <f t="shared" ref="C43:E43" si="32">LN(C17/C16)</f>
        <v>2.2249139811078844E-2</v>
      </c>
      <c r="D43" s="80">
        <f t="shared" si="32"/>
        <v>1.5925925228717414E-2</v>
      </c>
      <c r="E43" s="176">
        <f t="shared" si="32"/>
        <v>2.3382372781350819E-2</v>
      </c>
    </row>
    <row r="44" spans="2:5" x14ac:dyDescent="0.3">
      <c r="B44" s="106">
        <v>2014</v>
      </c>
      <c r="C44" s="80">
        <f t="shared" ref="C44:E44" si="33">LN(C18/C17)</f>
        <v>2.285705331243407E-2</v>
      </c>
      <c r="D44" s="80">
        <f t="shared" si="33"/>
        <v>2.0974467250228005E-2</v>
      </c>
      <c r="E44" s="176">
        <f t="shared" si="33"/>
        <v>2.3195330237997001E-2</v>
      </c>
    </row>
    <row r="45" spans="2:5" x14ac:dyDescent="0.3">
      <c r="B45" s="106">
        <v>2015</v>
      </c>
      <c r="C45" s="80">
        <f t="shared" ref="C45:E45" si="34">LN(C19/C18)</f>
        <v>1.9279014080223329E-2</v>
      </c>
      <c r="D45" s="80">
        <f t="shared" si="34"/>
        <v>2.1960503386472655E-2</v>
      </c>
      <c r="E45" s="176">
        <f t="shared" si="34"/>
        <v>1.8795885075318292E-2</v>
      </c>
    </row>
    <row r="46" spans="2:5" x14ac:dyDescent="0.3">
      <c r="B46" s="106">
        <v>2016</v>
      </c>
      <c r="C46" s="80">
        <f t="shared" ref="C46:E46" si="35">LN(C20/C19)</f>
        <v>1.6952123827230697E-2</v>
      </c>
      <c r="D46" s="80">
        <f t="shared" si="35"/>
        <v>1.0862335209250527E-2</v>
      </c>
      <c r="E46" s="176">
        <f t="shared" si="35"/>
        <v>1.8043672706432867E-2</v>
      </c>
    </row>
    <row r="47" spans="2:5" x14ac:dyDescent="0.3">
      <c r="B47" s="106">
        <v>2017</v>
      </c>
      <c r="C47" s="80">
        <f t="shared" ref="C47:E47" si="36">LN(C21/C20)</f>
        <v>2.2491722320350054E-2</v>
      </c>
      <c r="D47" s="80">
        <f t="shared" si="36"/>
        <v>1.7202774923077389E-2</v>
      </c>
      <c r="E47" s="176">
        <f t="shared" si="36"/>
        <v>2.3440173610520892E-2</v>
      </c>
    </row>
    <row r="48" spans="2:5" x14ac:dyDescent="0.3">
      <c r="B48" s="106">
        <v>2018</v>
      </c>
      <c r="C48" s="80">
        <f t="shared" ref="C48:E48" si="37">LN(C22/C21)</f>
        <v>2.3585080851339736E-2</v>
      </c>
      <c r="D48" s="80">
        <f t="shared" si="37"/>
        <v>2.3922959745642552E-2</v>
      </c>
      <c r="E48" s="176">
        <f t="shared" si="37"/>
        <v>2.3524288720723874E-2</v>
      </c>
    </row>
    <row r="49" spans="2:5" x14ac:dyDescent="0.3">
      <c r="B49" s="106">
        <v>2019</v>
      </c>
      <c r="C49" s="80">
        <f t="shared" ref="C49:E49" si="38">LN(C23/C22)</f>
        <v>2.334267985278721E-2</v>
      </c>
      <c r="D49" s="80">
        <f t="shared" si="38"/>
        <v>2.3661362046814276E-2</v>
      </c>
      <c r="E49" s="176">
        <f t="shared" si="38"/>
        <v>2.3285342296442309E-2</v>
      </c>
    </row>
    <row r="50" spans="2:5" x14ac:dyDescent="0.3">
      <c r="B50" s="106">
        <v>2020</v>
      </c>
      <c r="C50" s="80">
        <f t="shared" ref="C50:E50" si="39">LN(C24/C23)</f>
        <v>2.3706555775502011E-2</v>
      </c>
      <c r="D50" s="80">
        <f t="shared" si="39"/>
        <v>5.1120381756824942E-2</v>
      </c>
      <c r="E50" s="176">
        <f t="shared" si="39"/>
        <v>1.8694409529224527E-2</v>
      </c>
    </row>
    <row r="51" spans="2:5" x14ac:dyDescent="0.3">
      <c r="B51" s="106">
        <v>2021</v>
      </c>
      <c r="C51" s="80">
        <f t="shared" ref="C51:E51" si="40">LN(C25/C24)</f>
        <v>3.356528970966359E-2</v>
      </c>
      <c r="D51" s="80">
        <f t="shared" si="40"/>
        <v>3.5662145926085159E-2</v>
      </c>
      <c r="E51" s="176">
        <f t="shared" si="40"/>
        <v>3.3187625533042546E-2</v>
      </c>
    </row>
    <row r="52" spans="2:5" x14ac:dyDescent="0.3">
      <c r="B52" s="106">
        <v>2022</v>
      </c>
      <c r="C52" s="80">
        <f t="shared" ref="C52:E52" si="41">LN(C26/C25)</f>
        <v>4.5362111217535306E-2</v>
      </c>
      <c r="D52" s="80">
        <f t="shared" si="41"/>
        <v>3.7863772372902275E-2</v>
      </c>
      <c r="E52" s="176">
        <f t="shared" si="41"/>
        <v>4.6705018171240585E-2</v>
      </c>
    </row>
    <row r="53" spans="2:5" x14ac:dyDescent="0.3">
      <c r="B53" s="106">
        <v>2023</v>
      </c>
      <c r="C53" s="80">
        <f>LN(C27/C26)</f>
        <v>3.8786315488002966E-2</v>
      </c>
      <c r="D53" s="80">
        <f>LN(D27/D26)</f>
        <v>3.3573505689512326E-2</v>
      </c>
      <c r="E53" s="176">
        <f>LN(E27/E26)</f>
        <v>3.9721155167301125E-2</v>
      </c>
    </row>
    <row r="54" spans="2:5" x14ac:dyDescent="0.3">
      <c r="B54" s="253" t="s">
        <v>29</v>
      </c>
      <c r="C54" s="177">
        <f>AVERAGE(C33:C53)</f>
        <v>2.5797485933348841E-2</v>
      </c>
      <c r="D54" s="177">
        <f t="shared" ref="D54:E54" si="42">AVERAGE(D33:D53)</f>
        <v>2.447302297894011E-2</v>
      </c>
      <c r="E54" s="178">
        <f t="shared" si="42"/>
        <v>2.6029377313122271E-2</v>
      </c>
    </row>
  </sheetData>
  <mergeCells count="1">
    <mergeCell ref="M3:Y3"/>
  </mergeCells>
  <pageMargins left="0.7" right="0.7" top="0.75" bottom="0.75" header="0.3" footer="0.3"/>
  <pageSetup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27"/>
  <sheetViews>
    <sheetView showGridLines="0" zoomScale="80" zoomScaleNormal="80" zoomScaleSheetLayoutView="100" workbookViewId="0">
      <selection activeCell="L13" sqref="L13"/>
    </sheetView>
  </sheetViews>
  <sheetFormatPr defaultRowHeight="12.5" x14ac:dyDescent="0.25"/>
  <cols>
    <col min="1" max="1" width="2.81640625" customWidth="1"/>
    <col min="3" max="4" width="21" customWidth="1"/>
    <col min="5" max="5" width="24" customWidth="1"/>
    <col min="6" max="6" width="20.26953125" customWidth="1"/>
    <col min="7" max="7" width="9.1796875" customWidth="1"/>
    <col min="8" max="8" width="11.81640625" customWidth="1"/>
    <col min="9" max="9" width="10.7265625" customWidth="1"/>
    <col min="10" max="10" width="9.1796875" customWidth="1"/>
    <col min="11" max="11" width="10.7265625" customWidth="1"/>
    <col min="16" max="18" width="9.1796875" customWidth="1"/>
  </cols>
  <sheetData>
    <row r="1" spans="2:18" ht="13" thickBot="1" x14ac:dyDescent="0.3">
      <c r="B1" s="14" t="s">
        <v>165</v>
      </c>
      <c r="E1" s="184" t="s">
        <v>166</v>
      </c>
      <c r="F1" s="57">
        <f>'EUCG L share'!$C$52</f>
        <v>0.62201302932058922</v>
      </c>
      <c r="G1" s="197"/>
    </row>
    <row r="2" spans="2:18" x14ac:dyDescent="0.25">
      <c r="B2" s="14" t="s">
        <v>167</v>
      </c>
      <c r="E2" s="184" t="s">
        <v>168</v>
      </c>
      <c r="F2" s="179">
        <f>1-F1</f>
        <v>0.37798697067941078</v>
      </c>
      <c r="H2" s="14" t="s">
        <v>169</v>
      </c>
      <c r="I2" s="14" t="s">
        <v>170</v>
      </c>
      <c r="J2" s="14" t="s">
        <v>171</v>
      </c>
      <c r="K2" s="92" t="s">
        <v>171</v>
      </c>
      <c r="L2" s="93" t="s">
        <v>171</v>
      </c>
    </row>
    <row r="3" spans="2:18" x14ac:dyDescent="0.25">
      <c r="H3" t="s">
        <v>172</v>
      </c>
      <c r="I3" s="14" t="s">
        <v>173</v>
      </c>
      <c r="J3" s="14" t="s">
        <v>22</v>
      </c>
      <c r="K3" s="94" t="s">
        <v>22</v>
      </c>
      <c r="L3" s="95" t="s">
        <v>22</v>
      </c>
    </row>
    <row r="4" spans="2:18" ht="78" x14ac:dyDescent="0.25">
      <c r="B4" s="175" t="s">
        <v>3</v>
      </c>
      <c r="C4" s="167" t="s">
        <v>174</v>
      </c>
      <c r="D4" s="167" t="s">
        <v>175</v>
      </c>
      <c r="E4" s="167" t="s">
        <v>176</v>
      </c>
      <c r="F4" s="168" t="s">
        <v>177</v>
      </c>
      <c r="H4" s="166" t="s">
        <v>178</v>
      </c>
      <c r="I4" s="167" t="s">
        <v>158</v>
      </c>
      <c r="J4" s="167" t="s">
        <v>162</v>
      </c>
      <c r="K4" s="96" t="s">
        <v>156</v>
      </c>
      <c r="L4" s="88" t="s">
        <v>179</v>
      </c>
      <c r="N4" s="52" t="s">
        <v>3</v>
      </c>
      <c r="O4" s="52" t="s">
        <v>180</v>
      </c>
      <c r="P4" s="52" t="s">
        <v>181</v>
      </c>
      <c r="Q4" s="52" t="s">
        <v>99</v>
      </c>
    </row>
    <row r="5" spans="2:18" ht="13" x14ac:dyDescent="0.3">
      <c r="B5" s="106">
        <v>2002</v>
      </c>
      <c r="C5" s="6">
        <f>'StatsCan CANSIM tables'!$C22</f>
        <v>711.29</v>
      </c>
      <c r="D5" s="264">
        <v>1</v>
      </c>
      <c r="E5" s="6">
        <f>'StatsCan CANSIM tables'!C78</f>
        <v>76.599999999999994</v>
      </c>
      <c r="F5" s="265">
        <v>1</v>
      </c>
      <c r="H5" s="180">
        <v>1</v>
      </c>
      <c r="I5" s="170">
        <v>1</v>
      </c>
      <c r="J5" s="90">
        <f t="shared" ref="J5:J26" si="0">D5*$F$1+F5*$F$2</f>
        <v>1</v>
      </c>
      <c r="K5" s="98">
        <v>1</v>
      </c>
      <c r="L5" s="97"/>
      <c r="M5" s="58"/>
      <c r="N5" s="1">
        <f t="shared" ref="N5:N20" si="1">B5</f>
        <v>2002</v>
      </c>
      <c r="O5" s="74">
        <f>'EUCG L share'!C30</f>
        <v>0</v>
      </c>
      <c r="P5" s="68">
        <f>D5*$O5+F5*(1-O5)</f>
        <v>1</v>
      </c>
      <c r="Q5" s="68">
        <v>1</v>
      </c>
      <c r="R5" s="1"/>
    </row>
    <row r="6" spans="2:18" ht="13" x14ac:dyDescent="0.3">
      <c r="B6" s="106">
        <v>2003</v>
      </c>
      <c r="C6" s="6">
        <f>'StatsCan CANSIM tables'!$C23</f>
        <v>728.71</v>
      </c>
      <c r="D6" s="264">
        <f t="shared" ref="D6:D15" si="2">C6/C5</f>
        <v>1.0244907140547457</v>
      </c>
      <c r="E6" s="6">
        <f>'StatsCan CANSIM tables'!C79</f>
        <v>77.8</v>
      </c>
      <c r="F6" s="265">
        <f t="shared" ref="F6:F20" si="3">E6/E5</f>
        <v>1.0156657963446476</v>
      </c>
      <c r="H6" s="180">
        <f t="shared" ref="H6:H26" si="4">H5*D6</f>
        <v>1.0244907140547457</v>
      </c>
      <c r="I6" s="170">
        <f t="shared" ref="I6:I26" si="5">I5*F6</f>
        <v>1.0156657963446476</v>
      </c>
      <c r="J6" s="90">
        <f t="shared" si="0"/>
        <v>1.0211550101430107</v>
      </c>
      <c r="K6" s="98">
        <f t="shared" ref="K6:K15" si="6">K5*J6</f>
        <v>1.0211550101430107</v>
      </c>
      <c r="L6" s="81">
        <f>LN(K6/K5)</f>
        <v>2.0934349542210785E-2</v>
      </c>
      <c r="M6" s="58"/>
      <c r="N6" s="1">
        <f t="shared" si="1"/>
        <v>2003</v>
      </c>
      <c r="O6" s="74">
        <f>'EUCG L share'!C31</f>
        <v>0</v>
      </c>
      <c r="P6" s="68">
        <f t="shared" ref="P6:P26" si="7">D6*AVERAGE(O5:O6)+F6*(1-AVERAGE(O5:O6))</f>
        <v>1.0156657963446476</v>
      </c>
      <c r="Q6" s="68">
        <f>Q5*P6</f>
        <v>1.0156657963446476</v>
      </c>
      <c r="R6" s="79">
        <f>LN(Q6/Q5)</f>
        <v>1.5544354437800379E-2</v>
      </c>
    </row>
    <row r="7" spans="2:18" ht="13" x14ac:dyDescent="0.3">
      <c r="B7" s="106">
        <v>2004</v>
      </c>
      <c r="C7" s="6">
        <f>'StatsCan CANSIM tables'!$C24</f>
        <v>748.99</v>
      </c>
      <c r="D7" s="264">
        <f t="shared" si="2"/>
        <v>1.0278300009606016</v>
      </c>
      <c r="E7" s="6">
        <f>'StatsCan CANSIM tables'!C80</f>
        <v>79.2</v>
      </c>
      <c r="F7" s="265">
        <f t="shared" si="3"/>
        <v>1.0179948586118253</v>
      </c>
      <c r="H7" s="180">
        <f t="shared" si="4"/>
        <v>1.0530022916110167</v>
      </c>
      <c r="I7" s="170">
        <f t="shared" si="5"/>
        <v>1.0339425587467364</v>
      </c>
      <c r="J7" s="90">
        <f t="shared" si="0"/>
        <v>1.0241124452979868</v>
      </c>
      <c r="K7" s="98">
        <f t="shared" si="6"/>
        <v>1.0457775544658492</v>
      </c>
      <c r="L7" s="81">
        <f t="shared" ref="L7:L15" si="8">LN(K7/K6)</f>
        <v>2.3826330449969828E-2</v>
      </c>
      <c r="M7" s="58"/>
      <c r="N7" s="1">
        <f t="shared" si="1"/>
        <v>2004</v>
      </c>
      <c r="O7" s="74">
        <f>'EUCG L share'!C32</f>
        <v>0.60445579215659795</v>
      </c>
      <c r="P7" s="68">
        <f t="shared" si="7"/>
        <v>1.0209673129915267</v>
      </c>
      <c r="Q7" s="68">
        <f>Q6*P7</f>
        <v>1.036961578991394</v>
      </c>
      <c r="R7" s="79">
        <f t="shared" ref="R7:R26" si="9">LN(Q7/Q6)</f>
        <v>2.0750523970269056E-2</v>
      </c>
    </row>
    <row r="8" spans="2:18" ht="13" x14ac:dyDescent="0.3">
      <c r="B8" s="106">
        <v>2005</v>
      </c>
      <c r="C8" s="6">
        <f>'StatsCan CANSIM tables'!$C25</f>
        <v>776.33</v>
      </c>
      <c r="D8" s="264">
        <f t="shared" si="2"/>
        <v>1.0365024900198936</v>
      </c>
      <c r="E8" s="6">
        <f>'StatsCan CANSIM tables'!C81</f>
        <v>80.8</v>
      </c>
      <c r="F8" s="265">
        <f t="shared" si="3"/>
        <v>1.0202020202020201</v>
      </c>
      <c r="H8" s="180">
        <f t="shared" si="4"/>
        <v>1.0914394972514729</v>
      </c>
      <c r="I8" s="170">
        <f t="shared" si="5"/>
        <v>1.0548302872062663</v>
      </c>
      <c r="J8" s="90">
        <f t="shared" si="0"/>
        <v>1.0303411248127845</v>
      </c>
      <c r="K8" s="98">
        <f t="shared" si="6"/>
        <v>1.0775076217723061</v>
      </c>
      <c r="L8" s="81">
        <f t="shared" si="8"/>
        <v>2.9889936549153319E-2</v>
      </c>
      <c r="M8" s="58"/>
      <c r="N8" s="1">
        <f t="shared" si="1"/>
        <v>2005</v>
      </c>
      <c r="O8" s="74">
        <f>'EUCG L share'!C33</f>
        <v>0.6299519507624024</v>
      </c>
      <c r="P8" s="68">
        <f t="shared" si="7"/>
        <v>1.0302627332802203</v>
      </c>
      <c r="Q8" s="68">
        <f t="shared" ref="Q8:Q26" si="10">Q7*P8</f>
        <v>1.0683428706782467</v>
      </c>
      <c r="R8" s="79">
        <f t="shared" si="9"/>
        <v>2.981385056853739E-2</v>
      </c>
    </row>
    <row r="9" spans="2:18" ht="13" x14ac:dyDescent="0.3">
      <c r="B9" s="106">
        <v>2006</v>
      </c>
      <c r="C9" s="6">
        <f>'StatsCan CANSIM tables'!$C26</f>
        <v>788.8</v>
      </c>
      <c r="D9" s="264">
        <f t="shared" si="2"/>
        <v>1.0160627568173328</v>
      </c>
      <c r="E9" s="6">
        <f>'StatsCan CANSIM tables'!C82</f>
        <v>82.7</v>
      </c>
      <c r="F9" s="265">
        <f t="shared" si="3"/>
        <v>1.0235148514851486</v>
      </c>
      <c r="H9" s="180">
        <f t="shared" si="4"/>
        <v>1.1089710244766553</v>
      </c>
      <c r="I9" s="170">
        <f t="shared" si="5"/>
        <v>1.0796344647519582</v>
      </c>
      <c r="J9" s="90">
        <f t="shared" si="0"/>
        <v>1.0188795515060367</v>
      </c>
      <c r="K9" s="98">
        <f t="shared" si="6"/>
        <v>1.0978504824157034</v>
      </c>
      <c r="L9" s="81">
        <f t="shared" si="8"/>
        <v>1.8703544610372339E-2</v>
      </c>
      <c r="M9" s="58"/>
      <c r="N9" s="1">
        <f t="shared" si="1"/>
        <v>2006</v>
      </c>
      <c r="O9" s="74">
        <f>'EUCG L share'!C34</f>
        <v>0.60894898592160929</v>
      </c>
      <c r="P9" s="68">
        <f t="shared" si="7"/>
        <v>1.0188986479530411</v>
      </c>
      <c r="Q9" s="68">
        <f t="shared" si="10"/>
        <v>1.0885331064843362</v>
      </c>
      <c r="R9" s="79">
        <f t="shared" si="9"/>
        <v>1.8722287029944794E-2</v>
      </c>
    </row>
    <row r="10" spans="2:18" ht="13" x14ac:dyDescent="0.3">
      <c r="B10" s="106">
        <v>2007</v>
      </c>
      <c r="C10" s="6">
        <f>'StatsCan CANSIM tables'!$C27</f>
        <v>819.19</v>
      </c>
      <c r="D10" s="264">
        <f t="shared" si="2"/>
        <v>1.0385268762677486</v>
      </c>
      <c r="E10" s="6">
        <f>'StatsCan CANSIM tables'!C83</f>
        <v>84.7</v>
      </c>
      <c r="F10" s="265">
        <f t="shared" si="3"/>
        <v>1.0241837968561065</v>
      </c>
      <c r="H10" s="180">
        <f t="shared" si="4"/>
        <v>1.1516962139211859</v>
      </c>
      <c r="I10" s="170">
        <f t="shared" si="5"/>
        <v>1.1057441253263709</v>
      </c>
      <c r="J10" s="90">
        <f t="shared" si="0"/>
        <v>1.0331053791307279</v>
      </c>
      <c r="K10" s="98">
        <f t="shared" si="6"/>
        <v>1.1341952388649277</v>
      </c>
      <c r="L10" s="81">
        <f t="shared" si="8"/>
        <v>3.2569197645815111E-2</v>
      </c>
      <c r="M10" s="58"/>
      <c r="N10" s="1">
        <f t="shared" si="1"/>
        <v>2007</v>
      </c>
      <c r="O10" s="74">
        <f>'EUCG L share'!C35</f>
        <v>0.61306700211317233</v>
      </c>
      <c r="P10" s="68">
        <f t="shared" si="7"/>
        <v>1.0329475330354461</v>
      </c>
      <c r="Q10" s="68">
        <f t="shared" si="10"/>
        <v>1.1243975869704057</v>
      </c>
      <c r="R10" s="79">
        <f t="shared" si="9"/>
        <v>3.2416397981625079E-2</v>
      </c>
    </row>
    <row r="11" spans="2:18" ht="13" x14ac:dyDescent="0.3">
      <c r="B11" s="106">
        <v>2008</v>
      </c>
      <c r="C11" s="6">
        <f>'StatsCan CANSIM tables'!$C28</f>
        <v>838.34</v>
      </c>
      <c r="D11" s="264">
        <f t="shared" si="2"/>
        <v>1.0233767502044702</v>
      </c>
      <c r="E11" s="6">
        <f>'StatsCan CANSIM tables'!C84</f>
        <v>86.8</v>
      </c>
      <c r="F11" s="265">
        <f t="shared" si="3"/>
        <v>1.024793388429752</v>
      </c>
      <c r="H11" s="180">
        <f t="shared" si="4"/>
        <v>1.1786191286254555</v>
      </c>
      <c r="I11" s="170">
        <f t="shared" si="5"/>
        <v>1.133159268929504</v>
      </c>
      <c r="J11" s="90">
        <f t="shared" si="0"/>
        <v>1.0239122209957932</v>
      </c>
      <c r="K11" s="98">
        <f t="shared" si="6"/>
        <v>1.1613163660690422</v>
      </c>
      <c r="L11" s="81">
        <f t="shared" si="8"/>
        <v>2.3630801259206777E-2</v>
      </c>
      <c r="M11" s="58"/>
      <c r="N11" s="1">
        <f t="shared" si="1"/>
        <v>2008</v>
      </c>
      <c r="O11" s="74">
        <f>'EUCG L share'!C36</f>
        <v>0.60069739532944355</v>
      </c>
      <c r="P11" s="68">
        <f t="shared" si="7"/>
        <v>1.0239336559088004</v>
      </c>
      <c r="Q11" s="68">
        <f t="shared" si="10"/>
        <v>1.1513085319216407</v>
      </c>
      <c r="R11" s="79">
        <f t="shared" si="9"/>
        <v>2.3651735366846161E-2</v>
      </c>
    </row>
    <row r="12" spans="2:18" ht="13" x14ac:dyDescent="0.3">
      <c r="B12" s="106">
        <v>2009</v>
      </c>
      <c r="C12" s="6">
        <f>'StatsCan CANSIM tables'!$C29</f>
        <v>848.77</v>
      </c>
      <c r="D12" s="264">
        <f>C12/C11</f>
        <v>1.0124412529522628</v>
      </c>
      <c r="E12" s="6">
        <f>'StatsCan CANSIM tables'!C85</f>
        <v>87.8</v>
      </c>
      <c r="F12" s="265">
        <f t="shared" si="3"/>
        <v>1.0115207373271888</v>
      </c>
      <c r="H12" s="180">
        <f t="shared" si="4"/>
        <v>1.1932826273390604</v>
      </c>
      <c r="I12" s="170">
        <f t="shared" si="5"/>
        <v>1.1462140992167102</v>
      </c>
      <c r="J12" s="90">
        <f t="shared" si="0"/>
        <v>1.0120933100396781</v>
      </c>
      <c r="K12" s="98">
        <f t="shared" si="6"/>
        <v>1.1753605249380674</v>
      </c>
      <c r="L12" s="81">
        <f t="shared" si="8"/>
        <v>1.2020770211303293E-2</v>
      </c>
      <c r="M12" s="58"/>
      <c r="N12" s="1">
        <f t="shared" si="1"/>
        <v>2009</v>
      </c>
      <c r="O12" s="74">
        <f>'EUCG L share'!C37</f>
        <v>0.62115919688781018</v>
      </c>
      <c r="P12" s="68">
        <f t="shared" si="7"/>
        <v>1.0120831063695568</v>
      </c>
      <c r="Q12" s="68">
        <f t="shared" si="10"/>
        <v>1.1652199153770282</v>
      </c>
      <c r="R12" s="79">
        <f t="shared" si="9"/>
        <v>1.2010688412070135E-2</v>
      </c>
    </row>
    <row r="13" spans="2:18" ht="13" x14ac:dyDescent="0.3">
      <c r="B13" s="106">
        <v>2010</v>
      </c>
      <c r="C13" s="6">
        <f>'StatsCan CANSIM tables'!$C30</f>
        <v>881.36</v>
      </c>
      <c r="D13" s="264">
        <f t="shared" si="2"/>
        <v>1.0383967388102784</v>
      </c>
      <c r="E13" s="6">
        <f>'StatsCan CANSIM tables'!C86</f>
        <v>88.7</v>
      </c>
      <c r="F13" s="265">
        <f t="shared" si="3"/>
        <v>1.0102505694760822</v>
      </c>
      <c r="H13" s="180">
        <f t="shared" si="4"/>
        <v>1.2391007887078411</v>
      </c>
      <c r="I13" s="170">
        <f t="shared" si="5"/>
        <v>1.157963446475196</v>
      </c>
      <c r="J13" s="90">
        <f t="shared" si="0"/>
        <v>1.0277578535274157</v>
      </c>
      <c r="K13" s="98">
        <f t="shared" si="6"/>
        <v>1.2079860102312048</v>
      </c>
      <c r="L13" s="81">
        <f>LN(K13/K12)</f>
        <v>2.7379588243099141E-2</v>
      </c>
      <c r="M13" s="58"/>
      <c r="N13" s="1">
        <f t="shared" si="1"/>
        <v>2010</v>
      </c>
      <c r="O13" s="74">
        <f>'EUCG L share'!C38</f>
        <v>0.65393733292566514</v>
      </c>
      <c r="P13" s="68">
        <f t="shared" si="7"/>
        <v>1.0281951108988703</v>
      </c>
      <c r="Q13" s="68">
        <f t="shared" si="10"/>
        <v>1.1980734201126557</v>
      </c>
      <c r="R13" s="79">
        <f t="shared" si="9"/>
        <v>2.7804945618110238E-2</v>
      </c>
    </row>
    <row r="14" spans="2:18" ht="13" x14ac:dyDescent="0.3">
      <c r="B14" s="106">
        <v>2011</v>
      </c>
      <c r="C14" s="6">
        <f>'StatsCan CANSIM tables'!$C31</f>
        <v>893.4</v>
      </c>
      <c r="D14" s="264">
        <f t="shared" si="2"/>
        <v>1.0136607061813561</v>
      </c>
      <c r="E14" s="6">
        <f>'StatsCan CANSIM tables'!C87</f>
        <v>90.8</v>
      </c>
      <c r="F14" s="265">
        <f t="shared" si="3"/>
        <v>1.0236753100338218</v>
      </c>
      <c r="H14" s="180">
        <f t="shared" si="4"/>
        <v>1.2560277805114655</v>
      </c>
      <c r="I14" s="170">
        <f t="shared" si="5"/>
        <v>1.1853785900783291</v>
      </c>
      <c r="J14" s="90">
        <f t="shared" si="0"/>
        <v>1.0174460959541041</v>
      </c>
      <c r="K14" s="98">
        <f t="shared" si="6"/>
        <v>1.2290606500769137</v>
      </c>
      <c r="L14" s="81">
        <f t="shared" si="8"/>
        <v>1.7295659982001391E-2</v>
      </c>
      <c r="M14" s="58"/>
      <c r="N14" s="1">
        <f t="shared" si="1"/>
        <v>2011</v>
      </c>
      <c r="O14" s="74">
        <f>'EUCG L share'!C39</f>
        <v>0.63266651684835484</v>
      </c>
      <c r="P14" s="68">
        <f t="shared" si="7"/>
        <v>1.0172328960985497</v>
      </c>
      <c r="Q14" s="68">
        <f t="shared" si="10"/>
        <v>1.2187196948798913</v>
      </c>
      <c r="R14" s="79">
        <f t="shared" si="9"/>
        <v>1.7086093895982545E-2</v>
      </c>
    </row>
    <row r="15" spans="2:18" ht="13" x14ac:dyDescent="0.3">
      <c r="B15" s="106">
        <v>2012</v>
      </c>
      <c r="C15" s="6">
        <f>'StatsCan CANSIM tables'!$C32</f>
        <v>906.07</v>
      </c>
      <c r="D15" s="264">
        <f t="shared" si="2"/>
        <v>1.0141817774792927</v>
      </c>
      <c r="E15" s="285">
        <f>'StatsCan CANSIM tables'!C88</f>
        <v>92.3</v>
      </c>
      <c r="F15" s="265">
        <f t="shared" si="3"/>
        <v>1.0165198237885462</v>
      </c>
      <c r="H15" s="180">
        <f t="shared" si="4"/>
        <v>1.2738404870024891</v>
      </c>
      <c r="I15" s="170">
        <f t="shared" si="5"/>
        <v>1.2049608355091386</v>
      </c>
      <c r="J15" s="90">
        <f t="shared" si="0"/>
        <v>1.0150655285210357</v>
      </c>
      <c r="K15" s="98">
        <f t="shared" si="6"/>
        <v>1.2475770983547301</v>
      </c>
      <c r="L15" s="81">
        <f t="shared" si="8"/>
        <v>1.4953170529082852E-2</v>
      </c>
      <c r="M15" s="58"/>
      <c r="N15" s="1">
        <f t="shared" si="1"/>
        <v>2012</v>
      </c>
      <c r="O15" s="74">
        <f>'EUCG L share'!C40</f>
        <v>0.65393733292566514</v>
      </c>
      <c r="P15" s="68">
        <f t="shared" si="7"/>
        <v>1.0150157540973286</v>
      </c>
      <c r="Q15" s="68">
        <f t="shared" si="10"/>
        <v>1.2370196901317791</v>
      </c>
      <c r="R15" s="79">
        <f t="shared" si="9"/>
        <v>1.4904133651453101E-2</v>
      </c>
    </row>
    <row r="16" spans="2:18" ht="13" x14ac:dyDescent="0.3">
      <c r="B16" s="106">
        <v>2013</v>
      </c>
      <c r="C16" s="6">
        <f>'StatsCan CANSIM tables'!$C33</f>
        <v>919.91</v>
      </c>
      <c r="D16" s="264">
        <f t="shared" ref="D16:D26" si="11">C16/C15</f>
        <v>1.0152747580209034</v>
      </c>
      <c r="E16" s="6">
        <f>'StatsCan CANSIM tables'!C89</f>
        <v>93.9</v>
      </c>
      <c r="F16" s="265">
        <f t="shared" si="3"/>
        <v>1.0173347778981583</v>
      </c>
      <c r="H16" s="180">
        <f t="shared" si="4"/>
        <v>1.2932980921986819</v>
      </c>
      <c r="I16" s="170">
        <f t="shared" si="5"/>
        <v>1.2258485639686687</v>
      </c>
      <c r="J16" s="90">
        <f t="shared" si="0"/>
        <v>1.0160534186938464</v>
      </c>
      <c r="K16" s="98">
        <f t="shared" ref="K16:K26" si="12">K15*J16</f>
        <v>1.2676049758674726</v>
      </c>
      <c r="L16" s="81">
        <f t="shared" ref="L16:L19" si="13">LN(K16/K15)</f>
        <v>1.5925925228717414E-2</v>
      </c>
      <c r="M16" s="58"/>
      <c r="N16" s="1">
        <f t="shared" si="1"/>
        <v>2013</v>
      </c>
      <c r="O16" s="74">
        <f>'EUCG L share'!C41</f>
        <v>0.63782007263824037</v>
      </c>
      <c r="P16" s="68">
        <f t="shared" si="7"/>
        <v>1.016004254932132</v>
      </c>
      <c r="Q16" s="68">
        <f t="shared" si="10"/>
        <v>1.2568172686087151</v>
      </c>
      <c r="R16" s="79">
        <f t="shared" si="9"/>
        <v>1.5877537072847565E-2</v>
      </c>
    </row>
    <row r="17" spans="2:18" ht="13" x14ac:dyDescent="0.3">
      <c r="B17" s="106">
        <v>2014</v>
      </c>
      <c r="C17" s="6">
        <f>'StatsCan CANSIM tables'!$C34</f>
        <v>938.16</v>
      </c>
      <c r="D17" s="264">
        <f t="shared" si="11"/>
        <v>1.0198388972834298</v>
      </c>
      <c r="E17" s="6">
        <f>'StatsCan CANSIM tables'!C90</f>
        <v>96.1</v>
      </c>
      <c r="F17" s="265">
        <f t="shared" si="3"/>
        <v>1.0234291799787005</v>
      </c>
      <c r="H17" s="180">
        <f t="shared" si="4"/>
        <v>1.3189557002066672</v>
      </c>
      <c r="I17" s="170">
        <f t="shared" si="5"/>
        <v>1.2545691906005223</v>
      </c>
      <c r="J17" s="90">
        <f t="shared" si="0"/>
        <v>1.0211959773632979</v>
      </c>
      <c r="K17" s="98">
        <f t="shared" si="12"/>
        <v>1.2944731022415634</v>
      </c>
      <c r="L17" s="81">
        <f t="shared" si="13"/>
        <v>2.0974467250228005E-2</v>
      </c>
      <c r="M17" s="58"/>
      <c r="N17" s="1">
        <f t="shared" si="1"/>
        <v>2014</v>
      </c>
      <c r="O17" s="74">
        <f>'EUCG L share'!C42</f>
        <v>0.641921054308773</v>
      </c>
      <c r="P17" s="68">
        <f t="shared" si="7"/>
        <v>1.0211318637674485</v>
      </c>
      <c r="Q17" s="68">
        <f t="shared" si="10"/>
        <v>1.2833761599095312</v>
      </c>
      <c r="R17" s="79">
        <f t="shared" si="9"/>
        <v>2.0911682427361349E-2</v>
      </c>
    </row>
    <row r="18" spans="2:18" ht="13" x14ac:dyDescent="0.3">
      <c r="B18" s="106">
        <v>2015</v>
      </c>
      <c r="C18" s="6">
        <f>'StatsCan CANSIM tables'!$C35</f>
        <v>962.75</v>
      </c>
      <c r="D18" s="264">
        <f t="shared" si="11"/>
        <v>1.0262108808731987</v>
      </c>
      <c r="E18" s="6">
        <f>'StatsCan CANSIM tables'!C91</f>
        <v>97.6</v>
      </c>
      <c r="F18" s="265">
        <f t="shared" si="3"/>
        <v>1.0156087408949011</v>
      </c>
      <c r="H18" s="180">
        <f t="shared" si="4"/>
        <v>1.3535266909418104</v>
      </c>
      <c r="I18" s="170">
        <f t="shared" si="5"/>
        <v>1.2741514360313315</v>
      </c>
      <c r="J18" s="90">
        <f t="shared" si="0"/>
        <v>1.022203410100083</v>
      </c>
      <c r="K18" s="98">
        <f t="shared" si="12"/>
        <v>1.3232148193941595</v>
      </c>
      <c r="L18" s="81">
        <f t="shared" si="13"/>
        <v>2.1960503386472655E-2</v>
      </c>
      <c r="M18" s="58"/>
      <c r="N18" s="1">
        <f t="shared" si="1"/>
        <v>2015</v>
      </c>
      <c r="O18" s="74">
        <f>'EUCG L share'!C43</f>
        <v>0.67565973874595819</v>
      </c>
      <c r="P18" s="68">
        <f t="shared" si="7"/>
        <v>1.0225933288952425</v>
      </c>
      <c r="Q18" s="68">
        <f t="shared" si="10"/>
        <v>1.3123718995866807</v>
      </c>
      <c r="R18" s="79">
        <f t="shared" si="9"/>
        <v>2.234187997266297E-2</v>
      </c>
    </row>
    <row r="19" spans="2:18" ht="13" x14ac:dyDescent="0.3">
      <c r="B19" s="106">
        <v>2016</v>
      </c>
      <c r="C19" s="6">
        <f>'StatsCan CANSIM tables'!$C36</f>
        <v>973.66</v>
      </c>
      <c r="D19" s="264">
        <f t="shared" si="11"/>
        <v>1.011332121526876</v>
      </c>
      <c r="E19" s="6">
        <f>'StatsCan CANSIM tables'!C92</f>
        <v>98.6</v>
      </c>
      <c r="F19" s="265">
        <f t="shared" si="3"/>
        <v>1.0102459016393444</v>
      </c>
      <c r="H19" s="180">
        <f t="shared" si="4"/>
        <v>1.3688650198934333</v>
      </c>
      <c r="I19" s="170">
        <f t="shared" si="5"/>
        <v>1.287206266318538</v>
      </c>
      <c r="J19" s="90">
        <f t="shared" si="0"/>
        <v>1.010921544562096</v>
      </c>
      <c r="K19" s="98">
        <f t="shared" si="12"/>
        <v>1.3376663690093986</v>
      </c>
      <c r="L19" s="81">
        <f t="shared" si="13"/>
        <v>1.0862335209250527E-2</v>
      </c>
      <c r="M19" s="58"/>
      <c r="N19" s="1">
        <f t="shared" si="1"/>
        <v>2016</v>
      </c>
      <c r="O19" s="74">
        <f>'EUCG L share'!C44</f>
        <v>0.65846203246560409</v>
      </c>
      <c r="P19" s="68">
        <f t="shared" si="7"/>
        <v>1.0109704764394838</v>
      </c>
      <c r="Q19" s="68">
        <f t="shared" si="10"/>
        <v>1.3267692445909369</v>
      </c>
      <c r="R19" s="79">
        <f t="shared" si="9"/>
        <v>1.0910737277104836E-2</v>
      </c>
    </row>
    <row r="20" spans="2:18" ht="13" x14ac:dyDescent="0.3">
      <c r="B20" s="106">
        <v>2017</v>
      </c>
      <c r="C20" s="6">
        <f>'StatsCan CANSIM tables'!$C37</f>
        <v>992.42</v>
      </c>
      <c r="D20" s="264">
        <f t="shared" si="11"/>
        <v>1.0192675061109628</v>
      </c>
      <c r="E20" s="266">
        <f>'StatsCan CANSIM tables'!C93</f>
        <v>100</v>
      </c>
      <c r="F20" s="265">
        <f t="shared" si="3"/>
        <v>1.0141987829614605</v>
      </c>
      <c r="H20" s="180">
        <f t="shared" si="4"/>
        <v>1.3952396350293133</v>
      </c>
      <c r="I20" s="170">
        <f t="shared" si="5"/>
        <v>1.3054830287206267</v>
      </c>
      <c r="J20" s="90">
        <f t="shared" si="0"/>
        <v>1.0173515948024698</v>
      </c>
      <c r="K20" s="98">
        <f t="shared" si="12"/>
        <v>1.3608770138253408</v>
      </c>
      <c r="L20" s="81">
        <f t="shared" ref="L20:L26" si="14">LN(K20/K19)</f>
        <v>1.7202774923077389E-2</v>
      </c>
      <c r="M20" s="58"/>
      <c r="N20" s="1">
        <f t="shared" si="1"/>
        <v>2017</v>
      </c>
      <c r="O20" s="74">
        <f>'EUCG L share'!C45</f>
        <v>0.6684212227435099</v>
      </c>
      <c r="P20" s="68">
        <f t="shared" si="7"/>
        <v>1.0175615848976431</v>
      </c>
      <c r="Q20" s="68">
        <f t="shared" si="10"/>
        <v>1.3500694153194026</v>
      </c>
      <c r="R20" s="79">
        <f t="shared" si="9"/>
        <v>1.7409162200936235E-2</v>
      </c>
    </row>
    <row r="21" spans="2:18" ht="13" x14ac:dyDescent="0.3">
      <c r="B21" s="106">
        <v>2018</v>
      </c>
      <c r="C21" s="292">
        <f>'StatsCan CANSIM tables'!$C38</f>
        <v>1021.4</v>
      </c>
      <c r="D21" s="294">
        <f t="shared" si="11"/>
        <v>1.029201346204228</v>
      </c>
      <c r="E21" s="292">
        <f>'StatsCan CANSIM tables'!C94</f>
        <v>101.6</v>
      </c>
      <c r="F21" s="296">
        <f t="shared" ref="F21:F26" si="15">E21/E20</f>
        <v>1.016</v>
      </c>
      <c r="H21" s="180">
        <f t="shared" si="4"/>
        <v>1.4359825106496649</v>
      </c>
      <c r="I21" s="170">
        <f t="shared" si="5"/>
        <v>1.3263707571801568</v>
      </c>
      <c r="J21" s="90">
        <f t="shared" si="0"/>
        <v>1.0242114093436017</v>
      </c>
      <c r="K21" s="98">
        <f t="shared" si="12"/>
        <v>1.3938257642733642</v>
      </c>
      <c r="L21" s="81">
        <f t="shared" si="14"/>
        <v>2.3922959745642552E-2</v>
      </c>
      <c r="M21" s="58"/>
      <c r="N21" s="1">
        <f t="shared" ref="N21:N26" si="16">B21</f>
        <v>2018</v>
      </c>
      <c r="O21" s="74">
        <f>'EUCG L share'!C46</f>
        <v>0.64411045402440381</v>
      </c>
      <c r="P21" s="68">
        <f t="shared" si="7"/>
        <v>1.0246635925345144</v>
      </c>
      <c r="Q21" s="68">
        <f t="shared" si="10"/>
        <v>1.3833669772721504</v>
      </c>
      <c r="R21" s="79">
        <f t="shared" si="9"/>
        <v>2.4364356314823091E-2</v>
      </c>
    </row>
    <row r="22" spans="2:18" ht="13" x14ac:dyDescent="0.3">
      <c r="B22" s="106">
        <v>2019</v>
      </c>
      <c r="C22" s="292">
        <f>'StatsCan CANSIM tables'!$C39</f>
        <v>1049.1099999999999</v>
      </c>
      <c r="D22" s="294">
        <f t="shared" si="11"/>
        <v>1.0271294301938516</v>
      </c>
      <c r="E22" s="292">
        <f>'StatsCan CANSIM tables'!C95</f>
        <v>103.5</v>
      </c>
      <c r="F22" s="296">
        <f t="shared" si="15"/>
        <v>1.0187007874015748</v>
      </c>
      <c r="H22" s="180">
        <f t="shared" si="4"/>
        <v>1.4749398979319268</v>
      </c>
      <c r="I22" s="170">
        <f t="shared" si="5"/>
        <v>1.3511749347258488</v>
      </c>
      <c r="J22" s="90">
        <f t="shared" si="0"/>
        <v>1.02394351303786</v>
      </c>
      <c r="K22" s="98">
        <f t="shared" si="12"/>
        <v>1.4271988496327488</v>
      </c>
      <c r="L22" s="81">
        <f t="shared" si="14"/>
        <v>2.3661362046814276E-2</v>
      </c>
      <c r="M22" s="58"/>
      <c r="N22" s="1">
        <f t="shared" si="16"/>
        <v>2019</v>
      </c>
      <c r="O22" s="74">
        <f>'EUCG L share'!C47</f>
        <v>0.63528534284625815</v>
      </c>
      <c r="P22" s="68">
        <f t="shared" si="7"/>
        <v>1.0240925724824563</v>
      </c>
      <c r="Q22" s="68">
        <f t="shared" si="10"/>
        <v>1.4166958464419162</v>
      </c>
      <c r="R22" s="79">
        <f t="shared" si="9"/>
        <v>2.3806925346126592E-2</v>
      </c>
    </row>
    <row r="23" spans="2:18" ht="13" x14ac:dyDescent="0.3">
      <c r="B23" s="106">
        <v>2020</v>
      </c>
      <c r="C23" s="292">
        <f>'StatsCan CANSIM tables'!$C40</f>
        <v>1125.8699999999999</v>
      </c>
      <c r="D23" s="294">
        <f t="shared" si="11"/>
        <v>1.0731667794606856</v>
      </c>
      <c r="E23" s="292">
        <f>'StatsCan CANSIM tables'!C96</f>
        <v>105.4</v>
      </c>
      <c r="F23" s="296">
        <f t="shared" si="15"/>
        <v>1.0183574879227053</v>
      </c>
      <c r="H23" s="180">
        <f t="shared" si="4"/>
        <v>1.5828565001616783</v>
      </c>
      <c r="I23" s="170">
        <f t="shared" si="5"/>
        <v>1.3759791122715408</v>
      </c>
      <c r="J23" s="90">
        <f t="shared" si="0"/>
        <v>1.0524495813871597</v>
      </c>
      <c r="K23" s="98">
        <f t="shared" si="12"/>
        <v>1.5020548318522224</v>
      </c>
      <c r="L23" s="81">
        <f t="shared" si="14"/>
        <v>5.1120381756824942E-2</v>
      </c>
      <c r="M23" s="58"/>
      <c r="N23" s="1">
        <f t="shared" si="16"/>
        <v>2020</v>
      </c>
      <c r="O23" s="74">
        <f>'EUCG L share'!C48</f>
        <v>0.61587260808002564</v>
      </c>
      <c r="P23" s="68">
        <f t="shared" si="7"/>
        <v>1.0526450283688957</v>
      </c>
      <c r="Q23" s="68">
        <f t="shared" si="10"/>
        <v>1.4912778394679476</v>
      </c>
      <c r="R23" s="79">
        <f t="shared" si="9"/>
        <v>5.1306071256376942E-2</v>
      </c>
    </row>
    <row r="24" spans="2:18" ht="13" x14ac:dyDescent="0.3">
      <c r="B24" s="106">
        <v>2021</v>
      </c>
      <c r="C24" s="292">
        <f>'StatsCan CANSIM tables'!$C41</f>
        <v>1165.6199999999999</v>
      </c>
      <c r="D24" s="294">
        <f t="shared" si="11"/>
        <v>1.035306030003464</v>
      </c>
      <c r="E24" s="292">
        <f>'StatsCan CANSIM tables'!C97</f>
        <v>109.4</v>
      </c>
      <c r="F24" s="296">
        <f t="shared" si="15"/>
        <v>1.0379506641366223</v>
      </c>
      <c r="H24" s="180">
        <f t="shared" si="4"/>
        <v>1.6387408792475646</v>
      </c>
      <c r="I24" s="170">
        <f t="shared" si="5"/>
        <v>1.4281984334203657</v>
      </c>
      <c r="J24" s="90">
        <f t="shared" si="0"/>
        <v>1.036305667248012</v>
      </c>
      <c r="K24" s="98">
        <f t="shared" si="12"/>
        <v>1.5565879347657179</v>
      </c>
      <c r="L24" s="81">
        <f t="shared" si="14"/>
        <v>3.5662145926085159E-2</v>
      </c>
      <c r="M24" s="58"/>
      <c r="N24" s="1">
        <f t="shared" si="16"/>
        <v>2021</v>
      </c>
      <c r="O24" s="74">
        <f>'EUCG L share'!C49</f>
        <v>0.55643677782186729</v>
      </c>
      <c r="P24" s="68">
        <f t="shared" si="7"/>
        <v>1.0364004994283333</v>
      </c>
      <c r="Q24" s="68">
        <f t="shared" si="10"/>
        <v>1.5455610976109868</v>
      </c>
      <c r="R24" s="79">
        <f t="shared" si="9"/>
        <v>3.5753651593325581E-2</v>
      </c>
    </row>
    <row r="25" spans="2:18" ht="13" x14ac:dyDescent="0.3">
      <c r="B25" s="106">
        <v>2022</v>
      </c>
      <c r="C25" s="292">
        <f>'StatsCan CANSIM tables'!$C42</f>
        <v>1193.26</v>
      </c>
      <c r="D25" s="294">
        <f t="shared" si="11"/>
        <v>1.0237127022528785</v>
      </c>
      <c r="E25" s="292">
        <f>'StatsCan CANSIM tables'!C98</f>
        <v>116.3</v>
      </c>
      <c r="F25" s="296">
        <f t="shared" si="15"/>
        <v>1.0630712979890311</v>
      </c>
      <c r="H25" s="180">
        <f t="shared" si="4"/>
        <v>1.6775998537867824</v>
      </c>
      <c r="I25" s="170">
        <f t="shared" si="5"/>
        <v>1.518276762402089</v>
      </c>
      <c r="J25" s="90">
        <f t="shared" si="0"/>
        <v>1.0385897386253824</v>
      </c>
      <c r="K25" s="98">
        <f t="shared" si="12"/>
        <v>1.6166562563157507</v>
      </c>
      <c r="L25" s="81">
        <f t="shared" si="14"/>
        <v>3.7863772372902275E-2</v>
      </c>
      <c r="M25" s="58"/>
      <c r="N25" s="1">
        <f t="shared" si="16"/>
        <v>2022</v>
      </c>
      <c r="O25" s="74">
        <f>'EUCG L share'!C50</f>
        <v>0.55557939659362554</v>
      </c>
      <c r="P25" s="68">
        <f t="shared" si="7"/>
        <v>1.0411876004585898</v>
      </c>
      <c r="Q25" s="68">
        <f t="shared" si="10"/>
        <v>1.6092190505837276</v>
      </c>
      <c r="R25" s="79">
        <f t="shared" si="9"/>
        <v>4.0361985172423107E-2</v>
      </c>
    </row>
    <row r="26" spans="2:18" ht="13" x14ac:dyDescent="0.3">
      <c r="B26" s="107">
        <v>2023</v>
      </c>
      <c r="C26" s="293">
        <f>'StatsCan CANSIM tables'!$C43</f>
        <v>1231.95</v>
      </c>
      <c r="D26" s="295">
        <f t="shared" si="11"/>
        <v>1.0324237802323049</v>
      </c>
      <c r="E26" s="293">
        <f>'StatsCan CANSIM tables'!C99</f>
        <v>120.6</v>
      </c>
      <c r="F26" s="297">
        <f t="shared" si="15"/>
        <v>1.0369733447979363</v>
      </c>
      <c r="H26" s="180">
        <f t="shared" si="4"/>
        <v>1.7319939827637119</v>
      </c>
      <c r="I26" s="170">
        <f t="shared" si="5"/>
        <v>1.5744125326370759</v>
      </c>
      <c r="J26" s="90">
        <f t="shared" si="0"/>
        <v>1.0341434563603782</v>
      </c>
      <c r="K26" s="98">
        <f t="shared" si="12"/>
        <v>1.671854488653</v>
      </c>
      <c r="L26" s="81">
        <f t="shared" si="14"/>
        <v>3.3573505689512326E-2</v>
      </c>
      <c r="M26" s="58"/>
      <c r="N26" s="1">
        <f t="shared" si="16"/>
        <v>2023</v>
      </c>
      <c r="O26" s="74">
        <f>'EUCG L share'!C51</f>
        <v>0.53187038027280353</v>
      </c>
      <c r="P26" s="68">
        <f t="shared" si="7"/>
        <v>1.0344996333120688</v>
      </c>
      <c r="Q26" s="68">
        <f t="shared" si="10"/>
        <v>1.6647365177476618</v>
      </c>
      <c r="R26" s="79">
        <f t="shared" si="9"/>
        <v>3.3917863744305381E-2</v>
      </c>
    </row>
    <row r="27" spans="2:18" ht="13.5" thickBot="1" x14ac:dyDescent="0.35">
      <c r="H27" s="181"/>
      <c r="I27" s="182"/>
      <c r="J27" s="38"/>
      <c r="K27" s="99"/>
      <c r="L27" s="100">
        <f>AVERAGE(L6:L26)</f>
        <v>2.447302297894011E-2</v>
      </c>
      <c r="O27" s="1"/>
      <c r="P27" s="1"/>
      <c r="Q27" s="1"/>
      <c r="R27" s="82">
        <f>AVERAGE(R6:R26)</f>
        <v>2.4269850633853927E-2</v>
      </c>
    </row>
  </sheetData>
  <pageMargins left="0.7" right="0.7" top="0.75" bottom="0.75" header="0.3" footer="0.3"/>
  <pageSetup scale="58" orientation="landscape" r:id="rId1"/>
  <ignoredErrors>
    <ignoredError sqref="E6:E21 E22:E2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7"/>
  <sheetViews>
    <sheetView showGridLines="0" zoomScale="80" zoomScaleNormal="80" workbookViewId="0">
      <selection activeCell="F18" sqref="F17:F18"/>
    </sheetView>
  </sheetViews>
  <sheetFormatPr defaultRowHeight="12.5" x14ac:dyDescent="0.25"/>
  <cols>
    <col min="1" max="1" width="2.81640625" customWidth="1"/>
    <col min="2" max="2" width="11.7265625" customWidth="1"/>
    <col min="3" max="3" width="14.7265625" customWidth="1"/>
    <col min="4" max="6" width="11.7265625" customWidth="1"/>
    <col min="7" max="7" width="9.1796875" customWidth="1"/>
    <col min="8" max="12" width="11.7265625" style="191" customWidth="1"/>
  </cols>
  <sheetData>
    <row r="1" spans="2:12" ht="13" thickBot="1" x14ac:dyDescent="0.3">
      <c r="B1" s="14" t="s">
        <v>182</v>
      </c>
      <c r="E1" s="14" t="s">
        <v>166</v>
      </c>
      <c r="F1" s="57">
        <f>'EUCG L share'!$C$52</f>
        <v>0.62201302932058922</v>
      </c>
    </row>
    <row r="2" spans="2:12" ht="13" thickBot="1" x14ac:dyDescent="0.3">
      <c r="B2" s="14" t="s">
        <v>183</v>
      </c>
      <c r="E2" s="14" t="s">
        <v>168</v>
      </c>
      <c r="F2" s="15">
        <f>1-F1</f>
        <v>0.37798697067941078</v>
      </c>
      <c r="H2" s="268" t="s">
        <v>184</v>
      </c>
      <c r="I2" s="268" t="s">
        <v>184</v>
      </c>
      <c r="J2" s="268" t="s">
        <v>184</v>
      </c>
      <c r="K2" s="269" t="s">
        <v>184</v>
      </c>
      <c r="L2" s="270" t="s">
        <v>184</v>
      </c>
    </row>
    <row r="3" spans="2:12" x14ac:dyDescent="0.25">
      <c r="H3" s="268" t="s">
        <v>185</v>
      </c>
      <c r="I3" s="268" t="s">
        <v>186</v>
      </c>
      <c r="J3" s="268" t="s">
        <v>22</v>
      </c>
      <c r="K3" s="269" t="s">
        <v>22</v>
      </c>
      <c r="L3" s="270" t="s">
        <v>22</v>
      </c>
    </row>
    <row r="4" spans="2:12" ht="52" x14ac:dyDescent="0.25">
      <c r="B4" s="43" t="s">
        <v>3</v>
      </c>
      <c r="C4" s="52" t="s">
        <v>187</v>
      </c>
      <c r="D4" s="52" t="s">
        <v>188</v>
      </c>
      <c r="E4" s="52" t="s">
        <v>189</v>
      </c>
      <c r="F4" s="52" t="s">
        <v>190</v>
      </c>
      <c r="H4" s="52" t="s">
        <v>157</v>
      </c>
      <c r="I4" s="52" t="s">
        <v>158</v>
      </c>
      <c r="J4" s="52" t="s">
        <v>162</v>
      </c>
      <c r="K4" s="96" t="s">
        <v>156</v>
      </c>
      <c r="L4" s="88" t="s">
        <v>179</v>
      </c>
    </row>
    <row r="5" spans="2:12" ht="13" x14ac:dyDescent="0.3">
      <c r="B5" s="16">
        <v>2002</v>
      </c>
      <c r="C5" s="6">
        <f>'US BLS &amp; BEA tables'!G19</f>
        <v>91.3</v>
      </c>
      <c r="D5" s="275">
        <v>1</v>
      </c>
      <c r="E5" s="6">
        <f>'US BLS &amp; BEA tables'!L19</f>
        <v>75.515000000000001</v>
      </c>
      <c r="F5" s="275">
        <v>1</v>
      </c>
      <c r="H5" s="18">
        <v>1</v>
      </c>
      <c r="I5" s="18">
        <v>1</v>
      </c>
      <c r="J5" s="18">
        <f t="shared" ref="J5:J15" si="0">D5*$F$1+F5*$F$2</f>
        <v>1</v>
      </c>
      <c r="K5" s="98">
        <v>1</v>
      </c>
      <c r="L5" s="271"/>
    </row>
    <row r="6" spans="2:12" ht="13" x14ac:dyDescent="0.3">
      <c r="B6" s="16">
        <v>2003</v>
      </c>
      <c r="C6" s="6">
        <f>'US BLS &amp; BEA tables'!G20</f>
        <v>93.775000000000006</v>
      </c>
      <c r="D6" s="275">
        <f t="shared" ref="D6:D15" si="1">C6/C5</f>
        <v>1.0271084337349399</v>
      </c>
      <c r="E6" s="6">
        <f>'US BLS &amp; BEA tables'!L20</f>
        <v>77.006</v>
      </c>
      <c r="F6" s="275">
        <f t="shared" ref="F6:F15" si="2">E6/E5</f>
        <v>1.0197444216380851</v>
      </c>
      <c r="H6" s="18">
        <f t="shared" ref="H6:H15" si="3">H5*D6</f>
        <v>1.0271084337349399</v>
      </c>
      <c r="I6" s="18">
        <f t="shared" ref="I6:I15" si="4">I5*F6</f>
        <v>1.0197444216380851</v>
      </c>
      <c r="J6" s="18">
        <f>D6*$F$1+F6*$F$2</f>
        <v>1.0243249331104032</v>
      </c>
      <c r="K6" s="98">
        <f t="shared" ref="K6:K14" si="5">K5*J6</f>
        <v>1.0243249331104032</v>
      </c>
      <c r="L6" s="272">
        <f>LN(K6/K5)</f>
        <v>2.4033793773396959E-2</v>
      </c>
    </row>
    <row r="7" spans="2:12" ht="13" x14ac:dyDescent="0.3">
      <c r="B7" s="16">
        <v>2004</v>
      </c>
      <c r="C7" s="6">
        <f>'US BLS &amp; BEA tables'!G21</f>
        <v>96.625</v>
      </c>
      <c r="D7" s="275">
        <f t="shared" si="1"/>
        <v>1.0303918954945348</v>
      </c>
      <c r="E7" s="6">
        <f>'US BLS &amp; BEA tables'!L21</f>
        <v>79.076999999999998</v>
      </c>
      <c r="F7" s="275">
        <f t="shared" si="2"/>
        <v>1.0268940082590967</v>
      </c>
      <c r="H7" s="18">
        <f t="shared" si="3"/>
        <v>1.0583242059145674</v>
      </c>
      <c r="I7" s="18">
        <f t="shared" si="4"/>
        <v>1.0471694365357875</v>
      </c>
      <c r="J7" s="18">
        <f t="shared" si="0"/>
        <v>1.0290697396946333</v>
      </c>
      <c r="K7" s="98">
        <f t="shared" si="5"/>
        <v>1.0541017922786453</v>
      </c>
      <c r="L7" s="272">
        <f t="shared" ref="L7:L15" si="6">LN(K7/K6)</f>
        <v>2.8655228796968579E-2</v>
      </c>
    </row>
    <row r="8" spans="2:12" ht="13" x14ac:dyDescent="0.3">
      <c r="B8" s="16">
        <v>2005</v>
      </c>
      <c r="C8" s="6">
        <f>'US BLS &amp; BEA tables'!G22</f>
        <v>99.275000000000006</v>
      </c>
      <c r="D8" s="275">
        <f t="shared" si="1"/>
        <v>1.0274256144890039</v>
      </c>
      <c r="E8" s="6">
        <f>'US BLS &amp; BEA tables'!L22</f>
        <v>81.555999999999997</v>
      </c>
      <c r="F8" s="275">
        <f t="shared" si="2"/>
        <v>1.0313491912945609</v>
      </c>
      <c r="H8" s="18">
        <f t="shared" si="3"/>
        <v>1.0873493975903616</v>
      </c>
      <c r="I8" s="18">
        <f t="shared" si="4"/>
        <v>1.0799973515195656</v>
      </c>
      <c r="J8" s="18">
        <f t="shared" si="0"/>
        <v>1.0289086753999646</v>
      </c>
      <c r="K8" s="98">
        <f t="shared" si="5"/>
        <v>1.0845744788301495</v>
      </c>
      <c r="L8" s="272">
        <f t="shared" si="6"/>
        <v>2.8498702087245805E-2</v>
      </c>
    </row>
    <row r="9" spans="2:12" ht="13" x14ac:dyDescent="0.3">
      <c r="B9" s="16">
        <v>2006</v>
      </c>
      <c r="C9" s="6">
        <f>'US BLS &amp; BEA tables'!G23</f>
        <v>102.35</v>
      </c>
      <c r="D9" s="275">
        <f>C9/C8</f>
        <v>1.0309745656006042</v>
      </c>
      <c r="E9" s="6">
        <f>'US BLS &amp; BEA tables'!L23</f>
        <v>84.070999999999998</v>
      </c>
      <c r="F9" s="275">
        <f t="shared" si="2"/>
        <v>1.0308377066065035</v>
      </c>
      <c r="H9" s="18">
        <f>H8*D9</f>
        <v>1.1210295728368018</v>
      </c>
      <c r="I9" s="18">
        <f t="shared" si="4"/>
        <v>1.1133019929815269</v>
      </c>
      <c r="J9" s="18">
        <f t="shared" si="0"/>
        <v>1.0309228346840138</v>
      </c>
      <c r="K9" s="98">
        <f t="shared" si="5"/>
        <v>1.1181125961415146</v>
      </c>
      <c r="L9" s="272">
        <f t="shared" si="6"/>
        <v>3.0454357116438915E-2</v>
      </c>
    </row>
    <row r="10" spans="2:12" ht="13" x14ac:dyDescent="0.3">
      <c r="B10" s="16">
        <v>2007</v>
      </c>
      <c r="C10" s="6">
        <f>'US BLS &amp; BEA tables'!G24</f>
        <v>105.675</v>
      </c>
      <c r="D10" s="275">
        <f t="shared" si="1"/>
        <v>1.032486565705911</v>
      </c>
      <c r="E10" s="6">
        <f>'US BLS &amp; BEA tables'!L24</f>
        <v>86.349000000000004</v>
      </c>
      <c r="F10" s="275">
        <f t="shared" si="2"/>
        <v>1.0270961449251228</v>
      </c>
      <c r="H10" s="18">
        <f t="shared" si="3"/>
        <v>1.1574479737130339</v>
      </c>
      <c r="I10" s="18">
        <f t="shared" si="4"/>
        <v>1.1434681851287825</v>
      </c>
      <c r="J10" s="18">
        <f t="shared" si="0"/>
        <v>1.0304490568842937</v>
      </c>
      <c r="K10" s="98">
        <f t="shared" si="5"/>
        <v>1.1521580701844729</v>
      </c>
      <c r="L10" s="272">
        <f t="shared" si="6"/>
        <v>2.999468478850971E-2</v>
      </c>
    </row>
    <row r="11" spans="2:12" ht="13" x14ac:dyDescent="0.3">
      <c r="B11" s="16">
        <v>2008</v>
      </c>
      <c r="C11" s="6">
        <f>'US BLS &amp; BEA tables'!G25</f>
        <v>109.05000000000001</v>
      </c>
      <c r="D11" s="275">
        <f t="shared" si="1"/>
        <v>1.0319375443577006</v>
      </c>
      <c r="E11" s="6">
        <f>'US BLS &amp; BEA tables'!L25</f>
        <v>88.013000000000005</v>
      </c>
      <c r="F11" s="275">
        <f t="shared" si="2"/>
        <v>1.0192706342864422</v>
      </c>
      <c r="H11" s="18">
        <f t="shared" si="3"/>
        <v>1.1944140197152247</v>
      </c>
      <c r="I11" s="18">
        <f t="shared" si="4"/>
        <v>1.165503542342581</v>
      </c>
      <c r="J11" s="18">
        <f t="shared" si="0"/>
        <v>1.0271496173919972</v>
      </c>
      <c r="K11" s="98">
        <f t="shared" si="5"/>
        <v>1.1834387209650832</v>
      </c>
      <c r="L11" s="272">
        <f t="shared" si="6"/>
        <v>2.6787604261543873E-2</v>
      </c>
    </row>
    <row r="12" spans="2:12" ht="13" x14ac:dyDescent="0.3">
      <c r="B12" s="16">
        <v>2009</v>
      </c>
      <c r="C12" s="6">
        <f>'US BLS &amp; BEA tables'!G26</f>
        <v>112.125</v>
      </c>
      <c r="D12" s="275">
        <f t="shared" si="1"/>
        <v>1.028198074277854</v>
      </c>
      <c r="E12" s="285">
        <f>'US BLS &amp; BEA tables'!L26</f>
        <v>88.555999999999997</v>
      </c>
      <c r="F12" s="275">
        <f t="shared" si="2"/>
        <v>1.006169543135673</v>
      </c>
      <c r="H12" s="18">
        <f t="shared" si="3"/>
        <v>1.2280941949616648</v>
      </c>
      <c r="I12" s="18">
        <f t="shared" si="4"/>
        <v>1.1726941667218431</v>
      </c>
      <c r="J12" s="18">
        <f t="shared" si="0"/>
        <v>1.0198715765229038</v>
      </c>
      <c r="K12" s="98">
        <f>K11*J12</f>
        <v>1.2069555140689083</v>
      </c>
      <c r="L12" s="272">
        <f t="shared" si="6"/>
        <v>1.9676713999731175E-2</v>
      </c>
    </row>
    <row r="13" spans="2:12" ht="13" x14ac:dyDescent="0.3">
      <c r="B13" s="16">
        <v>2010</v>
      </c>
      <c r="C13" s="6">
        <f>'US BLS &amp; BEA tables'!G27</f>
        <v>114.9</v>
      </c>
      <c r="D13" s="275">
        <f t="shared" si="1"/>
        <v>1.0247491638795987</v>
      </c>
      <c r="E13" s="285">
        <f>'US BLS &amp; BEA tables'!L27</f>
        <v>89.632000000000005</v>
      </c>
      <c r="F13" s="275">
        <f t="shared" si="2"/>
        <v>1.0121505036361174</v>
      </c>
      <c r="H13" s="18">
        <f t="shared" si="3"/>
        <v>1.2584884994523549</v>
      </c>
      <c r="I13" s="18">
        <f t="shared" si="4"/>
        <v>1.1869429914586505</v>
      </c>
      <c r="J13" s="18">
        <f t="shared" si="0"/>
        <v>1.0199870344595461</v>
      </c>
      <c r="K13" s="98">
        <f t="shared" si="5"/>
        <v>1.2310789755197427</v>
      </c>
      <c r="L13" s="272">
        <f t="shared" si="6"/>
        <v>1.9789915901219767E-2</v>
      </c>
    </row>
    <row r="14" spans="2:12" ht="13" x14ac:dyDescent="0.3">
      <c r="B14" s="16">
        <v>2011</v>
      </c>
      <c r="C14" s="6">
        <f>'US BLS &amp; BEA tables'!G28</f>
        <v>118.075</v>
      </c>
      <c r="D14" s="275">
        <f t="shared" si="1"/>
        <v>1.0276327241079199</v>
      </c>
      <c r="E14" s="285">
        <f>'US BLS &amp; BEA tables'!L28</f>
        <v>91.480999999999995</v>
      </c>
      <c r="F14" s="275">
        <f t="shared" si="2"/>
        <v>1.0206287932881113</v>
      </c>
      <c r="H14" s="18">
        <f t="shared" si="3"/>
        <v>1.2932639649507121</v>
      </c>
      <c r="I14" s="18">
        <f t="shared" si="4"/>
        <v>1.2114281930742234</v>
      </c>
      <c r="J14" s="18">
        <f t="shared" si="0"/>
        <v>1.0249853295144924</v>
      </c>
      <c r="K14" s="98">
        <f t="shared" si="5"/>
        <v>1.2618378893814672</v>
      </c>
      <c r="L14" s="272">
        <f t="shared" si="6"/>
        <v>2.4678299819156372E-2</v>
      </c>
    </row>
    <row r="15" spans="2:12" ht="13" x14ac:dyDescent="0.3">
      <c r="B15" s="16">
        <v>2012</v>
      </c>
      <c r="C15" s="6">
        <f>'US BLS &amp; BEA tables'!G29</f>
        <v>120.97499999999999</v>
      </c>
      <c r="D15" s="275">
        <f t="shared" si="1"/>
        <v>1.0245606605970781</v>
      </c>
      <c r="E15" s="285">
        <f>'US BLS &amp; BEA tables'!L29</f>
        <v>93.185000000000002</v>
      </c>
      <c r="F15" s="275">
        <f t="shared" si="2"/>
        <v>1.0186268186836611</v>
      </c>
      <c r="H15" s="18">
        <f t="shared" si="3"/>
        <v>1.3250273822562979</v>
      </c>
      <c r="I15" s="18">
        <f t="shared" si="4"/>
        <v>1.2339932463748922</v>
      </c>
      <c r="J15" s="18">
        <f t="shared" si="0"/>
        <v>1.022317745667735</v>
      </c>
      <c r="K15" s="98">
        <f t="shared" ref="K15:K20" si="7">K14*J15</f>
        <v>1.2899992664705944</v>
      </c>
      <c r="L15" s="272">
        <f t="shared" si="6"/>
        <v>2.2072349201761671E-2</v>
      </c>
    </row>
    <row r="16" spans="2:12" ht="13" x14ac:dyDescent="0.3">
      <c r="B16" s="16">
        <v>2013</v>
      </c>
      <c r="C16" s="6">
        <f>'US BLS &amp; BEA tables'!G30</f>
        <v>124.325</v>
      </c>
      <c r="D16" s="275">
        <f t="shared" ref="D16:D21" si="8">C16/C15</f>
        <v>1.0276916718330233</v>
      </c>
      <c r="E16" s="6">
        <f>'US BLS &amp; BEA tables'!L30</f>
        <v>94.771000000000001</v>
      </c>
      <c r="F16" s="275">
        <f t="shared" ref="F16:F21" si="9">E16/E15</f>
        <v>1.0170199066373342</v>
      </c>
      <c r="H16" s="18">
        <f>H15*D16</f>
        <v>1.3617196056955092</v>
      </c>
      <c r="I16" s="18">
        <f t="shared" ref="I16:I21" si="10">I15*F16</f>
        <v>1.2549956962192939</v>
      </c>
      <c r="J16" s="18">
        <f t="shared" ref="J16:J21" si="11">D16*$F$1+F16*$F$2</f>
        <v>1.0236578836349028</v>
      </c>
      <c r="K16" s="98">
        <f t="shared" si="7"/>
        <v>1.3205179190058658</v>
      </c>
      <c r="L16" s="272">
        <f t="shared" ref="L16:L26" si="12">LN(K16/K15)</f>
        <v>2.3382372781350819E-2</v>
      </c>
    </row>
    <row r="17" spans="2:12" ht="13" x14ac:dyDescent="0.3">
      <c r="B17" s="16">
        <v>2014</v>
      </c>
      <c r="C17" s="6">
        <f>'US BLS &amp; BEA tables'!G31</f>
        <v>127.7</v>
      </c>
      <c r="D17" s="275">
        <f t="shared" si="8"/>
        <v>1.027146591594611</v>
      </c>
      <c r="E17" s="6">
        <f>'US BLS &amp; BEA tables'!L31</f>
        <v>96.421000000000006</v>
      </c>
      <c r="F17" s="275">
        <f t="shared" si="9"/>
        <v>1.0174103892540969</v>
      </c>
      <c r="H17" s="18">
        <f t="shared" ref="H17:H21" si="13">H16*D17</f>
        <v>1.3986856516977</v>
      </c>
      <c r="I17" s="18">
        <f t="shared" si="10"/>
        <v>1.276845659802688</v>
      </c>
      <c r="J17" s="18">
        <f t="shared" si="11"/>
        <v>1.0234664339659982</v>
      </c>
      <c r="K17" s="98">
        <f t="shared" si="7"/>
        <v>1.3515057655531344</v>
      </c>
      <c r="L17" s="272">
        <f t="shared" si="12"/>
        <v>2.3195330237997001E-2</v>
      </c>
    </row>
    <row r="18" spans="2:12" ht="13" x14ac:dyDescent="0.3">
      <c r="B18" s="16">
        <v>2015</v>
      </c>
      <c r="C18" s="6">
        <f>'US BLS &amp; BEA tables'!G32</f>
        <v>130.875</v>
      </c>
      <c r="D18" s="275">
        <f t="shared" si="8"/>
        <v>1.0248629600626469</v>
      </c>
      <c r="E18" s="6">
        <f>'US BLS &amp; BEA tables'!L32</f>
        <v>97.316000000000003</v>
      </c>
      <c r="F18" s="275">
        <f t="shared" si="9"/>
        <v>1.0092822103068833</v>
      </c>
      <c r="H18" s="18">
        <f t="shared" si="13"/>
        <v>1.4334611171960572</v>
      </c>
      <c r="I18" s="18">
        <f t="shared" si="10"/>
        <v>1.2886976097464078</v>
      </c>
      <c r="J18" s="18">
        <f t="shared" si="11"/>
        <v>1.0189736396615519</v>
      </c>
      <c r="K18" s="98">
        <f t="shared" si="7"/>
        <v>1.3771487489492493</v>
      </c>
      <c r="L18" s="272">
        <f t="shared" si="12"/>
        <v>1.8795885075318292E-2</v>
      </c>
    </row>
    <row r="19" spans="2:12" ht="13" x14ac:dyDescent="0.3">
      <c r="B19" s="16">
        <v>2016</v>
      </c>
      <c r="C19" s="6">
        <f>'US BLS &amp; BEA tables'!G33</f>
        <v>133.94999999999999</v>
      </c>
      <c r="D19" s="275">
        <f t="shared" si="8"/>
        <v>1.0234957020057305</v>
      </c>
      <c r="E19" s="6">
        <f>'US BLS &amp; BEA tables'!L33</f>
        <v>98.241</v>
      </c>
      <c r="F19" s="275">
        <f t="shared" si="9"/>
        <v>1.009505117349665</v>
      </c>
      <c r="H19" s="18">
        <f t="shared" si="13"/>
        <v>1.4671412924424971</v>
      </c>
      <c r="I19" s="18">
        <f t="shared" si="10"/>
        <v>1.3009468317552801</v>
      </c>
      <c r="J19" s="18">
        <f t="shared" si="11"/>
        <v>1.0182074432935504</v>
      </c>
      <c r="K19" s="98">
        <f t="shared" si="7"/>
        <v>1.4022231067025266</v>
      </c>
      <c r="L19" s="272">
        <f t="shared" si="12"/>
        <v>1.8043672706432867E-2</v>
      </c>
    </row>
    <row r="20" spans="2:12" ht="13" x14ac:dyDescent="0.3">
      <c r="B20" s="16">
        <v>2017</v>
      </c>
      <c r="C20" s="6">
        <f>'US BLS &amp; BEA tables'!G34</f>
        <v>137.59999999999997</v>
      </c>
      <c r="D20" s="275">
        <f t="shared" si="8"/>
        <v>1.0272489734975736</v>
      </c>
      <c r="E20" s="266">
        <f>'US BLS &amp; BEA tables'!L34</f>
        <v>100</v>
      </c>
      <c r="F20" s="275">
        <f t="shared" si="9"/>
        <v>1.0179049480359523</v>
      </c>
      <c r="H20" s="18">
        <f t="shared" si="13"/>
        <v>1.5071193866374586</v>
      </c>
      <c r="I20" s="18">
        <f t="shared" si="10"/>
        <v>1.3242402171753953</v>
      </c>
      <c r="J20" s="18">
        <f t="shared" si="11"/>
        <v>1.023717053619384</v>
      </c>
      <c r="K20" s="98">
        <f t="shared" si="7"/>
        <v>1.4354797073105297</v>
      </c>
      <c r="L20" s="272">
        <f t="shared" si="12"/>
        <v>2.3440173610520892E-2</v>
      </c>
    </row>
    <row r="21" spans="2:12" ht="13" x14ac:dyDescent="0.3">
      <c r="B21" s="16">
        <v>2018</v>
      </c>
      <c r="C21" s="6">
        <f>'US BLS &amp; BEA tables'!G35</f>
        <v>140.94999999999999</v>
      </c>
      <c r="D21" s="275">
        <f t="shared" si="8"/>
        <v>1.0243459302325584</v>
      </c>
      <c r="E21" s="6">
        <f>'US BLS &amp; BEA tables'!L35</f>
        <v>102.291</v>
      </c>
      <c r="F21" s="275">
        <f t="shared" si="9"/>
        <v>1.02291</v>
      </c>
      <c r="H21" s="18">
        <f t="shared" si="13"/>
        <v>1.5438116100766703</v>
      </c>
      <c r="I21" s="18">
        <f t="shared" si="10"/>
        <v>1.3545785605508835</v>
      </c>
      <c r="J21" s="18">
        <f t="shared" si="11"/>
        <v>1.0238031673138466</v>
      </c>
      <c r="K21" s="98">
        <f t="shared" ref="K21:K25" si="14">K20*J21</f>
        <v>1.4696486709592738</v>
      </c>
      <c r="L21" s="272">
        <f t="shared" si="12"/>
        <v>2.3524288720723874E-2</v>
      </c>
    </row>
    <row r="22" spans="2:12" ht="13" x14ac:dyDescent="0.3">
      <c r="B22" s="16">
        <v>2019</v>
      </c>
      <c r="C22" s="6">
        <f>'US BLS &amp; BEA tables'!G36</f>
        <v>144.875</v>
      </c>
      <c r="D22" s="275">
        <f t="shared" ref="D22:D25" si="15">C22/C21</f>
        <v>1.0278467541681449</v>
      </c>
      <c r="E22" s="6">
        <f>'US BLS &amp; BEA tables'!L36</f>
        <v>103.979</v>
      </c>
      <c r="F22" s="275">
        <f t="shared" ref="F22:F26" si="16">E22/E21</f>
        <v>1.0165019405421787</v>
      </c>
      <c r="H22" s="18">
        <f t="shared" ref="H22:H25" si="17">H21*D22</f>
        <v>1.5868017524644034</v>
      </c>
      <c r="I22" s="18">
        <f t="shared" ref="I22:I25" si="18">I21*F22</f>
        <v>1.3769317354168042</v>
      </c>
      <c r="J22" s="18">
        <f t="shared" ref="J22:J25" si="19">D22*$F$1+F22*$F$2</f>
        <v>1.0235585624327435</v>
      </c>
      <c r="K22" s="98">
        <f t="shared" si="14"/>
        <v>1.5042714809282662</v>
      </c>
      <c r="L22" s="272">
        <f t="shared" si="12"/>
        <v>2.3285342296442309E-2</v>
      </c>
    </row>
    <row r="23" spans="2:12" ht="13" x14ac:dyDescent="0.3">
      <c r="B23" s="16">
        <v>2020</v>
      </c>
      <c r="C23" s="6">
        <f>'US BLS &amp; BEA tables'!G37</f>
        <v>148.10000000000002</v>
      </c>
      <c r="D23" s="275">
        <f t="shared" si="15"/>
        <v>1.0222605694564282</v>
      </c>
      <c r="E23" s="6">
        <f>'US BLS &amp; BEA tables'!L37</f>
        <v>105.361</v>
      </c>
      <c r="F23" s="275">
        <f t="shared" si="16"/>
        <v>1.013291145327422</v>
      </c>
      <c r="H23" s="18">
        <f t="shared" si="17"/>
        <v>1.6221248630887191</v>
      </c>
      <c r="I23" s="18">
        <f t="shared" si="18"/>
        <v>1.3952327352181684</v>
      </c>
      <c r="J23" s="18">
        <f t="shared" si="19"/>
        <v>1.0188702440011663</v>
      </c>
      <c r="K23" s="98">
        <f t="shared" si="14"/>
        <v>1.5326574508173785</v>
      </c>
      <c r="L23" s="272">
        <f t="shared" si="12"/>
        <v>1.8694409529224527E-2</v>
      </c>
    </row>
    <row r="24" spans="2:12" ht="13" x14ac:dyDescent="0.3">
      <c r="B24" s="16">
        <v>2021</v>
      </c>
      <c r="C24" s="6">
        <f>'US BLS &amp; BEA tables'!G38</f>
        <v>152.02500000000001</v>
      </c>
      <c r="D24" s="275">
        <f t="shared" si="15"/>
        <v>1.0265023632680621</v>
      </c>
      <c r="E24" s="6">
        <f>'US BLS &amp; BEA tables'!L38</f>
        <v>110.172</v>
      </c>
      <c r="F24" s="275">
        <f t="shared" si="16"/>
        <v>1.0456620571179089</v>
      </c>
      <c r="H24" s="18">
        <f t="shared" si="17"/>
        <v>1.6651150054764519</v>
      </c>
      <c r="I24" s="18">
        <f t="shared" si="18"/>
        <v>1.4589419320664767</v>
      </c>
      <c r="J24" s="18">
        <f t="shared" si="19"/>
        <v>1.0337444779055107</v>
      </c>
      <c r="K24" s="98">
        <f t="shared" si="14"/>
        <v>1.5843761763032018</v>
      </c>
      <c r="L24" s="272">
        <f t="shared" si="12"/>
        <v>3.3187625533042546E-2</v>
      </c>
    </row>
    <row r="25" spans="2:12" ht="13" x14ac:dyDescent="0.3">
      <c r="B25" s="16">
        <v>2022</v>
      </c>
      <c r="C25" s="6">
        <f>'US BLS &amp; BEA tables'!G39</f>
        <v>157.125</v>
      </c>
      <c r="D25" s="275">
        <f t="shared" si="15"/>
        <v>1.0335471139615195</v>
      </c>
      <c r="E25" s="6">
        <f>'US BLS &amp; BEA tables'!L39</f>
        <v>118.026</v>
      </c>
      <c r="F25" s="275">
        <f t="shared" si="16"/>
        <v>1.0712885306611479</v>
      </c>
      <c r="H25" s="18">
        <f t="shared" si="17"/>
        <v>1.7209748083242067</v>
      </c>
      <c r="I25" s="18">
        <f t="shared" si="18"/>
        <v>1.5629477587234322</v>
      </c>
      <c r="J25" s="18">
        <f t="shared" si="19"/>
        <v>1.0478128777289615</v>
      </c>
      <c r="K25" s="98">
        <f t="shared" si="14"/>
        <v>1.6601297606974663</v>
      </c>
      <c r="L25" s="272">
        <f t="shared" si="12"/>
        <v>4.6705018171240585E-2</v>
      </c>
    </row>
    <row r="26" spans="2:12" ht="13" x14ac:dyDescent="0.3">
      <c r="B26" s="16">
        <v>2023</v>
      </c>
      <c r="C26" s="6">
        <f>'US BLS &amp; BEA tables'!G40</f>
        <v>163.92500000000001</v>
      </c>
      <c r="D26" s="275">
        <f>C26/C25</f>
        <v>1.0432776451869532</v>
      </c>
      <c r="E26" s="6">
        <f>'US BLS &amp; BEA tables'!L40</f>
        <v>122.273</v>
      </c>
      <c r="F26" s="275">
        <f t="shared" si="16"/>
        <v>1.0359835968345958</v>
      </c>
      <c r="H26" s="18">
        <f t="shared" ref="H26" si="20">H25*D26</f>
        <v>1.7954545454545465</v>
      </c>
      <c r="I26" s="18">
        <f>I25*F26</f>
        <v>1.6191882407468714</v>
      </c>
      <c r="J26" s="18">
        <f>D26*$F$1+F26*$F$2</f>
        <v>1.0405205899462564</v>
      </c>
      <c r="K26" s="98">
        <f>K25*J26</f>
        <v>1.727399197988265</v>
      </c>
      <c r="L26" s="272">
        <f t="shared" si="12"/>
        <v>3.9721155167301125E-2</v>
      </c>
    </row>
    <row r="27" spans="2:12" ht="13.5" thickBot="1" x14ac:dyDescent="0.35">
      <c r="K27" s="273"/>
      <c r="L27" s="274">
        <f>AVERAGE(L6:L26)</f>
        <v>2.6029377313122271E-2</v>
      </c>
    </row>
  </sheetData>
  <pageMargins left="0.7" right="0.7" top="0.75" bottom="0.75" header="0.3" footer="0.3"/>
  <pageSetup scale="74" orientation="landscape" r:id="rId1"/>
  <headerFooter>
    <oddHeader>&amp;F</oddHeader>
  </headerFooter>
  <ignoredErrors>
    <ignoredError sqref="E5:E15 E16:E19 E20:E2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B2:G66"/>
  <sheetViews>
    <sheetView showGridLines="0" zoomScaleNormal="100" workbookViewId="0"/>
  </sheetViews>
  <sheetFormatPr defaultColWidth="9.1796875" defaultRowHeight="13" x14ac:dyDescent="0.3"/>
  <cols>
    <col min="1" max="1" width="2.81640625" style="1" customWidth="1"/>
    <col min="2" max="2" width="16.7265625" style="1" customWidth="1"/>
    <col min="3" max="7" width="23.7265625" style="16" customWidth="1"/>
    <col min="8" max="16384" width="9.1796875" style="1"/>
  </cols>
  <sheetData>
    <row r="2" spans="2:7" x14ac:dyDescent="0.3">
      <c r="B2" s="248" t="s">
        <v>191</v>
      </c>
    </row>
    <row r="3" spans="2:7" ht="26" x14ac:dyDescent="0.3">
      <c r="B3" s="171"/>
      <c r="C3" s="246" t="s">
        <v>93</v>
      </c>
      <c r="D3" s="246" t="s">
        <v>4</v>
      </c>
      <c r="E3" s="246" t="s">
        <v>192</v>
      </c>
      <c r="F3" s="246" t="s">
        <v>193</v>
      </c>
      <c r="G3" s="246" t="s">
        <v>194</v>
      </c>
    </row>
    <row r="4" spans="2:7" x14ac:dyDescent="0.3">
      <c r="B4" s="11">
        <v>2002</v>
      </c>
      <c r="C4" s="242">
        <f>TFP_dataset!L5</f>
        <v>0.66777544865887539</v>
      </c>
      <c r="D4" s="242">
        <f>TFP_dataset!P5</f>
        <v>0.94455641869041873</v>
      </c>
      <c r="E4" s="242">
        <f>TFP_dataset!Q5</f>
        <v>5.5443581309581269E-2</v>
      </c>
      <c r="F4" s="242">
        <f>TFP_dataset!R5</f>
        <v>3.7023862384260468E-2</v>
      </c>
      <c r="G4" s="242">
        <f>TFP_dataset!S5</f>
        <v>1.8419718925320801E-2</v>
      </c>
    </row>
    <row r="5" spans="2:7" x14ac:dyDescent="0.3">
      <c r="B5" s="11">
        <v>2003</v>
      </c>
      <c r="C5" s="242">
        <f>TFP_dataset!L6</f>
        <v>0.64380931674316244</v>
      </c>
      <c r="D5" s="242">
        <f>TFP_dataset!P6</f>
        <v>0.93680017014958117</v>
      </c>
      <c r="E5" s="242">
        <f>TFP_dataset!Q6</f>
        <v>6.3199829850418832E-2</v>
      </c>
      <c r="F5" s="243">
        <f>TFP_dataset!R6</f>
        <v>4.0688639274282269E-2</v>
      </c>
      <c r="G5" s="244">
        <f>TFP_dataset!S6</f>
        <v>2.2511190576136562E-2</v>
      </c>
    </row>
    <row r="6" spans="2:7" x14ac:dyDescent="0.3">
      <c r="B6" s="11">
        <v>2004</v>
      </c>
      <c r="C6" s="242">
        <f>TFP_dataset!L7</f>
        <v>0.66873352371759109</v>
      </c>
      <c r="D6" s="242">
        <f>TFP_dataset!P7</f>
        <v>0.92859424819386649</v>
      </c>
      <c r="E6" s="242">
        <f>TFP_dataset!Q7</f>
        <v>7.1405751806133511E-2</v>
      </c>
      <c r="F6" s="243">
        <f>TFP_dataset!R7</f>
        <v>4.7751420019019407E-2</v>
      </c>
      <c r="G6" s="244">
        <f>TFP_dataset!S7</f>
        <v>2.3654331787114104E-2</v>
      </c>
    </row>
    <row r="7" spans="2:7" x14ac:dyDescent="0.3">
      <c r="B7" s="11">
        <v>2005</v>
      </c>
      <c r="C7" s="242">
        <f>TFP_dataset!L8</f>
        <v>0.64248587164757964</v>
      </c>
      <c r="D7" s="242">
        <f>TFP_dataset!P8</f>
        <v>0.92252782672637312</v>
      </c>
      <c r="E7" s="242">
        <f>TFP_dataset!Q8</f>
        <v>7.7472173273626876E-2</v>
      </c>
      <c r="F7" s="243">
        <f>TFP_dataset!R8</f>
        <v>4.9774776774138489E-2</v>
      </c>
      <c r="G7" s="244">
        <f>TFP_dataset!S8</f>
        <v>2.7697396499488387E-2</v>
      </c>
    </row>
    <row r="8" spans="2:7" x14ac:dyDescent="0.3">
      <c r="B8" s="11">
        <v>2006</v>
      </c>
      <c r="C8" s="242">
        <f>TFP_dataset!L9</f>
        <v>0.64289946281338795</v>
      </c>
      <c r="D8" s="242">
        <f>TFP_dataset!P9</f>
        <v>0.88884681719225045</v>
      </c>
      <c r="E8" s="242">
        <f>TFP_dataset!Q9</f>
        <v>0.11115318280774955</v>
      </c>
      <c r="F8" s="243">
        <f>TFP_dataset!R9</f>
        <v>7.1460321517100495E-2</v>
      </c>
      <c r="G8" s="244">
        <f>TFP_dataset!S9</f>
        <v>3.9692861290649056E-2</v>
      </c>
    </row>
    <row r="9" spans="2:7" x14ac:dyDescent="0.3">
      <c r="B9" s="11">
        <v>2007</v>
      </c>
      <c r="C9" s="242">
        <f>TFP_dataset!L10</f>
        <v>0.64393380123538724</v>
      </c>
      <c r="D9" s="242">
        <f>TFP_dataset!P10</f>
        <v>0.88033980157342973</v>
      </c>
      <c r="E9" s="242">
        <f>TFP_dataset!Q10</f>
        <v>0.11966019842657027</v>
      </c>
      <c r="F9" s="243">
        <f>TFP_dataset!R10</f>
        <v>7.7053246429402103E-2</v>
      </c>
      <c r="G9" s="244">
        <f>TFP_dataset!S10</f>
        <v>4.2606951997168171E-2</v>
      </c>
    </row>
    <row r="10" spans="2:7" x14ac:dyDescent="0.3">
      <c r="B10" s="11">
        <v>2008</v>
      </c>
      <c r="C10" s="242">
        <f>TFP_dataset!L11</f>
        <v>0.594935946766188</v>
      </c>
      <c r="D10" s="242">
        <f>TFP_dataset!P11</f>
        <v>0.88503298549551501</v>
      </c>
      <c r="E10" s="242">
        <f>TFP_dataset!Q11</f>
        <v>0.11496701450448499</v>
      </c>
      <c r="F10" s="243">
        <f>TFP_dataset!R11</f>
        <v>6.8398009621107841E-2</v>
      </c>
      <c r="G10" s="244">
        <f>TFP_dataset!S11</f>
        <v>4.6569004883377146E-2</v>
      </c>
    </row>
    <row r="11" spans="2:7" x14ac:dyDescent="0.3">
      <c r="B11" s="11">
        <v>2009</v>
      </c>
      <c r="C11" s="242">
        <f>TFP_dataset!L12</f>
        <v>0.61660866967782046</v>
      </c>
      <c r="D11" s="242">
        <f>TFP_dataset!P12</f>
        <v>0.86137677845628247</v>
      </c>
      <c r="E11" s="242">
        <f>TFP_dataset!Q12</f>
        <v>0.13862322154371753</v>
      </c>
      <c r="F11" s="243">
        <f>TFP_dataset!R12</f>
        <v>8.5476280222525444E-2</v>
      </c>
      <c r="G11" s="244">
        <f>TFP_dataset!S12</f>
        <v>5.314694132119209E-2</v>
      </c>
    </row>
    <row r="12" spans="2:7" x14ac:dyDescent="0.3">
      <c r="B12" s="11">
        <v>2010</v>
      </c>
      <c r="C12" s="242">
        <f>TFP_dataset!L13</f>
        <v>0.58156976235578917</v>
      </c>
      <c r="D12" s="242">
        <f>TFP_dataset!P13</f>
        <v>0.83596335065799587</v>
      </c>
      <c r="E12" s="242">
        <f>TFP_dataset!Q13</f>
        <v>0.16403664934200413</v>
      </c>
      <c r="F12" s="243">
        <f>TFP_dataset!R13</f>
        <v>9.5398755175469252E-2</v>
      </c>
      <c r="G12" s="244">
        <f>TFP_dataset!S13</f>
        <v>6.8637894166534874E-2</v>
      </c>
    </row>
    <row r="13" spans="2:7" x14ac:dyDescent="0.3">
      <c r="B13" s="11">
        <v>2011</v>
      </c>
      <c r="C13" s="242">
        <f>TFP_dataset!L14</f>
        <v>0.63258662018151102</v>
      </c>
      <c r="D13" s="242">
        <f>TFP_dataset!P14</f>
        <v>0.84119684540277817</v>
      </c>
      <c r="E13" s="242">
        <f>TFP_dataset!Q14</f>
        <v>0.15880315459722183</v>
      </c>
      <c r="F13" s="243">
        <f>TFP_dataset!R14</f>
        <v>0.10045675084081854</v>
      </c>
      <c r="G13" s="244">
        <f>TFP_dataset!S14</f>
        <v>5.8346403756403292E-2</v>
      </c>
    </row>
    <row r="14" spans="2:7" x14ac:dyDescent="0.3">
      <c r="B14" s="11">
        <v>2012</v>
      </c>
      <c r="C14" s="242">
        <f>TFP_dataset!L15</f>
        <v>0.64876370998252131</v>
      </c>
      <c r="D14" s="242">
        <f>TFP_dataset!P15</f>
        <v>0.81086945429864399</v>
      </c>
      <c r="E14" s="242">
        <f>TFP_dataset!Q15</f>
        <v>0.18913054570135601</v>
      </c>
      <c r="F14" s="243">
        <f>TFP_dataset!R15</f>
        <v>0.12270103450023052</v>
      </c>
      <c r="G14" s="244">
        <f>TFP_dataset!S15</f>
        <v>6.6429511201125488E-2</v>
      </c>
    </row>
    <row r="15" spans="2:7" x14ac:dyDescent="0.3">
      <c r="B15" s="11">
        <v>2013</v>
      </c>
      <c r="C15" s="218">
        <f>TFP_dataset!L16</f>
        <v>0.66702926568440224</v>
      </c>
      <c r="D15" s="218">
        <f>TFP_dataset!P16</f>
        <v>0.83799160602248335</v>
      </c>
      <c r="E15" s="218">
        <f>TFP_dataset!Q16</f>
        <v>0.16200839397751665</v>
      </c>
      <c r="F15" s="245">
        <f>TFP_dataset!R16</f>
        <v>0.10806434006953226</v>
      </c>
      <c r="G15" s="244">
        <f>TFP_dataset!S16</f>
        <v>5.3944053907984388E-2</v>
      </c>
    </row>
    <row r="16" spans="2:7" x14ac:dyDescent="0.3">
      <c r="B16" s="11">
        <v>2014</v>
      </c>
      <c r="C16" s="218">
        <f>TFP_dataset!L17</f>
        <v>0.63773521203070593</v>
      </c>
      <c r="D16" s="218">
        <f>TFP_dataset!P17</f>
        <v>0.85648352964313212</v>
      </c>
      <c r="E16" s="218">
        <f>TFP_dataset!Q17</f>
        <v>0.14351647035686788</v>
      </c>
      <c r="F16" s="245">
        <f>TFP_dataset!R17</f>
        <v>9.1525506652935656E-2</v>
      </c>
      <c r="G16" s="244">
        <f>TFP_dataset!S17</f>
        <v>5.1990963703932219E-2</v>
      </c>
    </row>
    <row r="17" spans="2:7" x14ac:dyDescent="0.3">
      <c r="B17" s="11">
        <v>2015</v>
      </c>
      <c r="C17" s="218">
        <f>TFP_dataset!L18</f>
        <v>0.58791324504065301</v>
      </c>
      <c r="D17" s="218">
        <f>TFP_dataset!P18</f>
        <v>0.85014515334541407</v>
      </c>
      <c r="E17" s="218">
        <f>TFP_dataset!Q18</f>
        <v>0.14985484665458593</v>
      </c>
      <c r="F17" s="245">
        <f>TFP_dataset!R18</f>
        <v>8.8101649181767064E-2</v>
      </c>
      <c r="G17" s="244">
        <f>TFP_dataset!S18</f>
        <v>6.1753197472818863E-2</v>
      </c>
    </row>
    <row r="18" spans="2:7" x14ac:dyDescent="0.3">
      <c r="B18" s="11">
        <v>2016</v>
      </c>
      <c r="C18" s="218">
        <f>TFP_dataset!L19</f>
        <v>0.64730629747380819</v>
      </c>
      <c r="D18" s="218">
        <f>TFP_dataset!P19</f>
        <v>0.85604444404817237</v>
      </c>
      <c r="E18" s="218">
        <f>TFP_dataset!Q19</f>
        <v>0.14395555595182763</v>
      </c>
      <c r="F18" s="245">
        <f>TFP_dataset!R19</f>
        <v>9.3183337923961176E-2</v>
      </c>
      <c r="G18" s="244">
        <f>TFP_dataset!S19</f>
        <v>5.0772218027866453E-2</v>
      </c>
    </row>
    <row r="19" spans="2:7" x14ac:dyDescent="0.3">
      <c r="B19" s="11">
        <v>2017</v>
      </c>
      <c r="C19" s="218">
        <f>TFP_dataset!L20</f>
        <v>0.6398054971620627</v>
      </c>
      <c r="D19" s="218">
        <f>TFP_dataset!P20</f>
        <v>0.84573551170231953</v>
      </c>
      <c r="E19" s="218">
        <f>TFP_dataset!Q20</f>
        <v>0.15426448829768047</v>
      </c>
      <c r="F19" s="245">
        <f>TFP_dataset!R20</f>
        <v>9.8699267629748649E-2</v>
      </c>
      <c r="G19" s="244">
        <f>TFP_dataset!S20</f>
        <v>5.5565220667931819E-2</v>
      </c>
    </row>
    <row r="20" spans="2:7" x14ac:dyDescent="0.3">
      <c r="B20" s="11">
        <v>2018</v>
      </c>
      <c r="C20" s="218">
        <f>TFP_dataset!L21</f>
        <v>0.6005818169941155</v>
      </c>
      <c r="D20" s="218">
        <f>TFP_dataset!P21</f>
        <v>0.84257833834688589</v>
      </c>
      <c r="E20" s="218">
        <f>TFP_dataset!Q21</f>
        <v>0.15742166165311411</v>
      </c>
      <c r="F20" s="245">
        <f>TFP_dataset!R21</f>
        <v>9.4544587589860146E-2</v>
      </c>
      <c r="G20" s="244">
        <f>TFP_dataset!S21</f>
        <v>6.2877074063253963E-2</v>
      </c>
    </row>
    <row r="21" spans="2:7" x14ac:dyDescent="0.3">
      <c r="B21" s="11">
        <v>2019</v>
      </c>
      <c r="C21" s="218">
        <f>TFP_dataset!L22</f>
        <v>0.59518556856925287</v>
      </c>
      <c r="D21" s="218">
        <f>TFP_dataset!P22</f>
        <v>0.86359277148628788</v>
      </c>
      <c r="E21" s="218">
        <f>TFP_dataset!Q22</f>
        <v>0.13640722851371212</v>
      </c>
      <c r="F21" s="245">
        <f>TFP_dataset!R22</f>
        <v>8.1187613859889748E-2</v>
      </c>
      <c r="G21" s="244">
        <f>TFP_dataset!S22</f>
        <v>5.5219614653822371E-2</v>
      </c>
    </row>
    <row r="22" spans="2:7" x14ac:dyDescent="0.3">
      <c r="B22" s="11">
        <v>2020</v>
      </c>
      <c r="C22" s="218">
        <f>TFP_dataset!L23</f>
        <v>0.60694866291826644</v>
      </c>
      <c r="D22" s="218">
        <f>TFP_dataset!P23</f>
        <v>0.86068297876570621</v>
      </c>
      <c r="E22" s="218">
        <f>TFP_dataset!Q23</f>
        <v>0.13931702123429379</v>
      </c>
      <c r="F22" s="245">
        <f>TFP_dataset!R23</f>
        <v>8.4558279759910343E-2</v>
      </c>
      <c r="G22" s="244">
        <f>TFP_dataset!S23</f>
        <v>5.4758741474383449E-2</v>
      </c>
    </row>
    <row r="23" spans="2:7" x14ac:dyDescent="0.3">
      <c r="B23" s="11">
        <v>2021</v>
      </c>
      <c r="C23" s="218">
        <f>TFP_dataset!L24</f>
        <v>0.55107490495521938</v>
      </c>
      <c r="D23" s="218">
        <f>TFP_dataset!P24</f>
        <v>0.8371429271205908</v>
      </c>
      <c r="E23" s="218">
        <f>TFP_dataset!Q24</f>
        <v>0.1628570728794092</v>
      </c>
      <c r="F23" s="245">
        <f>TFP_dataset!R24</f>
        <v>8.9746445958305665E-2</v>
      </c>
      <c r="G23" s="244">
        <f>TFP_dataset!S24</f>
        <v>7.3110626921103539E-2</v>
      </c>
    </row>
    <row r="24" spans="2:7" x14ac:dyDescent="0.3">
      <c r="B24" s="11">
        <v>2022</v>
      </c>
      <c r="C24" s="218">
        <f>TFP_dataset!L25</f>
        <v>0.56251713326595709</v>
      </c>
      <c r="D24" s="218">
        <f>TFP_dataset!P25</f>
        <v>0.85207946700959947</v>
      </c>
      <c r="E24" s="218">
        <f>TFP_dataset!Q25</f>
        <v>0.14792053299040053</v>
      </c>
      <c r="F24" s="245">
        <f>TFP_dataset!R25</f>
        <v>8.3207834168932543E-2</v>
      </c>
      <c r="G24" s="244">
        <f>TFP_dataset!S25</f>
        <v>6.471269882146799E-2</v>
      </c>
    </row>
    <row r="25" spans="2:7" x14ac:dyDescent="0.3">
      <c r="B25" s="11">
        <v>2023</v>
      </c>
      <c r="C25" s="218">
        <f>TFP_dataset!L26</f>
        <v>0.55592577954337918</v>
      </c>
      <c r="D25" s="218">
        <f>TFP_dataset!P26</f>
        <v>0.83936772594947795</v>
      </c>
      <c r="E25" s="218">
        <f>TFP_dataset!Q26</f>
        <v>0.16063227405052205</v>
      </c>
      <c r="F25" s="245">
        <f>TFP_dataset!R26</f>
        <v>8.9299622171362183E-2</v>
      </c>
      <c r="G25" s="244">
        <f>TFP_dataset!S26</f>
        <v>7.1332651879159867E-2</v>
      </c>
    </row>
    <row r="26" spans="2:7" x14ac:dyDescent="0.3">
      <c r="B26" s="75" t="s">
        <v>195</v>
      </c>
      <c r="C26" s="203">
        <f>AVERAGE(C4:C25)</f>
        <v>0.61982388715534709</v>
      </c>
      <c r="D26" s="76">
        <f>AVERAGE(D4:D25)</f>
        <v>0.86717950683078204</v>
      </c>
      <c r="E26" s="76">
        <f t="shared" ref="E26:F26" si="0">AVERAGE(E4:E25)</f>
        <v>0.13282049316921793</v>
      </c>
      <c r="F26" s="76">
        <f t="shared" si="0"/>
        <v>8.1740980987480019E-2</v>
      </c>
      <c r="G26" s="76">
        <f>AVERAGE(G4:G25)</f>
        <v>5.1079512181737945E-2</v>
      </c>
    </row>
    <row r="28" spans="2:7" x14ac:dyDescent="0.3">
      <c r="B28" s="248" t="s">
        <v>0</v>
      </c>
    </row>
    <row r="29" spans="2:7" ht="26" x14ac:dyDescent="0.3">
      <c r="B29" s="171"/>
      <c r="C29" s="246" t="s">
        <v>2</v>
      </c>
      <c r="D29" s="1"/>
      <c r="E29" s="1"/>
      <c r="F29" s="1"/>
      <c r="G29" s="1"/>
    </row>
    <row r="30" spans="2:7" x14ac:dyDescent="0.3">
      <c r="B30" s="11">
        <v>2002</v>
      </c>
      <c r="C30" s="13"/>
      <c r="F30" s="1"/>
      <c r="G30" s="1"/>
    </row>
    <row r="31" spans="2:7" x14ac:dyDescent="0.3">
      <c r="B31" s="11">
        <v>2003</v>
      </c>
      <c r="C31" s="13"/>
      <c r="F31" s="1"/>
      <c r="G31" s="1"/>
    </row>
    <row r="32" spans="2:7" x14ac:dyDescent="0.3">
      <c r="B32" s="11">
        <v>2004</v>
      </c>
      <c r="C32" s="251">
        <v>0.60445579215659795</v>
      </c>
      <c r="D32" s="249"/>
      <c r="F32" s="1"/>
      <c r="G32" s="1"/>
    </row>
    <row r="33" spans="2:7" x14ac:dyDescent="0.3">
      <c r="B33" s="11">
        <v>2005</v>
      </c>
      <c r="C33" s="251">
        <v>0.6299519507624024</v>
      </c>
      <c r="D33" s="249"/>
      <c r="F33" s="1"/>
      <c r="G33" s="1"/>
    </row>
    <row r="34" spans="2:7" x14ac:dyDescent="0.3">
      <c r="B34" s="11">
        <v>2006</v>
      </c>
      <c r="C34" s="251">
        <v>0.60894898592160929</v>
      </c>
      <c r="D34" s="249"/>
      <c r="F34" s="1"/>
      <c r="G34" s="1"/>
    </row>
    <row r="35" spans="2:7" x14ac:dyDescent="0.3">
      <c r="B35" s="11">
        <v>2007</v>
      </c>
      <c r="C35" s="251">
        <v>0.61306700211317233</v>
      </c>
      <c r="D35" s="249"/>
      <c r="F35" s="1"/>
      <c r="G35" s="1"/>
    </row>
    <row r="36" spans="2:7" x14ac:dyDescent="0.3">
      <c r="B36" s="11">
        <v>2008</v>
      </c>
      <c r="C36" s="251">
        <v>0.60069739532944355</v>
      </c>
      <c r="D36" s="249"/>
      <c r="F36" s="1"/>
      <c r="G36" s="1"/>
    </row>
    <row r="37" spans="2:7" x14ac:dyDescent="0.3">
      <c r="B37" s="11">
        <v>2009</v>
      </c>
      <c r="C37" s="251">
        <v>0.62115919688781018</v>
      </c>
      <c r="D37" s="249"/>
      <c r="F37" s="1"/>
      <c r="G37" s="1"/>
    </row>
    <row r="38" spans="2:7" x14ac:dyDescent="0.3">
      <c r="B38" s="11">
        <v>2010</v>
      </c>
      <c r="C38" s="251">
        <v>0.65393733292566514</v>
      </c>
      <c r="D38" s="249"/>
      <c r="F38" s="1"/>
      <c r="G38" s="1"/>
    </row>
    <row r="39" spans="2:7" x14ac:dyDescent="0.3">
      <c r="B39" s="11">
        <v>2011</v>
      </c>
      <c r="C39" s="251">
        <v>0.63266651684835484</v>
      </c>
      <c r="D39" s="249"/>
      <c r="F39" s="1"/>
      <c r="G39" s="1"/>
    </row>
    <row r="40" spans="2:7" x14ac:dyDescent="0.3">
      <c r="B40" s="11">
        <v>2012</v>
      </c>
      <c r="C40" s="312">
        <v>0.65393733292566514</v>
      </c>
      <c r="D40" s="250"/>
      <c r="F40" s="1"/>
      <c r="G40" s="1"/>
    </row>
    <row r="41" spans="2:7" x14ac:dyDescent="0.3">
      <c r="B41" s="11">
        <v>2013</v>
      </c>
      <c r="C41" s="313">
        <v>0.63782007263824037</v>
      </c>
      <c r="D41" s="250"/>
      <c r="F41" s="1"/>
      <c r="G41" s="1"/>
    </row>
    <row r="42" spans="2:7" x14ac:dyDescent="0.3">
      <c r="B42" s="11">
        <v>2014</v>
      </c>
      <c r="C42" s="247">
        <v>0.641921054308773</v>
      </c>
      <c r="D42" s="249"/>
      <c r="F42" s="1"/>
      <c r="G42" s="1"/>
    </row>
    <row r="43" spans="2:7" x14ac:dyDescent="0.3">
      <c r="B43" s="11">
        <v>2015</v>
      </c>
      <c r="C43" s="247">
        <v>0.67565973874595819</v>
      </c>
      <c r="D43" s="249"/>
      <c r="F43" s="1"/>
      <c r="G43" s="1"/>
    </row>
    <row r="44" spans="2:7" x14ac:dyDescent="0.3">
      <c r="B44" s="11">
        <v>2016</v>
      </c>
      <c r="C44" s="247">
        <v>0.65846203246560409</v>
      </c>
      <c r="D44" s="249"/>
      <c r="F44" s="1"/>
      <c r="G44" s="1"/>
    </row>
    <row r="45" spans="2:7" x14ac:dyDescent="0.3">
      <c r="B45" s="11">
        <v>2017</v>
      </c>
      <c r="C45" s="247">
        <v>0.6684212227435099</v>
      </c>
      <c r="D45" s="249"/>
      <c r="F45" s="1"/>
      <c r="G45" s="1"/>
    </row>
    <row r="46" spans="2:7" x14ac:dyDescent="0.3">
      <c r="B46" s="11">
        <v>2018</v>
      </c>
      <c r="C46" s="247">
        <v>0.64411045402440381</v>
      </c>
      <c r="D46" s="277"/>
      <c r="F46" s="1"/>
      <c r="G46" s="1"/>
    </row>
    <row r="47" spans="2:7" x14ac:dyDescent="0.3">
      <c r="B47" s="11">
        <v>2019</v>
      </c>
      <c r="C47" s="247">
        <v>0.63528534284625815</v>
      </c>
      <c r="D47" s="277"/>
      <c r="F47" s="1"/>
      <c r="G47" s="1"/>
    </row>
    <row r="48" spans="2:7" x14ac:dyDescent="0.3">
      <c r="B48" s="11">
        <v>2020</v>
      </c>
      <c r="C48" s="247">
        <v>0.61587260808002564</v>
      </c>
      <c r="D48" s="277"/>
      <c r="F48" s="1"/>
      <c r="G48" s="1"/>
    </row>
    <row r="49" spans="2:7" x14ac:dyDescent="0.3">
      <c r="B49" s="11">
        <v>2021</v>
      </c>
      <c r="C49" s="247">
        <v>0.55643677782186729</v>
      </c>
      <c r="D49" s="277"/>
      <c r="F49" s="1"/>
      <c r="G49" s="1"/>
    </row>
    <row r="50" spans="2:7" x14ac:dyDescent="0.3">
      <c r="B50" s="11">
        <v>2022</v>
      </c>
      <c r="C50" s="247">
        <v>0.55557939659362554</v>
      </c>
      <c r="D50" s="277"/>
      <c r="F50" s="1"/>
      <c r="G50" s="1"/>
    </row>
    <row r="51" spans="2:7" x14ac:dyDescent="0.3">
      <c r="B51" s="11">
        <v>2023</v>
      </c>
      <c r="C51" s="247">
        <v>0.53187038027280353</v>
      </c>
      <c r="D51" s="277"/>
      <c r="F51" s="1"/>
      <c r="G51" s="1"/>
    </row>
    <row r="52" spans="2:7" x14ac:dyDescent="0.3">
      <c r="B52" s="75" t="s">
        <v>195</v>
      </c>
      <c r="C52" s="203">
        <f>AVERAGE(C32:C51)</f>
        <v>0.62201302932058922</v>
      </c>
      <c r="F52" s="1"/>
      <c r="G52" s="1"/>
    </row>
    <row r="53" spans="2:7" ht="13.5" thickBot="1" x14ac:dyDescent="0.35">
      <c r="B53" s="281" t="s">
        <v>196</v>
      </c>
      <c r="C53" s="282">
        <f>AVERAGE(C32:C46)</f>
        <v>0.63634773871981376</v>
      </c>
    </row>
    <row r="54" spans="2:7" ht="13.5" thickBot="1" x14ac:dyDescent="0.35">
      <c r="B54" s="281" t="s">
        <v>197</v>
      </c>
      <c r="C54" s="282">
        <f>AVERAGE(C32:C42)</f>
        <v>0.62714205752888474</v>
      </c>
    </row>
    <row r="56" spans="2:7" x14ac:dyDescent="0.3">
      <c r="B56" s="1" t="s">
        <v>198</v>
      </c>
    </row>
    <row r="61" spans="2:7" x14ac:dyDescent="0.3">
      <c r="C61" s="278"/>
    </row>
    <row r="62" spans="2:7" x14ac:dyDescent="0.3">
      <c r="C62" s="278"/>
    </row>
    <row r="63" spans="2:7" x14ac:dyDescent="0.3">
      <c r="C63" s="278"/>
    </row>
    <row r="64" spans="2:7" x14ac:dyDescent="0.3">
      <c r="C64" s="278"/>
    </row>
    <row r="65" spans="3:3" x14ac:dyDescent="0.3">
      <c r="C65" s="278"/>
    </row>
    <row r="66" spans="3:3" x14ac:dyDescent="0.3">
      <c r="C66" s="278"/>
    </row>
  </sheetData>
  <pageMargins left="0.7" right="0.7"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05"/>
  <sheetViews>
    <sheetView showGridLines="0" zoomScale="80" zoomScaleNormal="80" zoomScaleSheetLayoutView="55" workbookViewId="0">
      <selection activeCell="L57" sqref="L57"/>
    </sheetView>
  </sheetViews>
  <sheetFormatPr defaultRowHeight="12.5" x14ac:dyDescent="0.25"/>
  <cols>
    <col min="2" max="2" width="10.1796875" customWidth="1"/>
    <col min="13" max="13" width="10" bestFit="1" customWidth="1"/>
    <col min="23" max="23" width="9.26953125" bestFit="1" customWidth="1"/>
  </cols>
  <sheetData>
    <row r="1" spans="1:25" s="20" customFormat="1" ht="15.5" x14ac:dyDescent="0.35">
      <c r="A1" s="19"/>
      <c r="B1" s="19" t="s">
        <v>199</v>
      </c>
      <c r="C1" s="19"/>
      <c r="D1" s="19"/>
      <c r="E1" s="19"/>
      <c r="F1" s="19"/>
      <c r="G1" s="19"/>
      <c r="H1" s="19"/>
      <c r="I1" s="19"/>
      <c r="J1" s="19"/>
      <c r="K1" s="19"/>
      <c r="L1" s="19"/>
      <c r="M1" s="19"/>
      <c r="N1" s="19"/>
      <c r="O1" s="19"/>
      <c r="P1" s="19"/>
      <c r="Q1" s="19"/>
    </row>
    <row r="2" spans="1:25" s="22" customFormat="1" ht="15.5" x14ac:dyDescent="0.35">
      <c r="A2" s="21"/>
      <c r="B2" s="21"/>
      <c r="C2" s="21"/>
      <c r="D2" s="21"/>
      <c r="E2" s="21"/>
      <c r="F2" s="21"/>
      <c r="G2" s="21"/>
      <c r="H2" s="21"/>
      <c r="I2" s="21"/>
      <c r="J2" s="21"/>
      <c r="K2" s="21"/>
      <c r="L2" s="21"/>
      <c r="M2" s="21"/>
      <c r="N2" s="21"/>
      <c r="O2" s="21"/>
      <c r="P2" s="21"/>
      <c r="Q2" s="21"/>
    </row>
    <row r="3" spans="1:25" ht="13" x14ac:dyDescent="0.3">
      <c r="A3" s="23" t="s">
        <v>200</v>
      </c>
    </row>
    <row r="4" spans="1:25" ht="13" x14ac:dyDescent="0.3">
      <c r="A4" s="23"/>
    </row>
    <row r="5" spans="1:25" s="25" customFormat="1" ht="13" x14ac:dyDescent="0.3">
      <c r="A5" s="23"/>
      <c r="B5" s="24" t="s">
        <v>201</v>
      </c>
    </row>
    <row r="6" spans="1:25" s="25" customFormat="1" ht="13.5" x14ac:dyDescent="0.3">
      <c r="A6"/>
      <c r="B6" s="26" t="s">
        <v>202</v>
      </c>
    </row>
    <row r="7" spans="1:25" s="25" customFormat="1" ht="13" x14ac:dyDescent="0.3">
      <c r="A7"/>
      <c r="B7" s="27" t="s">
        <v>203</v>
      </c>
    </row>
    <row r="8" spans="1:25" ht="13.5" x14ac:dyDescent="0.3">
      <c r="B8" s="28" t="s">
        <v>204</v>
      </c>
    </row>
    <row r="9" spans="1:25" ht="13.5" x14ac:dyDescent="0.3">
      <c r="B9" s="29" t="s">
        <v>205</v>
      </c>
    </row>
    <row r="10" spans="1:25" ht="13.5" x14ac:dyDescent="0.3">
      <c r="B10" s="29" t="s">
        <v>206</v>
      </c>
    </row>
    <row r="11" spans="1:25" ht="13.5" x14ac:dyDescent="0.3">
      <c r="B11" s="29" t="s">
        <v>207</v>
      </c>
    </row>
    <row r="12" spans="1:25" ht="13.5" x14ac:dyDescent="0.3">
      <c r="B12" s="29" t="s">
        <v>208</v>
      </c>
    </row>
    <row r="13" spans="1:25" ht="13.5" x14ac:dyDescent="0.3">
      <c r="B13" s="29"/>
    </row>
    <row r="14" spans="1:25" ht="14" thickBot="1" x14ac:dyDescent="0.35">
      <c r="C14" s="30" t="s">
        <v>209</v>
      </c>
    </row>
    <row r="15" spans="1:25" ht="14" thickBot="1" x14ac:dyDescent="0.3">
      <c r="B15" s="31"/>
      <c r="C15" s="31">
        <v>2001</v>
      </c>
      <c r="D15" s="31">
        <v>2002</v>
      </c>
      <c r="E15" s="31">
        <v>2003</v>
      </c>
      <c r="F15" s="31">
        <v>2004</v>
      </c>
      <c r="G15" s="31">
        <v>2005</v>
      </c>
      <c r="H15" s="31">
        <v>2006</v>
      </c>
      <c r="I15" s="31">
        <v>2007</v>
      </c>
      <c r="J15" s="31">
        <v>2008</v>
      </c>
      <c r="K15" s="31">
        <v>2009</v>
      </c>
      <c r="L15" s="31">
        <v>2010</v>
      </c>
      <c r="M15" s="31">
        <v>2011</v>
      </c>
      <c r="N15" s="31">
        <v>2012</v>
      </c>
      <c r="O15" s="31">
        <v>2013</v>
      </c>
      <c r="P15" s="31">
        <v>2014</v>
      </c>
      <c r="Q15" s="31">
        <v>2015</v>
      </c>
      <c r="R15" s="31">
        <v>2016</v>
      </c>
      <c r="S15" s="31">
        <v>2017</v>
      </c>
      <c r="T15" s="31">
        <v>2018</v>
      </c>
      <c r="U15" s="31">
        <v>2019</v>
      </c>
      <c r="V15" s="31">
        <v>2020</v>
      </c>
      <c r="W15" s="31">
        <v>2021</v>
      </c>
      <c r="X15" s="31">
        <v>2022</v>
      </c>
      <c r="Y15" s="31">
        <v>2023</v>
      </c>
    </row>
    <row r="16" spans="1:25" ht="14" thickBot="1" x14ac:dyDescent="0.3">
      <c r="A16" s="14" t="s">
        <v>210</v>
      </c>
      <c r="B16" s="209" t="s">
        <v>211</v>
      </c>
      <c r="C16" s="209">
        <v>696.09</v>
      </c>
      <c r="D16" s="209">
        <v>711.29</v>
      </c>
      <c r="E16" s="209">
        <v>728.71</v>
      </c>
      <c r="F16" s="209">
        <v>748.99</v>
      </c>
      <c r="G16" s="209">
        <v>776.33</v>
      </c>
      <c r="H16" s="209">
        <v>788.8</v>
      </c>
      <c r="I16" s="209">
        <v>819.19</v>
      </c>
      <c r="J16" s="209">
        <v>838.34</v>
      </c>
      <c r="K16" s="209" t="s">
        <v>212</v>
      </c>
      <c r="L16" s="209" t="s">
        <v>213</v>
      </c>
      <c r="M16" s="209" t="s">
        <v>214</v>
      </c>
      <c r="N16" s="209" t="s">
        <v>215</v>
      </c>
      <c r="O16" s="209" t="s">
        <v>216</v>
      </c>
      <c r="P16" s="209" t="s">
        <v>217</v>
      </c>
      <c r="Q16" s="209" t="s">
        <v>218</v>
      </c>
      <c r="R16" s="209" t="s">
        <v>219</v>
      </c>
      <c r="S16" s="209" t="s">
        <v>220</v>
      </c>
      <c r="T16" s="209" t="s">
        <v>221</v>
      </c>
      <c r="U16" s="209" t="s">
        <v>222</v>
      </c>
      <c r="V16" s="209" t="s">
        <v>223</v>
      </c>
      <c r="W16" s="209" t="s">
        <v>224</v>
      </c>
      <c r="X16" s="209" t="s">
        <v>225</v>
      </c>
      <c r="Y16" s="209" t="s">
        <v>226</v>
      </c>
    </row>
    <row r="17" spans="2:26" ht="14" thickBot="1" x14ac:dyDescent="0.3">
      <c r="C17" s="209">
        <f>VALUE(LEFT(C16,6))</f>
        <v>696.09</v>
      </c>
      <c r="D17" s="209">
        <f t="shared" ref="D17:S17" si="0">VALUE(LEFT(D16,6))</f>
        <v>711.29</v>
      </c>
      <c r="E17" s="209">
        <f t="shared" si="0"/>
        <v>728.71</v>
      </c>
      <c r="F17" s="209">
        <f t="shared" si="0"/>
        <v>748.99</v>
      </c>
      <c r="G17" s="209">
        <f t="shared" si="0"/>
        <v>776.33</v>
      </c>
      <c r="H17" s="209">
        <f t="shared" si="0"/>
        <v>788.8</v>
      </c>
      <c r="I17" s="209">
        <f t="shared" si="0"/>
        <v>819.19</v>
      </c>
      <c r="J17" s="209">
        <f t="shared" si="0"/>
        <v>838.34</v>
      </c>
      <c r="K17" s="209">
        <f t="shared" si="0"/>
        <v>848.77</v>
      </c>
      <c r="L17" s="209">
        <f t="shared" si="0"/>
        <v>881.36</v>
      </c>
      <c r="M17" s="209">
        <f t="shared" si="0"/>
        <v>893.4</v>
      </c>
      <c r="N17" s="209">
        <f t="shared" si="0"/>
        <v>906.07</v>
      </c>
      <c r="O17" s="209">
        <f t="shared" si="0"/>
        <v>919.91</v>
      </c>
      <c r="P17" s="209">
        <f t="shared" si="0"/>
        <v>938.16</v>
      </c>
      <c r="Q17" s="209">
        <f t="shared" si="0"/>
        <v>962.75</v>
      </c>
      <c r="R17" s="209">
        <f t="shared" si="0"/>
        <v>973.66</v>
      </c>
      <c r="S17" s="209">
        <f t="shared" si="0"/>
        <v>992.42</v>
      </c>
      <c r="T17" s="209">
        <f>VALUE(LEFT(T16,8))</f>
        <v>1021.4</v>
      </c>
      <c r="U17" s="209">
        <f t="shared" ref="U17:Y17" si="1">VALUE(LEFT(U16,8))</f>
        <v>1049.1099999999999</v>
      </c>
      <c r="V17" s="209">
        <f t="shared" si="1"/>
        <v>1125.8699999999999</v>
      </c>
      <c r="W17" s="209">
        <f>VALUE(LEFT(W16,8))</f>
        <v>1165.6199999999999</v>
      </c>
      <c r="X17" s="209">
        <f t="shared" si="1"/>
        <v>1193.26</v>
      </c>
      <c r="Y17" s="209">
        <f t="shared" si="1"/>
        <v>1231.95</v>
      </c>
    </row>
    <row r="18" spans="2:26" x14ac:dyDescent="0.25">
      <c r="D18" s="73">
        <f>LN(D17/C17)</f>
        <v>2.1601260555618427E-2</v>
      </c>
      <c r="E18" s="73">
        <f t="shared" ref="E18:N18" si="2">LN(E17/D17)</f>
        <v>2.4195624775550508E-2</v>
      </c>
      <c r="F18" s="73">
        <f t="shared" si="2"/>
        <v>2.7449784642691658E-2</v>
      </c>
      <c r="G18" s="73">
        <f t="shared" si="2"/>
        <v>3.5852055225489468E-2</v>
      </c>
      <c r="H18" s="73">
        <f t="shared" si="2"/>
        <v>1.5935115769690481E-2</v>
      </c>
      <c r="I18" s="73">
        <f t="shared" si="2"/>
        <v>3.7803243891061426E-2</v>
      </c>
      <c r="J18" s="73">
        <f t="shared" si="2"/>
        <v>2.3107698940905908E-2</v>
      </c>
      <c r="K18" s="73">
        <f t="shared" si="2"/>
        <v>1.2364496539685944E-2</v>
      </c>
      <c r="L18" s="73">
        <f t="shared" si="2"/>
        <v>3.7677926371730619E-2</v>
      </c>
      <c r="M18" s="73">
        <f t="shared" si="2"/>
        <v>1.3568239886208793E-2</v>
      </c>
      <c r="N18" s="73">
        <f t="shared" si="2"/>
        <v>1.4082156833509746E-2</v>
      </c>
      <c r="O18" s="73">
        <f t="shared" ref="O18:T18" si="3">LN(O17/N17)</f>
        <v>1.5159273419317752E-2</v>
      </c>
      <c r="P18" s="73">
        <f t="shared" si="3"/>
        <v>1.9644670981963222E-2</v>
      </c>
      <c r="Q18" s="73">
        <f t="shared" si="3"/>
        <v>2.5873262542209279E-2</v>
      </c>
      <c r="R18" s="73">
        <f t="shared" si="3"/>
        <v>1.1268394030956594E-2</v>
      </c>
      <c r="S18" s="73">
        <f t="shared" si="3"/>
        <v>1.9084238052645509E-2</v>
      </c>
      <c r="T18" s="73">
        <f t="shared" si="3"/>
        <v>2.8783109434923061E-2</v>
      </c>
      <c r="U18" s="73">
        <f t="shared" ref="U18" si="4">LN(U17/T17)</f>
        <v>2.6767950458259519E-2</v>
      </c>
      <c r="V18" s="73">
        <f t="shared" ref="V18" si="5">LN(V17/U17)</f>
        <v>7.0613884431901711E-2</v>
      </c>
      <c r="W18" s="73">
        <f t="shared" ref="W18" si="6">LN(W17/V17)</f>
        <v>3.4697064175039496E-2</v>
      </c>
      <c r="X18" s="73">
        <f t="shared" ref="X18:Y18" si="7">LN(X17/W17)</f>
        <v>2.3435923045642574E-2</v>
      </c>
      <c r="Y18" s="73">
        <f t="shared" si="7"/>
        <v>3.1909222529924348E-2</v>
      </c>
      <c r="Z18" s="73">
        <f>AVERAGE(U18:X18)</f>
        <v>3.8878705527710819E-2</v>
      </c>
    </row>
    <row r="19" spans="2:26" ht="13" thickBot="1" x14ac:dyDescent="0.3"/>
    <row r="20" spans="2:26" ht="14" thickBot="1" x14ac:dyDescent="0.3">
      <c r="B20" s="33" t="s">
        <v>227</v>
      </c>
      <c r="C20" s="34" t="str">
        <f>B16</f>
        <v>Industrial aggregate excluding unclassified businesses 6 7</v>
      </c>
    </row>
    <row r="21" spans="2:26" ht="14" thickBot="1" x14ac:dyDescent="0.3">
      <c r="B21" s="32">
        <v>2001</v>
      </c>
      <c r="C21" s="221">
        <f>AVERAGEIF($C$15:$Y$15,$B21,$C$17:$Y$17)</f>
        <v>696.09</v>
      </c>
    </row>
    <row r="22" spans="2:26" ht="14" thickBot="1" x14ac:dyDescent="0.3">
      <c r="B22" s="32">
        <v>2002</v>
      </c>
      <c r="C22" s="221">
        <f t="shared" ref="C22:C43" si="8">AVERAGEIF($C$15:$Y$15,$B22,$C$17:$Y$17)</f>
        <v>711.29</v>
      </c>
    </row>
    <row r="23" spans="2:26" ht="14" thickBot="1" x14ac:dyDescent="0.3">
      <c r="B23" s="32">
        <v>2003</v>
      </c>
      <c r="C23" s="221">
        <f t="shared" si="8"/>
        <v>728.71</v>
      </c>
    </row>
    <row r="24" spans="2:26" ht="14" thickBot="1" x14ac:dyDescent="0.3">
      <c r="B24" s="32">
        <v>2004</v>
      </c>
      <c r="C24" s="221">
        <f t="shared" si="8"/>
        <v>748.99</v>
      </c>
    </row>
    <row r="25" spans="2:26" ht="14" thickBot="1" x14ac:dyDescent="0.3">
      <c r="B25" s="32">
        <v>2005</v>
      </c>
      <c r="C25" s="221">
        <f t="shared" si="8"/>
        <v>776.33</v>
      </c>
    </row>
    <row r="26" spans="2:26" ht="14" thickBot="1" x14ac:dyDescent="0.3">
      <c r="B26" s="32">
        <v>2006</v>
      </c>
      <c r="C26" s="221">
        <f t="shared" si="8"/>
        <v>788.8</v>
      </c>
    </row>
    <row r="27" spans="2:26" ht="14" thickBot="1" x14ac:dyDescent="0.3">
      <c r="B27" s="32">
        <v>2007</v>
      </c>
      <c r="C27" s="221">
        <f t="shared" si="8"/>
        <v>819.19</v>
      </c>
    </row>
    <row r="28" spans="2:26" ht="14" thickBot="1" x14ac:dyDescent="0.3">
      <c r="B28" s="32">
        <v>2008</v>
      </c>
      <c r="C28" s="221">
        <f t="shared" si="8"/>
        <v>838.34</v>
      </c>
    </row>
    <row r="29" spans="2:26" ht="14" thickBot="1" x14ac:dyDescent="0.3">
      <c r="B29" s="32">
        <v>2009</v>
      </c>
      <c r="C29" s="221">
        <f t="shared" si="8"/>
        <v>848.77</v>
      </c>
    </row>
    <row r="30" spans="2:26" ht="14" thickBot="1" x14ac:dyDescent="0.3">
      <c r="B30" s="32">
        <v>2010</v>
      </c>
      <c r="C30" s="221">
        <f t="shared" si="8"/>
        <v>881.36</v>
      </c>
    </row>
    <row r="31" spans="2:26" ht="14" thickBot="1" x14ac:dyDescent="0.3">
      <c r="B31" s="32">
        <v>2011</v>
      </c>
      <c r="C31" s="221">
        <f t="shared" si="8"/>
        <v>893.4</v>
      </c>
    </row>
    <row r="32" spans="2:26" ht="14" thickBot="1" x14ac:dyDescent="0.3">
      <c r="B32" s="32">
        <v>2012</v>
      </c>
      <c r="C32" s="221">
        <f t="shared" si="8"/>
        <v>906.07</v>
      </c>
    </row>
    <row r="33" spans="2:3" ht="14" thickBot="1" x14ac:dyDescent="0.3">
      <c r="B33" s="32">
        <v>2013</v>
      </c>
      <c r="C33" s="221">
        <f t="shared" si="8"/>
        <v>919.91</v>
      </c>
    </row>
    <row r="34" spans="2:3" ht="14" thickBot="1" x14ac:dyDescent="0.3">
      <c r="B34" s="32">
        <v>2014</v>
      </c>
      <c r="C34" s="221">
        <f t="shared" si="8"/>
        <v>938.16</v>
      </c>
    </row>
    <row r="35" spans="2:3" ht="14" thickBot="1" x14ac:dyDescent="0.3">
      <c r="B35" s="32">
        <v>2015</v>
      </c>
      <c r="C35" s="221">
        <f t="shared" si="8"/>
        <v>962.75</v>
      </c>
    </row>
    <row r="36" spans="2:3" ht="14" thickBot="1" x14ac:dyDescent="0.3">
      <c r="B36" s="32">
        <v>2016</v>
      </c>
      <c r="C36" s="221">
        <f t="shared" si="8"/>
        <v>973.66</v>
      </c>
    </row>
    <row r="37" spans="2:3" ht="14" thickBot="1" x14ac:dyDescent="0.3">
      <c r="B37" s="32">
        <v>2017</v>
      </c>
      <c r="C37" s="221">
        <f t="shared" si="8"/>
        <v>992.42</v>
      </c>
    </row>
    <row r="38" spans="2:3" ht="14" thickBot="1" x14ac:dyDescent="0.3">
      <c r="B38" s="32">
        <v>2018</v>
      </c>
      <c r="C38" s="221">
        <f t="shared" si="8"/>
        <v>1021.4</v>
      </c>
    </row>
    <row r="39" spans="2:3" ht="14" thickBot="1" x14ac:dyDescent="0.3">
      <c r="B39" s="32">
        <v>2019</v>
      </c>
      <c r="C39" s="221">
        <f t="shared" si="8"/>
        <v>1049.1099999999999</v>
      </c>
    </row>
    <row r="40" spans="2:3" ht="14" thickBot="1" x14ac:dyDescent="0.3">
      <c r="B40" s="32">
        <v>2020</v>
      </c>
      <c r="C40" s="221">
        <f t="shared" si="8"/>
        <v>1125.8699999999999</v>
      </c>
    </row>
    <row r="41" spans="2:3" ht="14" thickBot="1" x14ac:dyDescent="0.3">
      <c r="B41" s="32">
        <v>2021</v>
      </c>
      <c r="C41" s="221">
        <f t="shared" si="8"/>
        <v>1165.6199999999999</v>
      </c>
    </row>
    <row r="42" spans="2:3" ht="14" thickBot="1" x14ac:dyDescent="0.3">
      <c r="B42" s="32">
        <v>2022</v>
      </c>
      <c r="C42" s="221">
        <f t="shared" si="8"/>
        <v>1193.26</v>
      </c>
    </row>
    <row r="43" spans="2:3" ht="14" thickBot="1" x14ac:dyDescent="0.3">
      <c r="B43" s="32">
        <v>2023</v>
      </c>
      <c r="C43" s="221">
        <f t="shared" si="8"/>
        <v>1231.95</v>
      </c>
    </row>
    <row r="45" spans="2:3" ht="13.5" x14ac:dyDescent="0.3">
      <c r="B45" s="35" t="s">
        <v>228</v>
      </c>
    </row>
    <row r="47" spans="2:3" ht="13.5" x14ac:dyDescent="0.25">
      <c r="B47" s="36">
        <v>1</v>
      </c>
      <c r="C47" t="s">
        <v>229</v>
      </c>
    </row>
    <row r="48" spans="2:3" ht="13.5" x14ac:dyDescent="0.25">
      <c r="B48" s="36">
        <v>2</v>
      </c>
      <c r="C48" s="37" t="s">
        <v>230</v>
      </c>
    </row>
    <row r="49" spans="1:19" ht="13.5" x14ac:dyDescent="0.25">
      <c r="B49" s="36">
        <v>3</v>
      </c>
      <c r="C49" s="37" t="s">
        <v>231</v>
      </c>
    </row>
    <row r="50" spans="1:19" ht="13.5" x14ac:dyDescent="0.25">
      <c r="B50" s="36">
        <v>4</v>
      </c>
      <c r="C50" s="37" t="s">
        <v>232</v>
      </c>
    </row>
    <row r="51" spans="1:19" ht="13.5" x14ac:dyDescent="0.25">
      <c r="B51" s="36">
        <v>5</v>
      </c>
      <c r="C51" s="37" t="s">
        <v>233</v>
      </c>
    </row>
    <row r="52" spans="1:19" ht="13.5" x14ac:dyDescent="0.25">
      <c r="B52" s="36">
        <v>6</v>
      </c>
      <c r="C52" s="37" t="s">
        <v>234</v>
      </c>
    </row>
    <row r="53" spans="1:19" ht="13.5" x14ac:dyDescent="0.25">
      <c r="B53" s="36">
        <v>7</v>
      </c>
      <c r="C53" s="37" t="s">
        <v>235</v>
      </c>
    </row>
    <row r="54" spans="1:19" ht="13.5" x14ac:dyDescent="0.25">
      <c r="B54" s="36"/>
      <c r="C54" s="37"/>
    </row>
    <row r="55" spans="1:19" x14ac:dyDescent="0.25">
      <c r="B55" t="s">
        <v>236</v>
      </c>
    </row>
    <row r="56" spans="1:19" x14ac:dyDescent="0.25">
      <c r="B56" t="s">
        <v>237</v>
      </c>
    </row>
    <row r="57" spans="1:19" s="38" customFormat="1" x14ac:dyDescent="0.25"/>
    <row r="59" spans="1:19" ht="13.5" x14ac:dyDescent="0.25">
      <c r="S59" s="36"/>
    </row>
    <row r="60" spans="1:19" s="25" customFormat="1" ht="14.5" x14ac:dyDescent="0.35">
      <c r="A60"/>
      <c r="B60" s="39" t="s">
        <v>173</v>
      </c>
    </row>
    <row r="61" spans="1:19" s="25" customFormat="1" ht="13.5" x14ac:dyDescent="0.3">
      <c r="A61"/>
      <c r="B61" s="26" t="s">
        <v>238</v>
      </c>
      <c r="S61" s="26"/>
    </row>
    <row r="62" spans="1:19" s="25" customFormat="1" ht="14" x14ac:dyDescent="0.3">
      <c r="A62"/>
      <c r="B62" s="40" t="s">
        <v>239</v>
      </c>
    </row>
    <row r="63" spans="1:19" ht="13.5" x14ac:dyDescent="0.3">
      <c r="B63" s="238" t="s">
        <v>240</v>
      </c>
    </row>
    <row r="64" spans="1:19" ht="13.5" x14ac:dyDescent="0.3">
      <c r="B64" s="29" t="s">
        <v>241</v>
      </c>
    </row>
    <row r="65" spans="2:27" ht="13.5" x14ac:dyDescent="0.3">
      <c r="B65" s="29" t="s">
        <v>242</v>
      </c>
    </row>
    <row r="66" spans="2:27" ht="13.5" x14ac:dyDescent="0.3">
      <c r="B66" s="29" t="s">
        <v>243</v>
      </c>
    </row>
    <row r="67" spans="2:27" ht="13.5" x14ac:dyDescent="0.3">
      <c r="B67" s="29" t="s">
        <v>208</v>
      </c>
    </row>
    <row r="68" spans="2:27" ht="13.5" x14ac:dyDescent="0.3">
      <c r="B68" s="29"/>
    </row>
    <row r="69" spans="2:27" ht="14" thickBot="1" x14ac:dyDescent="0.35">
      <c r="B69" s="30" t="s">
        <v>170</v>
      </c>
    </row>
    <row r="70" spans="2:27" ht="14" thickBot="1" x14ac:dyDescent="0.3">
      <c r="B70" s="31" t="s">
        <v>244</v>
      </c>
      <c r="C70" s="31" t="s">
        <v>245</v>
      </c>
      <c r="D70" s="32">
        <v>2000</v>
      </c>
      <c r="E70" s="32">
        <v>2001</v>
      </c>
      <c r="F70" s="32">
        <v>2002</v>
      </c>
      <c r="G70" s="32">
        <v>2003</v>
      </c>
      <c r="H70" s="32">
        <v>2004</v>
      </c>
      <c r="I70" s="32">
        <v>2005</v>
      </c>
      <c r="J70" s="32">
        <v>2006</v>
      </c>
      <c r="K70" s="32">
        <v>2007</v>
      </c>
      <c r="L70" s="32">
        <v>2008</v>
      </c>
      <c r="M70" s="32">
        <v>2009</v>
      </c>
      <c r="N70" s="32">
        <v>2010</v>
      </c>
      <c r="O70" s="32">
        <v>2011</v>
      </c>
      <c r="P70" s="32">
        <v>2012</v>
      </c>
      <c r="Q70" s="32">
        <v>2013</v>
      </c>
      <c r="R70" s="32">
        <v>2014</v>
      </c>
      <c r="S70" s="32">
        <v>2015</v>
      </c>
      <c r="T70" s="32">
        <v>2016</v>
      </c>
      <c r="U70" s="32">
        <v>2017</v>
      </c>
      <c r="V70" s="32">
        <v>2018</v>
      </c>
      <c r="W70" s="32">
        <v>2019</v>
      </c>
      <c r="X70" s="32">
        <v>2020</v>
      </c>
      <c r="Y70" s="32">
        <v>2021</v>
      </c>
      <c r="Z70" s="32">
        <v>2022</v>
      </c>
      <c r="AA70" s="32">
        <v>2023</v>
      </c>
    </row>
    <row r="71" spans="2:27" ht="14" thickBot="1" x14ac:dyDescent="0.3">
      <c r="B71" s="209" t="s">
        <v>246</v>
      </c>
      <c r="C71" s="209" t="s">
        <v>247</v>
      </c>
      <c r="D71" s="209">
        <v>73.400000000000006</v>
      </c>
      <c r="E71" s="209">
        <v>74.8</v>
      </c>
      <c r="F71" s="209">
        <v>76.599999999999994</v>
      </c>
      <c r="G71" s="209">
        <v>77.8</v>
      </c>
      <c r="H71" s="209">
        <v>79.2</v>
      </c>
      <c r="I71" s="209">
        <v>80.8</v>
      </c>
      <c r="J71" s="209">
        <v>82.7</v>
      </c>
      <c r="K71" s="209">
        <v>84.7</v>
      </c>
      <c r="L71" s="209">
        <v>86.8</v>
      </c>
      <c r="M71" s="209">
        <v>87.8</v>
      </c>
      <c r="N71" s="209">
        <v>88.7</v>
      </c>
      <c r="O71" s="209">
        <v>90.8</v>
      </c>
      <c r="P71" s="209">
        <v>92.3</v>
      </c>
      <c r="Q71" s="209">
        <v>93.9</v>
      </c>
      <c r="R71" s="209">
        <v>96.1</v>
      </c>
      <c r="S71" s="209">
        <v>97.6</v>
      </c>
      <c r="T71" s="209">
        <v>98.6</v>
      </c>
      <c r="U71" s="209">
        <v>100</v>
      </c>
      <c r="V71" s="209">
        <v>101.6</v>
      </c>
      <c r="W71" s="209">
        <v>103.5</v>
      </c>
      <c r="X71" s="209">
        <v>105.4</v>
      </c>
      <c r="Y71" s="209">
        <v>109.4</v>
      </c>
      <c r="Z71" s="209">
        <v>116.3</v>
      </c>
      <c r="AA71" s="209">
        <v>120.6</v>
      </c>
    </row>
    <row r="72" spans="2:27" ht="13.5" x14ac:dyDescent="0.25">
      <c r="B72" s="71"/>
      <c r="C72" s="73"/>
      <c r="D72" s="73"/>
      <c r="E72" s="73">
        <f t="shared" ref="E72:N72" si="9">LN(E71/D71)</f>
        <v>1.8893949359961613E-2</v>
      </c>
      <c r="F72" s="73">
        <f t="shared" si="9"/>
        <v>2.3779191766113934E-2</v>
      </c>
      <c r="G72" s="73">
        <f t="shared" si="9"/>
        <v>1.5544354437800379E-2</v>
      </c>
      <c r="H72" s="73">
        <f t="shared" si="9"/>
        <v>1.783486763603432E-2</v>
      </c>
      <c r="I72" s="73">
        <f t="shared" si="9"/>
        <v>2.0000666706669435E-2</v>
      </c>
      <c r="J72" s="73">
        <f t="shared" si="9"/>
        <v>2.3242636502596063E-2</v>
      </c>
      <c r="K72" s="73">
        <f t="shared" si="9"/>
        <v>2.3895999628363168E-2</v>
      </c>
      <c r="L72" s="73">
        <f t="shared" si="9"/>
        <v>2.4491020008295696E-2</v>
      </c>
      <c r="M72" s="73">
        <f t="shared" si="9"/>
        <v>1.1454878974766386E-2</v>
      </c>
      <c r="N72" s="73">
        <f t="shared" si="9"/>
        <v>1.0198388674462986E-2</v>
      </c>
      <c r="O72" s="73">
        <f t="shared" ref="O72:U72" si="10">LN(O71/N71)</f>
        <v>2.3399396291713771E-2</v>
      </c>
      <c r="P72" s="73">
        <f t="shared" si="10"/>
        <v>1.6384855901558824E-2</v>
      </c>
      <c r="Q72" s="239">
        <f t="shared" si="10"/>
        <v>1.7186244705410861E-2</v>
      </c>
      <c r="R72" s="239">
        <f t="shared" si="10"/>
        <v>2.3158929762029375E-2</v>
      </c>
      <c r="S72" s="73">
        <f t="shared" si="10"/>
        <v>1.5488177442799903E-2</v>
      </c>
      <c r="T72" s="73">
        <f t="shared" si="10"/>
        <v>1.0193768189543024E-2</v>
      </c>
      <c r="U72" s="73">
        <f t="shared" si="10"/>
        <v>1.4098924379501675E-2</v>
      </c>
      <c r="V72" s="73">
        <f t="shared" ref="V72" si="11">LN(V71/U71)</f>
        <v>1.5873349156290163E-2</v>
      </c>
      <c r="W72" s="73">
        <f t="shared" ref="W72" si="12">LN(W71/V71)</f>
        <v>1.8528077561042213E-2</v>
      </c>
      <c r="X72" s="73">
        <f t="shared" ref="X72" si="13">LN(X71/W71)</f>
        <v>1.8191023401838181E-2</v>
      </c>
      <c r="Y72" s="73">
        <f t="shared" ref="Y72" si="14">LN(Y71/X71)</f>
        <v>3.7248253880618781E-2</v>
      </c>
      <c r="Z72" s="73">
        <f t="shared" ref="Z72" si="15">LN(Z71/Y71)</f>
        <v>6.1162169536737934E-2</v>
      </c>
      <c r="AA72" s="72">
        <f>AVERAGE(W72:Z72)</f>
        <v>3.378238109505928E-2</v>
      </c>
    </row>
    <row r="73" spans="2:27" ht="13.5" x14ac:dyDescent="0.25">
      <c r="B73" s="71"/>
      <c r="C73" s="71"/>
      <c r="D73" s="71">
        <v>1</v>
      </c>
      <c r="E73" s="71">
        <f>D73*(1+E72)</f>
        <v>1.0188939493599616</v>
      </c>
      <c r="F73" s="71">
        <f t="shared" ref="F73:O73" si="16">E73*(1+F72)</f>
        <v>1.0431224239711252</v>
      </c>
      <c r="G73" s="71">
        <f t="shared" si="16"/>
        <v>1.05933708865135</v>
      </c>
      <c r="H73" s="71">
        <f t="shared" si="16"/>
        <v>1.0782302254093887</v>
      </c>
      <c r="I73" s="71">
        <f t="shared" si="16"/>
        <v>1.0997955487808591</v>
      </c>
      <c r="J73" s="71">
        <f t="shared" si="16"/>
        <v>1.1253576969483459</v>
      </c>
      <c r="K73" s="71">
        <f t="shared" si="16"/>
        <v>1.1522492440563992</v>
      </c>
      <c r="L73" s="71">
        <f t="shared" si="16"/>
        <v>1.1804690033471281</v>
      </c>
      <c r="M73" s="71">
        <f t="shared" si="16"/>
        <v>1.1939911329139326</v>
      </c>
      <c r="N73" s="71">
        <f t="shared" si="16"/>
        <v>1.2061679185612513</v>
      </c>
      <c r="O73" s="71">
        <f t="shared" si="16"/>
        <v>1.2343915196820177</v>
      </c>
      <c r="P73" s="71">
        <f t="shared" ref="P73:U73" si="17">O73*(1+P72)</f>
        <v>1.2546168468581138</v>
      </c>
      <c r="Q73" s="71">
        <f t="shared" si="17"/>
        <v>1.2761789989997485</v>
      </c>
      <c r="R73" s="71">
        <f t="shared" si="17"/>
        <v>1.3057339388013607</v>
      </c>
      <c r="S73" s="71">
        <f t="shared" si="17"/>
        <v>1.3259573777386022</v>
      </c>
      <c r="T73" s="71">
        <f t="shared" si="17"/>
        <v>1.3394738798764838</v>
      </c>
      <c r="U73" s="71">
        <f t="shared" si="17"/>
        <v>1.3583590208171803</v>
      </c>
      <c r="V73" s="71">
        <f t="shared" ref="V73" si="18">U73*(1+V72)</f>
        <v>1.3799207278342078</v>
      </c>
      <c r="W73" s="71">
        <f t="shared" ref="W73" si="19">V73*(1+W72)</f>
        <v>1.4054880061076098</v>
      </c>
      <c r="X73" s="71">
        <f t="shared" ref="X73" si="20">W73*(1+X72)</f>
        <v>1.431055271317716</v>
      </c>
      <c r="Y73" s="71">
        <f t="shared" ref="Y73" si="21">X73*(1+Y72)</f>
        <v>1.484359581380956</v>
      </c>
      <c r="Z73" s="71">
        <f t="shared" ref="Z73" si="22">Y73*(1+Z72)</f>
        <v>1.5751462337508595</v>
      </c>
      <c r="AA73" s="71"/>
    </row>
    <row r="74" spans="2:27" ht="13.5" x14ac:dyDescent="0.25">
      <c r="B74" s="71"/>
      <c r="C74" s="71"/>
      <c r="D74" s="71"/>
      <c r="E74" s="71"/>
      <c r="F74" s="71"/>
      <c r="G74" s="71"/>
      <c r="H74" s="71"/>
      <c r="I74" s="71"/>
      <c r="J74" s="71"/>
      <c r="K74" s="71"/>
      <c r="L74" s="71"/>
      <c r="M74" s="71"/>
      <c r="N74" s="71"/>
      <c r="O74" s="71"/>
    </row>
    <row r="75" spans="2:27" ht="14" thickBot="1" x14ac:dyDescent="0.35">
      <c r="B75" s="30"/>
      <c r="C75" s="30" t="s">
        <v>170</v>
      </c>
    </row>
    <row r="76" spans="2:27" ht="14" thickBot="1" x14ac:dyDescent="0.3">
      <c r="B76" s="32">
        <v>2000</v>
      </c>
      <c r="C76" s="221">
        <f>AVERAGEIF($B$70:$AA$70,$B76,$B$71:$AA$71)</f>
        <v>73.400000000000006</v>
      </c>
    </row>
    <row r="77" spans="2:27" ht="14" thickBot="1" x14ac:dyDescent="0.3">
      <c r="B77" s="32">
        <v>2001</v>
      </c>
      <c r="C77" s="221">
        <f t="shared" ref="C77:C92" si="23">AVERAGEIF($B$70:$AA$70,$B77,$B$71:$AA$71)</f>
        <v>74.8</v>
      </c>
    </row>
    <row r="78" spans="2:27" ht="14" thickBot="1" x14ac:dyDescent="0.3">
      <c r="B78" s="32">
        <v>2002</v>
      </c>
      <c r="C78" s="221">
        <f t="shared" si="23"/>
        <v>76.599999999999994</v>
      </c>
    </row>
    <row r="79" spans="2:27" ht="14" thickBot="1" x14ac:dyDescent="0.3">
      <c r="B79" s="32">
        <v>2003</v>
      </c>
      <c r="C79" s="221">
        <f t="shared" si="23"/>
        <v>77.8</v>
      </c>
    </row>
    <row r="80" spans="2:27" ht="14" thickBot="1" x14ac:dyDescent="0.3">
      <c r="B80" s="32">
        <v>2004</v>
      </c>
      <c r="C80" s="221">
        <f t="shared" si="23"/>
        <v>79.2</v>
      </c>
    </row>
    <row r="81" spans="2:3" ht="14" thickBot="1" x14ac:dyDescent="0.3">
      <c r="B81" s="32">
        <v>2005</v>
      </c>
      <c r="C81" s="221">
        <f t="shared" si="23"/>
        <v>80.8</v>
      </c>
    </row>
    <row r="82" spans="2:3" ht="14" thickBot="1" x14ac:dyDescent="0.3">
      <c r="B82" s="32">
        <v>2006</v>
      </c>
      <c r="C82" s="221">
        <f t="shared" si="23"/>
        <v>82.7</v>
      </c>
    </row>
    <row r="83" spans="2:3" ht="14" thickBot="1" x14ac:dyDescent="0.3">
      <c r="B83" s="32">
        <v>2007</v>
      </c>
      <c r="C83" s="221">
        <f t="shared" si="23"/>
        <v>84.7</v>
      </c>
    </row>
    <row r="84" spans="2:3" ht="14" thickBot="1" x14ac:dyDescent="0.3">
      <c r="B84" s="32">
        <v>2008</v>
      </c>
      <c r="C84" s="221">
        <f t="shared" si="23"/>
        <v>86.8</v>
      </c>
    </row>
    <row r="85" spans="2:3" ht="14" thickBot="1" x14ac:dyDescent="0.3">
      <c r="B85" s="32">
        <v>2009</v>
      </c>
      <c r="C85" s="221">
        <f t="shared" si="23"/>
        <v>87.8</v>
      </c>
    </row>
    <row r="86" spans="2:3" ht="14" thickBot="1" x14ac:dyDescent="0.3">
      <c r="B86" s="32">
        <v>2010</v>
      </c>
      <c r="C86" s="221">
        <f t="shared" si="23"/>
        <v>88.7</v>
      </c>
    </row>
    <row r="87" spans="2:3" ht="14" thickBot="1" x14ac:dyDescent="0.3">
      <c r="B87" s="32">
        <v>2011</v>
      </c>
      <c r="C87" s="221">
        <f t="shared" si="23"/>
        <v>90.8</v>
      </c>
    </row>
    <row r="88" spans="2:3" ht="14" thickBot="1" x14ac:dyDescent="0.3">
      <c r="B88" s="32">
        <v>2012</v>
      </c>
      <c r="C88" s="221">
        <f t="shared" si="23"/>
        <v>92.3</v>
      </c>
    </row>
    <row r="89" spans="2:3" ht="14" thickBot="1" x14ac:dyDescent="0.3">
      <c r="B89" s="32">
        <v>2013</v>
      </c>
      <c r="C89" s="221">
        <f t="shared" si="23"/>
        <v>93.9</v>
      </c>
    </row>
    <row r="90" spans="2:3" ht="14" thickBot="1" x14ac:dyDescent="0.3">
      <c r="B90" s="32">
        <v>2014</v>
      </c>
      <c r="C90" s="221">
        <f t="shared" si="23"/>
        <v>96.1</v>
      </c>
    </row>
    <row r="91" spans="2:3" ht="14" thickBot="1" x14ac:dyDescent="0.3">
      <c r="B91" s="32">
        <v>2015</v>
      </c>
      <c r="C91" s="221">
        <f t="shared" si="23"/>
        <v>97.6</v>
      </c>
    </row>
    <row r="92" spans="2:3" ht="14" thickBot="1" x14ac:dyDescent="0.3">
      <c r="B92" s="32">
        <v>2016</v>
      </c>
      <c r="C92" s="221">
        <f t="shared" si="23"/>
        <v>98.6</v>
      </c>
    </row>
    <row r="93" spans="2:3" ht="14" thickBot="1" x14ac:dyDescent="0.3">
      <c r="B93" s="32">
        <v>2017</v>
      </c>
      <c r="C93" s="221">
        <f>AVERAGEIF($B$70:$AA$70,$B93,$B$71:$AA$71)</f>
        <v>100</v>
      </c>
    </row>
    <row r="94" spans="2:3" ht="14" thickBot="1" x14ac:dyDescent="0.3">
      <c r="B94" s="32">
        <v>2018</v>
      </c>
      <c r="C94" s="221">
        <f t="shared" ref="C94:C99" si="24">AVERAGEIF($B$70:$AA$70,$B94,$B$71:$AA$71)</f>
        <v>101.6</v>
      </c>
    </row>
    <row r="95" spans="2:3" ht="14" thickBot="1" x14ac:dyDescent="0.3">
      <c r="B95" s="32">
        <v>2019</v>
      </c>
      <c r="C95" s="221">
        <f t="shared" si="24"/>
        <v>103.5</v>
      </c>
    </row>
    <row r="96" spans="2:3" ht="14" thickBot="1" x14ac:dyDescent="0.3">
      <c r="B96" s="32">
        <v>2020</v>
      </c>
      <c r="C96" s="221">
        <f t="shared" si="24"/>
        <v>105.4</v>
      </c>
    </row>
    <row r="97" spans="2:3" ht="14" thickBot="1" x14ac:dyDescent="0.3">
      <c r="B97" s="32">
        <v>2021</v>
      </c>
      <c r="C97" s="221">
        <f t="shared" si="24"/>
        <v>109.4</v>
      </c>
    </row>
    <row r="98" spans="2:3" ht="14" thickBot="1" x14ac:dyDescent="0.3">
      <c r="B98" s="32">
        <v>2022</v>
      </c>
      <c r="C98" s="221">
        <f t="shared" si="24"/>
        <v>116.3</v>
      </c>
    </row>
    <row r="99" spans="2:3" ht="14" thickBot="1" x14ac:dyDescent="0.3">
      <c r="B99" s="32">
        <v>2023</v>
      </c>
      <c r="C99" s="221">
        <f t="shared" si="24"/>
        <v>120.6</v>
      </c>
    </row>
    <row r="101" spans="2:3" x14ac:dyDescent="0.25">
      <c r="B101" t="s">
        <v>228</v>
      </c>
    </row>
    <row r="102" spans="2:3" x14ac:dyDescent="0.25">
      <c r="B102">
        <v>1</v>
      </c>
      <c r="C102" t="s">
        <v>248</v>
      </c>
    </row>
    <row r="104" spans="2:3" x14ac:dyDescent="0.25">
      <c r="B104" t="s">
        <v>249</v>
      </c>
    </row>
    <row r="105" spans="2:3" x14ac:dyDescent="0.25">
      <c r="B105" t="s">
        <v>250</v>
      </c>
    </row>
  </sheetData>
  <pageMargins left="0.7" right="0.7" top="0.75" bottom="0.75" header="0.3" footer="0.3"/>
  <pageSetup scale="27" orientation="landscape" r:id="rId1"/>
  <rowBreaks count="1" manualBreakCount="1">
    <brk id="58"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09a1fe-d543-41d5-a7bd-5a24856ec748" xsi:nil="true"/>
    <lcf76f155ced4ddcb4097134ff3c332f xmlns="3c32e2f1-9b83-4e10-818f-dddacb8781b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A12F0ED7FFD14AB5FE172055022F86" ma:contentTypeVersion="11" ma:contentTypeDescription="Create a new document." ma:contentTypeScope="" ma:versionID="629d2fd901fa090042dc70e91cd54354">
  <xsd:schema xmlns:xsd="http://www.w3.org/2001/XMLSchema" xmlns:xs="http://www.w3.org/2001/XMLSchema" xmlns:p="http://schemas.microsoft.com/office/2006/metadata/properties" xmlns:ns2="3c32e2f1-9b83-4e10-818f-dddacb8781b0" xmlns:ns3="9909a1fe-d543-41d5-a7bd-5a24856ec748" targetNamespace="http://schemas.microsoft.com/office/2006/metadata/properties" ma:root="true" ma:fieldsID="a5993e025ec559fafdcb103b85ce19b7" ns2:_="" ns3:_="">
    <xsd:import namespace="3c32e2f1-9b83-4e10-818f-dddacb8781b0"/>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2e2f1-9b83-4e10-818f-dddacb878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EE48AE-5EF6-4130-A8AF-02487D548723}">
  <ds:schemaRefs>
    <ds:schemaRef ds:uri="http://schemas.microsoft.com/office/2006/metadata/properties"/>
    <ds:schemaRef ds:uri="http://schemas.microsoft.com/office/infopath/2007/PartnerControls"/>
    <ds:schemaRef ds:uri="9909a1fe-d543-41d5-a7bd-5a24856ec748"/>
    <ds:schemaRef ds:uri="3c32e2f1-9b83-4e10-818f-dddacb8781b0"/>
  </ds:schemaRefs>
</ds:datastoreItem>
</file>

<file path=customXml/itemProps2.xml><?xml version="1.0" encoding="utf-8"?>
<ds:datastoreItem xmlns:ds="http://schemas.openxmlformats.org/officeDocument/2006/customXml" ds:itemID="{12332499-02B3-464A-969E-BE9CF4F38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2e2f1-9b83-4e10-818f-dddacb8781b0"/>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9AB669-2ED1-4209-8F1B-12CC6CB409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I-factor weights</vt:lpstr>
      <vt:lpstr>TFP_Calcs</vt:lpstr>
      <vt:lpstr>TFP_dataset</vt:lpstr>
      <vt:lpstr>OPG hydro peers</vt:lpstr>
      <vt:lpstr>NA comb O&amp;M price indexes</vt:lpstr>
      <vt:lpstr>Can O&amp;M price indexes</vt:lpstr>
      <vt:lpstr>US O&amp;M price indexes</vt:lpstr>
      <vt:lpstr>EUCG L share</vt:lpstr>
      <vt:lpstr>StatsCan CANSIM tables</vt:lpstr>
      <vt:lpstr>US BLS &amp; BEA tables</vt:lpstr>
      <vt:lpstr>TFP_Calcs!Print_Area</vt:lpstr>
      <vt:lpstr>TFP_dataset!Print_Area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Kelima</dc:creator>
  <cp:keywords/>
  <dc:description/>
  <cp:lastModifiedBy>Lori Patchett</cp:lastModifiedBy>
  <cp:revision/>
  <dcterms:created xsi:type="dcterms:W3CDTF">2014-02-27T01:32:42Z</dcterms:created>
  <dcterms:modified xsi:type="dcterms:W3CDTF">2026-05-15T15:10:29Z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{7686A902-D4B8-4B31-B396-3382FEC61728}</vt:lpwstr>
  </property>
  <property fmtid="{D5CDD505-2E9C-101B-9397-08002B2CF9AE}" pid="3" name="ContentTypeId">
    <vt:lpwstr>0x0101006AA12F0ED7FFD14AB5FE172055022F86</vt:lpwstr>
  </property>
  <property fmtid="{D5CDD505-2E9C-101B-9397-08002B2CF9AE}" pid="4" name="MediaServiceImageTags">
    <vt:lpwstr/>
  </property>
  <property fmtid="{D5CDD505-2E9C-101B-9397-08002B2CF9AE}" pid="5" name="MSIP_Label_de7afb16-bed2-47a7-a936-de53beb31938_Enabled">
    <vt:lpwstr>true</vt:lpwstr>
  </property>
  <property fmtid="{D5CDD505-2E9C-101B-9397-08002B2CF9AE}" pid="6" name="MSIP_Label_de7afb16-bed2-47a7-a936-de53beb31938_SetDate">
    <vt:lpwstr>2026-05-15T15:09:58Z</vt:lpwstr>
  </property>
  <property fmtid="{D5CDD505-2E9C-101B-9397-08002B2CF9AE}" pid="7" name="MSIP_Label_de7afb16-bed2-47a7-a936-de53beb31938_Method">
    <vt:lpwstr>Standard</vt:lpwstr>
  </property>
  <property fmtid="{D5CDD505-2E9C-101B-9397-08002B2CF9AE}" pid="8" name="MSIP_Label_de7afb16-bed2-47a7-a936-de53beb31938_Name">
    <vt:lpwstr>de7afb16-bed2-47a7-a936-de53beb31938</vt:lpwstr>
  </property>
  <property fmtid="{D5CDD505-2E9C-101B-9397-08002B2CF9AE}" pid="9" name="MSIP_Label_de7afb16-bed2-47a7-a936-de53beb31938_SiteId">
    <vt:lpwstr>962f21cf-93ea-449f-99bf-402e2b2987b2</vt:lpwstr>
  </property>
  <property fmtid="{D5CDD505-2E9C-101B-9397-08002B2CF9AE}" pid="10" name="MSIP_Label_de7afb16-bed2-47a7-a936-de53beb31938_ActionId">
    <vt:lpwstr>d13cddfd-f443-4dc7-ba63-8d13265f0fa6</vt:lpwstr>
  </property>
  <property fmtid="{D5CDD505-2E9C-101B-9397-08002B2CF9AE}" pid="11" name="MSIP_Label_de7afb16-bed2-47a7-a936-de53beb31938_ContentBits">
    <vt:lpwstr>0</vt:lpwstr>
  </property>
  <property fmtid="{D5CDD505-2E9C-101B-9397-08002B2CF9AE}" pid="12" name="MSIP_Label_de7afb16-bed2-47a7-a936-de53beb31938_Tag">
    <vt:lpwstr>10, 3, 0, 1</vt:lpwstr>
  </property>
</Properties>
</file>